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285" yWindow="2385" windowWidth="6405" windowHeight="8280" tabRatio="761"/>
  </bookViews>
  <sheets>
    <sheet name="Приложение 1" sheetId="7" r:id="rId1"/>
    <sheet name="Приложение 2" sheetId="5" r:id="rId2"/>
    <sheet name="Приложение 3" sheetId="6" r:id="rId3"/>
    <sheet name="Приложение 1 КСП 2018-2019 гг" sheetId="9" r:id="rId4"/>
    <sheet name="Приложение 2 КСП 2018-2019 гг" sheetId="10" r:id="rId5"/>
    <sheet name="Приложение 3 КСП 2018-2019 гг" sheetId="11" r:id="rId6"/>
  </sheets>
  <externalReferences>
    <externalReference r:id="rId7"/>
    <externalReference r:id="rId8"/>
  </externalReferences>
  <definedNames>
    <definedName name="_GoBack" localSheetId="0">'Приложение 1'!#REF!</definedName>
    <definedName name="_GoBack" localSheetId="3">'Приложение 1 КСП 2018-2019 гг'!#REF!</definedName>
    <definedName name="_xlnm._FilterDatabase" localSheetId="0" hidden="1">'Приложение 1'!$A$11:$X$357</definedName>
    <definedName name="_xlnm._FilterDatabase" localSheetId="3" hidden="1">'Приложение 1 КСП 2018-2019 гг'!$A$16:$V$690</definedName>
    <definedName name="_xlnm._FilterDatabase" localSheetId="1" hidden="1">'Приложение 2'!$A$18:$AA$359</definedName>
    <definedName name="_xlnm._FilterDatabase" localSheetId="4" hidden="1">'Приложение 2 КСП 2018-2019 гг'!$A$15:$BZ$691</definedName>
    <definedName name="_xlnm.Print_Area" localSheetId="0">'Приложение 1'!$A$1:$U$357</definedName>
    <definedName name="_xlnm.Print_Area" localSheetId="3">'Приложение 1 КСП 2018-2019 гг'!$A$1:$S$690</definedName>
    <definedName name="_xlnm.Print_Area" localSheetId="1">'Приложение 2'!$A$3:$V$359</definedName>
    <definedName name="_xlnm.Print_Area" localSheetId="4">'Приложение 2 КСП 2018-2019 гг'!$A$1:$AN$691</definedName>
    <definedName name="_xlnm.Print_Area" localSheetId="2">'Приложение 3'!$A$1:$N$55</definedName>
    <definedName name="_xlnm.Print_Area" localSheetId="5">'Приложение 3 КСП 2018-2019 гг'!$A$1:$F$88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 refMode="R1C1"/>
</workbook>
</file>

<file path=xl/calcChain.xml><?xml version="1.0" encoding="utf-8"?>
<calcChain xmlns="http://schemas.openxmlformats.org/spreadsheetml/2006/main">
  <c r="T490" i="7"/>
  <c r="T489"/>
  <c r="I707" i="5"/>
  <c r="I363"/>
  <c r="I507"/>
  <c r="P492"/>
  <c r="P491"/>
  <c r="G363"/>
  <c r="G361" s="1"/>
  <c r="J363"/>
  <c r="J361" s="1"/>
  <c r="M363"/>
  <c r="M361" s="1"/>
  <c r="N363"/>
  <c r="O363"/>
  <c r="O361" s="1"/>
  <c r="Q363"/>
  <c r="Q361" s="1"/>
  <c r="R363"/>
  <c r="R361" s="1"/>
  <c r="S363"/>
  <c r="S361" s="1"/>
  <c r="T363"/>
  <c r="T361" s="1"/>
  <c r="V363"/>
  <c r="V361" s="1"/>
  <c r="J504" i="7"/>
  <c r="L504"/>
  <c r="M504"/>
  <c r="T503"/>
  <c r="U505" i="5"/>
  <c r="L505"/>
  <c r="F505"/>
  <c r="G707"/>
  <c r="J707"/>
  <c r="K707"/>
  <c r="M707"/>
  <c r="N707"/>
  <c r="O707"/>
  <c r="P707"/>
  <c r="Q707"/>
  <c r="R707"/>
  <c r="S707"/>
  <c r="T707"/>
  <c r="V707"/>
  <c r="O504" i="7"/>
  <c r="P504"/>
  <c r="Q504"/>
  <c r="L838"/>
  <c r="M838"/>
  <c r="O838"/>
  <c r="P838"/>
  <c r="Q838"/>
  <c r="J838"/>
  <c r="L839" i="5"/>
  <c r="E839" s="1"/>
  <c r="N837" i="7" s="1"/>
  <c r="R837" s="1"/>
  <c r="M132" i="6"/>
  <c r="N132" s="1"/>
  <c r="I132"/>
  <c r="D132"/>
  <c r="C132"/>
  <c r="N131"/>
  <c r="M131"/>
  <c r="I131"/>
  <c r="D131"/>
  <c r="C131"/>
  <c r="M130"/>
  <c r="N130" s="1"/>
  <c r="I130"/>
  <c r="D130"/>
  <c r="C130"/>
  <c r="M129"/>
  <c r="N129" s="1"/>
  <c r="I129"/>
  <c r="D129"/>
  <c r="C129"/>
  <c r="M128"/>
  <c r="N128" s="1"/>
  <c r="I128"/>
  <c r="D128"/>
  <c r="C128"/>
  <c r="M127"/>
  <c r="N127" s="1"/>
  <c r="I127"/>
  <c r="D127"/>
  <c r="C127"/>
  <c r="M126"/>
  <c r="N126" s="1"/>
  <c r="I126"/>
  <c r="D126"/>
  <c r="C126"/>
  <c r="M125"/>
  <c r="N125" s="1"/>
  <c r="I125"/>
  <c r="D125"/>
  <c r="C125"/>
  <c r="M124"/>
  <c r="N124" s="1"/>
  <c r="I124"/>
  <c r="D124"/>
  <c r="C124"/>
  <c r="M123"/>
  <c r="N123" s="1"/>
  <c r="I123"/>
  <c r="D123"/>
  <c r="C123"/>
  <c r="M122"/>
  <c r="N122" s="1"/>
  <c r="I122"/>
  <c r="D122"/>
  <c r="C122"/>
  <c r="M121"/>
  <c r="N121" s="1"/>
  <c r="I121"/>
  <c r="D121"/>
  <c r="C121"/>
  <c r="M120"/>
  <c r="N120" s="1"/>
  <c r="I120"/>
  <c r="D120"/>
  <c r="C120"/>
  <c r="M119"/>
  <c r="N119" s="1"/>
  <c r="I119"/>
  <c r="D119"/>
  <c r="C119"/>
  <c r="M118"/>
  <c r="N118" s="1"/>
  <c r="I118"/>
  <c r="D118"/>
  <c r="C118"/>
  <c r="M117"/>
  <c r="N117" s="1"/>
  <c r="I117"/>
  <c r="D117"/>
  <c r="C117"/>
  <c r="M116"/>
  <c r="N116" s="1"/>
  <c r="I116"/>
  <c r="D116"/>
  <c r="C116"/>
  <c r="M115"/>
  <c r="N115" s="1"/>
  <c r="I115"/>
  <c r="D115"/>
  <c r="C115"/>
  <c r="M114"/>
  <c r="N114" s="1"/>
  <c r="I114"/>
  <c r="D114"/>
  <c r="C114"/>
  <c r="M113"/>
  <c r="N113" s="1"/>
  <c r="I113"/>
  <c r="D113"/>
  <c r="C113"/>
  <c r="M112"/>
  <c r="N112" s="1"/>
  <c r="I112"/>
  <c r="D112"/>
  <c r="C112"/>
  <c r="M111"/>
  <c r="N111" s="1"/>
  <c r="I111"/>
  <c r="D111"/>
  <c r="C111"/>
  <c r="M110"/>
  <c r="N110" s="1"/>
  <c r="I110"/>
  <c r="D110"/>
  <c r="C110"/>
  <c r="M109"/>
  <c r="N109" s="1"/>
  <c r="I109"/>
  <c r="D109"/>
  <c r="C109"/>
  <c r="M108"/>
  <c r="N108" s="1"/>
  <c r="I108"/>
  <c r="D108"/>
  <c r="C108"/>
  <c r="M107"/>
  <c r="N107" s="1"/>
  <c r="I107"/>
  <c r="D107"/>
  <c r="C107"/>
  <c r="M106"/>
  <c r="N106" s="1"/>
  <c r="I106"/>
  <c r="D106"/>
  <c r="C106"/>
  <c r="M105"/>
  <c r="N105" s="1"/>
  <c r="I105"/>
  <c r="D105"/>
  <c r="C105"/>
  <c r="M104"/>
  <c r="N104" s="1"/>
  <c r="I104"/>
  <c r="D104"/>
  <c r="C104"/>
  <c r="M103"/>
  <c r="N103" s="1"/>
  <c r="I103"/>
  <c r="D103"/>
  <c r="C103"/>
  <c r="M102"/>
  <c r="N102" s="1"/>
  <c r="I102"/>
  <c r="D102"/>
  <c r="C102"/>
  <c r="M101"/>
  <c r="N101" s="1"/>
  <c r="I101"/>
  <c r="D101"/>
  <c r="C101"/>
  <c r="M100"/>
  <c r="N100" s="1"/>
  <c r="I100"/>
  <c r="D100"/>
  <c r="C100"/>
  <c r="M99"/>
  <c r="N99" s="1"/>
  <c r="I99"/>
  <c r="D99"/>
  <c r="C99"/>
  <c r="M98"/>
  <c r="N98" s="1"/>
  <c r="I98"/>
  <c r="D98"/>
  <c r="C98"/>
  <c r="M97"/>
  <c r="N97" s="1"/>
  <c r="I97"/>
  <c r="D97"/>
  <c r="C97"/>
  <c r="M96"/>
  <c r="N96" s="1"/>
  <c r="I96"/>
  <c r="D96"/>
  <c r="C96"/>
  <c r="M95"/>
  <c r="N95" s="1"/>
  <c r="I95"/>
  <c r="D95"/>
  <c r="C95"/>
  <c r="M94"/>
  <c r="N94" s="1"/>
  <c r="I94"/>
  <c r="D94"/>
  <c r="C94"/>
  <c r="M93"/>
  <c r="I93"/>
  <c r="H93"/>
  <c r="D93"/>
  <c r="C93"/>
  <c r="M92"/>
  <c r="N92" s="1"/>
  <c r="I92"/>
  <c r="D92"/>
  <c r="C92"/>
  <c r="M91"/>
  <c r="N91" s="1"/>
  <c r="I91"/>
  <c r="D91"/>
  <c r="C91"/>
  <c r="M90"/>
  <c r="N90" s="1"/>
  <c r="I90"/>
  <c r="D90"/>
  <c r="C90"/>
  <c r="M89"/>
  <c r="N89" s="1"/>
  <c r="I89"/>
  <c r="D89"/>
  <c r="C89"/>
  <c r="M88"/>
  <c r="N88" s="1"/>
  <c r="I88"/>
  <c r="D88"/>
  <c r="C88"/>
  <c r="M87"/>
  <c r="N87" s="1"/>
  <c r="I87"/>
  <c r="D87"/>
  <c r="C87"/>
  <c r="M86"/>
  <c r="N86" s="1"/>
  <c r="I86"/>
  <c r="D86"/>
  <c r="C86"/>
  <c r="M85"/>
  <c r="N85" s="1"/>
  <c r="I85"/>
  <c r="D85"/>
  <c r="C85"/>
  <c r="M84"/>
  <c r="N84" s="1"/>
  <c r="I84"/>
  <c r="D84"/>
  <c r="C84"/>
  <c r="M83"/>
  <c r="N83" s="1"/>
  <c r="I83"/>
  <c r="D83"/>
  <c r="C83"/>
  <c r="M82"/>
  <c r="N82" s="1"/>
  <c r="I82"/>
  <c r="D82"/>
  <c r="C82"/>
  <c r="M81"/>
  <c r="N81" s="1"/>
  <c r="I81"/>
  <c r="D81"/>
  <c r="C81"/>
  <c r="M80"/>
  <c r="N80" s="1"/>
  <c r="I80"/>
  <c r="D80"/>
  <c r="C80"/>
  <c r="M79"/>
  <c r="N79" s="1"/>
  <c r="I79"/>
  <c r="D79"/>
  <c r="C79"/>
  <c r="M78"/>
  <c r="N78" s="1"/>
  <c r="I78"/>
  <c r="D78"/>
  <c r="C78"/>
  <c r="M77"/>
  <c r="N77" s="1"/>
  <c r="I77"/>
  <c r="D77"/>
  <c r="C77"/>
  <c r="M76"/>
  <c r="N76" s="1"/>
  <c r="I76"/>
  <c r="D76"/>
  <c r="C76"/>
  <c r="M75"/>
  <c r="N75" s="1"/>
  <c r="I75"/>
  <c r="D75"/>
  <c r="C75"/>
  <c r="M74"/>
  <c r="N74" s="1"/>
  <c r="I74"/>
  <c r="D74"/>
  <c r="C74"/>
  <c r="M73"/>
  <c r="N73" s="1"/>
  <c r="I73"/>
  <c r="D73"/>
  <c r="C73"/>
  <c r="N72"/>
  <c r="M72"/>
  <c r="I72"/>
  <c r="D72"/>
  <c r="C72"/>
  <c r="M71"/>
  <c r="N71" s="1"/>
  <c r="I71"/>
  <c r="D71"/>
  <c r="C71"/>
  <c r="M70"/>
  <c r="N70" s="1"/>
  <c r="I70"/>
  <c r="D70"/>
  <c r="C70"/>
  <c r="M69"/>
  <c r="N69" s="1"/>
  <c r="I69"/>
  <c r="D69"/>
  <c r="C69"/>
  <c r="M68"/>
  <c r="N68" s="1"/>
  <c r="I68"/>
  <c r="D68"/>
  <c r="C68"/>
  <c r="M67"/>
  <c r="N67" s="1"/>
  <c r="I67"/>
  <c r="D67"/>
  <c r="C67"/>
  <c r="M66"/>
  <c r="N66" s="1"/>
  <c r="I66"/>
  <c r="D66"/>
  <c r="C66"/>
  <c r="M65"/>
  <c r="N65" s="1"/>
  <c r="I65"/>
  <c r="D65"/>
  <c r="C65"/>
  <c r="M64"/>
  <c r="N64" s="1"/>
  <c r="I64"/>
  <c r="D64"/>
  <c r="C64"/>
  <c r="M63"/>
  <c r="N63" s="1"/>
  <c r="I63"/>
  <c r="D63"/>
  <c r="C63"/>
  <c r="M62"/>
  <c r="N62" s="1"/>
  <c r="I62"/>
  <c r="D62"/>
  <c r="C62"/>
  <c r="M61"/>
  <c r="N61" s="1"/>
  <c r="I61"/>
  <c r="D61"/>
  <c r="C61"/>
  <c r="M60"/>
  <c r="N60" s="1"/>
  <c r="I60"/>
  <c r="D60"/>
  <c r="C60"/>
  <c r="M59"/>
  <c r="N59" s="1"/>
  <c r="I59"/>
  <c r="D59"/>
  <c r="C59"/>
  <c r="M58"/>
  <c r="N58" s="1"/>
  <c r="I58"/>
  <c r="D58"/>
  <c r="C58"/>
  <c r="M57"/>
  <c r="N57" s="1"/>
  <c r="I57"/>
  <c r="D57"/>
  <c r="D56" s="1"/>
  <c r="C57"/>
  <c r="M56"/>
  <c r="I56"/>
  <c r="H56"/>
  <c r="C56"/>
  <c r="X1037" i="5"/>
  <c r="L1037"/>
  <c r="Y1037" s="1"/>
  <c r="X1036"/>
  <c r="V1036"/>
  <c r="U1036"/>
  <c r="T1036"/>
  <c r="S1036"/>
  <c r="R1036"/>
  <c r="Q1036"/>
  <c r="P1036"/>
  <c r="O1036"/>
  <c r="N1036"/>
  <c r="M1036"/>
  <c r="L1036"/>
  <c r="Y1036" s="1"/>
  <c r="K1036"/>
  <c r="J1036"/>
  <c r="I1036"/>
  <c r="H1036"/>
  <c r="G1036"/>
  <c r="F1036"/>
  <c r="Y1035"/>
  <c r="X1035"/>
  <c r="Z1035" s="1"/>
  <c r="X1034"/>
  <c r="L1034"/>
  <c r="Y1034" s="1"/>
  <c r="X1033"/>
  <c r="L1033"/>
  <c r="Y1033" s="1"/>
  <c r="X1032"/>
  <c r="L1032"/>
  <c r="Y1032" s="1"/>
  <c r="X1031"/>
  <c r="L1031"/>
  <c r="Y1031" s="1"/>
  <c r="X1030"/>
  <c r="L1030"/>
  <c r="Y1030" s="1"/>
  <c r="X1029"/>
  <c r="Z1029" s="1"/>
  <c r="L1029"/>
  <c r="Y1029" s="1"/>
  <c r="X1028"/>
  <c r="Z1028" s="1"/>
  <c r="L1028"/>
  <c r="Y1028" s="1"/>
  <c r="E1028"/>
  <c r="N1026" i="7" s="1"/>
  <c r="X1027" i="5"/>
  <c r="L1027"/>
  <c r="Y1027" s="1"/>
  <c r="X1026"/>
  <c r="V1026"/>
  <c r="U1026"/>
  <c r="T1026"/>
  <c r="S1026"/>
  <c r="R1026"/>
  <c r="Q1026"/>
  <c r="P1026"/>
  <c r="O1026"/>
  <c r="N1026"/>
  <c r="M1026"/>
  <c r="L1026"/>
  <c r="Y1026" s="1"/>
  <c r="K1026"/>
  <c r="J1026"/>
  <c r="I1026"/>
  <c r="H1026"/>
  <c r="G1026"/>
  <c r="F1026"/>
  <c r="Y1025"/>
  <c r="X1025"/>
  <c r="Z1025" s="1"/>
  <c r="X1024"/>
  <c r="L1024"/>
  <c r="Y1024" s="1"/>
  <c r="X1023"/>
  <c r="V1023"/>
  <c r="U1023"/>
  <c r="T1023"/>
  <c r="S1023"/>
  <c r="R1023"/>
  <c r="Q1023"/>
  <c r="P1023"/>
  <c r="O1023"/>
  <c r="N1023"/>
  <c r="M1023"/>
  <c r="K1023"/>
  <c r="J1023"/>
  <c r="I1023"/>
  <c r="H1023"/>
  <c r="G1023"/>
  <c r="F1023"/>
  <c r="Y1022"/>
  <c r="X1022"/>
  <c r="X1021"/>
  <c r="L1021"/>
  <c r="Y1021" s="1"/>
  <c r="X1020"/>
  <c r="L1020"/>
  <c r="Y1020" s="1"/>
  <c r="X1019"/>
  <c r="Z1019" s="1"/>
  <c r="L1019"/>
  <c r="Y1019" s="1"/>
  <c r="X1018"/>
  <c r="V1018"/>
  <c r="U1018"/>
  <c r="T1018"/>
  <c r="S1018"/>
  <c r="R1018"/>
  <c r="Q1018"/>
  <c r="P1018"/>
  <c r="O1018"/>
  <c r="N1018"/>
  <c r="M1018"/>
  <c r="K1018"/>
  <c r="J1018"/>
  <c r="I1018"/>
  <c r="H1018"/>
  <c r="G1018"/>
  <c r="F1018"/>
  <c r="Y1017"/>
  <c r="X1017"/>
  <c r="Z1017" s="1"/>
  <c r="X1016"/>
  <c r="L1016"/>
  <c r="Y1016" s="1"/>
  <c r="X1015"/>
  <c r="L1015"/>
  <c r="Y1015" s="1"/>
  <c r="X1014"/>
  <c r="L1014"/>
  <c r="Y1014" s="1"/>
  <c r="X1013"/>
  <c r="L1013"/>
  <c r="Y1013" s="1"/>
  <c r="X1012"/>
  <c r="L1012"/>
  <c r="Y1012" s="1"/>
  <c r="X1011"/>
  <c r="V1011"/>
  <c r="U1011"/>
  <c r="T1011"/>
  <c r="S1011"/>
  <c r="R1011"/>
  <c r="Q1011"/>
  <c r="P1011"/>
  <c r="O1011"/>
  <c r="N1011"/>
  <c r="M1011"/>
  <c r="K1011"/>
  <c r="J1011"/>
  <c r="I1011"/>
  <c r="H1011"/>
  <c r="G1011"/>
  <c r="F1011"/>
  <c r="Y1010"/>
  <c r="X1010"/>
  <c r="X1009"/>
  <c r="L1009"/>
  <c r="Y1009" s="1"/>
  <c r="X1008"/>
  <c r="L1008"/>
  <c r="Y1008" s="1"/>
  <c r="X1007"/>
  <c r="V1007"/>
  <c r="U1007"/>
  <c r="T1007"/>
  <c r="S1007"/>
  <c r="R1007"/>
  <c r="Q1007"/>
  <c r="P1007"/>
  <c r="O1007"/>
  <c r="N1007"/>
  <c r="M1007"/>
  <c r="K1007"/>
  <c r="J1007"/>
  <c r="I1007"/>
  <c r="H1007"/>
  <c r="H1005" s="1"/>
  <c r="H1004" s="1"/>
  <c r="H999" s="1"/>
  <c r="H998" s="1"/>
  <c r="G1007"/>
  <c r="F1007"/>
  <c r="F1005" s="1"/>
  <c r="Y1006"/>
  <c r="X1006"/>
  <c r="X1005"/>
  <c r="V1005"/>
  <c r="U1005"/>
  <c r="U1004" s="1"/>
  <c r="U999" s="1"/>
  <c r="U998" s="1"/>
  <c r="U996" s="1"/>
  <c r="U995" s="1"/>
  <c r="U994" s="1"/>
  <c r="U993" s="1"/>
  <c r="U992" s="1"/>
  <c r="U991" s="1"/>
  <c r="U989" s="1"/>
  <c r="U988" s="1"/>
  <c r="U986" s="1"/>
  <c r="U985" s="1"/>
  <c r="U984" s="1"/>
  <c r="T1005"/>
  <c r="S1005"/>
  <c r="S1004" s="1"/>
  <c r="S999" s="1"/>
  <c r="S998" s="1"/>
  <c r="S996" s="1"/>
  <c r="S995" s="1"/>
  <c r="S994" s="1"/>
  <c r="S993" s="1"/>
  <c r="S992" s="1"/>
  <c r="S991" s="1"/>
  <c r="S989" s="1"/>
  <c r="S988" s="1"/>
  <c r="S986" s="1"/>
  <c r="S985" s="1"/>
  <c r="S984" s="1"/>
  <c r="S705" s="1"/>
  <c r="R1005"/>
  <c r="Q1005"/>
  <c r="Q1004" s="1"/>
  <c r="Q999" s="1"/>
  <c r="Q998" s="1"/>
  <c r="Q996" s="1"/>
  <c r="Q995" s="1"/>
  <c r="Q994" s="1"/>
  <c r="Q993" s="1"/>
  <c r="Q992" s="1"/>
  <c r="Q991" s="1"/>
  <c r="Q989" s="1"/>
  <c r="Q988" s="1"/>
  <c r="Q986" s="1"/>
  <c r="Q985" s="1"/>
  <c r="Q984" s="1"/>
  <c r="Q705" s="1"/>
  <c r="P1005"/>
  <c r="O1005"/>
  <c r="O1004" s="1"/>
  <c r="O999" s="1"/>
  <c r="O998" s="1"/>
  <c r="O996" s="1"/>
  <c r="O995" s="1"/>
  <c r="O994" s="1"/>
  <c r="O993" s="1"/>
  <c r="O992" s="1"/>
  <c r="O991" s="1"/>
  <c r="O989" s="1"/>
  <c r="O988" s="1"/>
  <c r="O986" s="1"/>
  <c r="O985" s="1"/>
  <c r="O984" s="1"/>
  <c r="O705" s="1"/>
  <c r="N1005"/>
  <c r="M1005"/>
  <c r="M1004" s="1"/>
  <c r="M999" s="1"/>
  <c r="M998" s="1"/>
  <c r="M996" s="1"/>
  <c r="M995" s="1"/>
  <c r="M994" s="1"/>
  <c r="M993" s="1"/>
  <c r="M992" s="1"/>
  <c r="M991" s="1"/>
  <c r="M989" s="1"/>
  <c r="M988" s="1"/>
  <c r="M986" s="1"/>
  <c r="M985" s="1"/>
  <c r="M984" s="1"/>
  <c r="M705" s="1"/>
  <c r="L1005"/>
  <c r="Y1005" s="1"/>
  <c r="G1005"/>
  <c r="G1004" s="1"/>
  <c r="G999" s="1"/>
  <c r="G998" s="1"/>
  <c r="X1004"/>
  <c r="V1004"/>
  <c r="V999" s="1"/>
  <c r="V998" s="1"/>
  <c r="V996" s="1"/>
  <c r="V995" s="1"/>
  <c r="V994" s="1"/>
  <c r="V993" s="1"/>
  <c r="V992" s="1"/>
  <c r="V991" s="1"/>
  <c r="V989" s="1"/>
  <c r="V988" s="1"/>
  <c r="V986" s="1"/>
  <c r="V985" s="1"/>
  <c r="V984" s="1"/>
  <c r="T1004"/>
  <c r="T999" s="1"/>
  <c r="T998" s="1"/>
  <c r="T996" s="1"/>
  <c r="T995" s="1"/>
  <c r="T994" s="1"/>
  <c r="T993" s="1"/>
  <c r="T992" s="1"/>
  <c r="T991" s="1"/>
  <c r="T989" s="1"/>
  <c r="T988" s="1"/>
  <c r="T986" s="1"/>
  <c r="T985" s="1"/>
  <c r="T984" s="1"/>
  <c r="R1004"/>
  <c r="R999" s="1"/>
  <c r="R998" s="1"/>
  <c r="R996" s="1"/>
  <c r="R995" s="1"/>
  <c r="R994" s="1"/>
  <c r="R993" s="1"/>
  <c r="R992" s="1"/>
  <c r="R991" s="1"/>
  <c r="R989" s="1"/>
  <c r="R988" s="1"/>
  <c r="R986" s="1"/>
  <c r="R985" s="1"/>
  <c r="R984" s="1"/>
  <c r="P1004"/>
  <c r="P999" s="1"/>
  <c r="P998" s="1"/>
  <c r="P996" s="1"/>
  <c r="P995" s="1"/>
  <c r="P994" s="1"/>
  <c r="P993" s="1"/>
  <c r="P992" s="1"/>
  <c r="P991" s="1"/>
  <c r="P989" s="1"/>
  <c r="P988" s="1"/>
  <c r="P986" s="1"/>
  <c r="P985" s="1"/>
  <c r="P984" s="1"/>
  <c r="N1004"/>
  <c r="N999" s="1"/>
  <c r="N998" s="1"/>
  <c r="N996" s="1"/>
  <c r="N995" s="1"/>
  <c r="N994" s="1"/>
  <c r="N993" s="1"/>
  <c r="N992" s="1"/>
  <c r="N991" s="1"/>
  <c r="N989" s="1"/>
  <c r="N988" s="1"/>
  <c r="N986" s="1"/>
  <c r="N985" s="1"/>
  <c r="N984" s="1"/>
  <c r="L1004"/>
  <c r="Y1004" s="1"/>
  <c r="K1004"/>
  <c r="J1004"/>
  <c r="I1004"/>
  <c r="Y1003"/>
  <c r="X1003"/>
  <c r="X1002"/>
  <c r="Z1002" s="1"/>
  <c r="L1002"/>
  <c r="Y1002" s="1"/>
  <c r="X1001"/>
  <c r="V1001"/>
  <c r="U1001"/>
  <c r="T1001"/>
  <c r="S1001"/>
  <c r="R1001"/>
  <c r="Q1001"/>
  <c r="P1001"/>
  <c r="O1001"/>
  <c r="N1001"/>
  <c r="M1001"/>
  <c r="L1001"/>
  <c r="K1001"/>
  <c r="J1001"/>
  <c r="I1001"/>
  <c r="H1001"/>
  <c r="G1001"/>
  <c r="F1001"/>
  <c r="Y1000"/>
  <c r="X1000"/>
  <c r="X999"/>
  <c r="L999"/>
  <c r="Y999" s="1"/>
  <c r="X998"/>
  <c r="L998"/>
  <c r="Y998" s="1"/>
  <c r="K998"/>
  <c r="J998"/>
  <c r="I998"/>
  <c r="Y997"/>
  <c r="X997"/>
  <c r="X996"/>
  <c r="L996"/>
  <c r="Y996" s="1"/>
  <c r="X995"/>
  <c r="Z995" s="1"/>
  <c r="L995"/>
  <c r="Y995" s="1"/>
  <c r="X994"/>
  <c r="Z994" s="1"/>
  <c r="L994"/>
  <c r="Y994" s="1"/>
  <c r="X993"/>
  <c r="Z993" s="1"/>
  <c r="L993"/>
  <c r="Y993" s="1"/>
  <c r="X992"/>
  <c r="Z992" s="1"/>
  <c r="L992"/>
  <c r="Y992" s="1"/>
  <c r="X991"/>
  <c r="K991"/>
  <c r="J991"/>
  <c r="I991"/>
  <c r="Y990"/>
  <c r="X990"/>
  <c r="X989"/>
  <c r="L989"/>
  <c r="Y989" s="1"/>
  <c r="X988"/>
  <c r="L988"/>
  <c r="K988"/>
  <c r="J988"/>
  <c r="I988"/>
  <c r="Y987"/>
  <c r="X987"/>
  <c r="X986"/>
  <c r="L986"/>
  <c r="Y986" s="1"/>
  <c r="X985"/>
  <c r="L985"/>
  <c r="Y985" s="1"/>
  <c r="X984"/>
  <c r="L984"/>
  <c r="K984"/>
  <c r="J984"/>
  <c r="I984"/>
  <c r="Y983"/>
  <c r="X983"/>
  <c r="X982"/>
  <c r="V982"/>
  <c r="U982"/>
  <c r="T982"/>
  <c r="S982"/>
  <c r="R982"/>
  <c r="Q982"/>
  <c r="P982"/>
  <c r="O982"/>
  <c r="N982"/>
  <c r="M982"/>
  <c r="L982"/>
  <c r="Y982" s="1"/>
  <c r="H982"/>
  <c r="G982"/>
  <c r="F982"/>
  <c r="E982" s="1"/>
  <c r="N980" i="7" s="1"/>
  <c r="R980" s="1"/>
  <c r="X981" i="5"/>
  <c r="V981"/>
  <c r="U981"/>
  <c r="T981"/>
  <c r="S981"/>
  <c r="R981"/>
  <c r="Q981"/>
  <c r="P981"/>
  <c r="O981"/>
  <c r="N981"/>
  <c r="M981"/>
  <c r="L981"/>
  <c r="Y981" s="1"/>
  <c r="H981"/>
  <c r="H980" s="1"/>
  <c r="G981"/>
  <c r="G980" s="1"/>
  <c r="F981"/>
  <c r="E981" s="1"/>
  <c r="X980"/>
  <c r="V980"/>
  <c r="U980"/>
  <c r="T980"/>
  <c r="S980"/>
  <c r="R980"/>
  <c r="Q980"/>
  <c r="P980"/>
  <c r="O980"/>
  <c r="N980"/>
  <c r="M980"/>
  <c r="L980"/>
  <c r="K980"/>
  <c r="J980"/>
  <c r="I980"/>
  <c r="F980"/>
  <c r="Y979"/>
  <c r="X979"/>
  <c r="X978"/>
  <c r="V978"/>
  <c r="V977" s="1"/>
  <c r="U978"/>
  <c r="T978"/>
  <c r="T977" s="1"/>
  <c r="S978"/>
  <c r="R978"/>
  <c r="R977" s="1"/>
  <c r="Q978"/>
  <c r="P978"/>
  <c r="P977" s="1"/>
  <c r="O978"/>
  <c r="N978"/>
  <c r="N977" s="1"/>
  <c r="M978"/>
  <c r="L978"/>
  <c r="Y978" s="1"/>
  <c r="H978"/>
  <c r="H977" s="1"/>
  <c r="G978"/>
  <c r="G977" s="1"/>
  <c r="F978"/>
  <c r="X977"/>
  <c r="U977"/>
  <c r="S977"/>
  <c r="Q977"/>
  <c r="O977"/>
  <c r="M977"/>
  <c r="K977"/>
  <c r="J977"/>
  <c r="I977"/>
  <c r="F977"/>
  <c r="Y976"/>
  <c r="X976"/>
  <c r="Y975"/>
  <c r="X975"/>
  <c r="F975"/>
  <c r="E975" s="1"/>
  <c r="N973" i="7" s="1"/>
  <c r="Y974" i="5"/>
  <c r="X974"/>
  <c r="P974"/>
  <c r="P972" s="1"/>
  <c r="F974"/>
  <c r="Y973"/>
  <c r="X973"/>
  <c r="F973"/>
  <c r="E973" s="1"/>
  <c r="X972"/>
  <c r="V972"/>
  <c r="U972"/>
  <c r="T972"/>
  <c r="S972"/>
  <c r="R972"/>
  <c r="Q972"/>
  <c r="O972"/>
  <c r="N972"/>
  <c r="M972"/>
  <c r="L972"/>
  <c r="K972"/>
  <c r="J972"/>
  <c r="I972"/>
  <c r="H972"/>
  <c r="G972"/>
  <c r="Y971"/>
  <c r="X971"/>
  <c r="X970"/>
  <c r="L970"/>
  <c r="E970" s="1"/>
  <c r="N968" i="7" s="1"/>
  <c r="X969" i="5"/>
  <c r="Z969" s="1"/>
  <c r="L969"/>
  <c r="Y969" s="1"/>
  <c r="E969"/>
  <c r="X968"/>
  <c r="V968"/>
  <c r="U968"/>
  <c r="T968"/>
  <c r="S968"/>
  <c r="R968"/>
  <c r="Q968"/>
  <c r="P968"/>
  <c r="O968"/>
  <c r="N968"/>
  <c r="M968"/>
  <c r="L968"/>
  <c r="Y968" s="1"/>
  <c r="K968"/>
  <c r="J968"/>
  <c r="I968"/>
  <c r="H968"/>
  <c r="G968"/>
  <c r="F968"/>
  <c r="Y967"/>
  <c r="X967"/>
  <c r="Z967" s="1"/>
  <c r="X966"/>
  <c r="L966"/>
  <c r="E966" s="1"/>
  <c r="X965"/>
  <c r="V965"/>
  <c r="U965"/>
  <c r="T965"/>
  <c r="S965"/>
  <c r="R965"/>
  <c r="Q965"/>
  <c r="P965"/>
  <c r="O965"/>
  <c r="N965"/>
  <c r="M965"/>
  <c r="K965"/>
  <c r="J965"/>
  <c r="I965"/>
  <c r="H965"/>
  <c r="G965"/>
  <c r="F965"/>
  <c r="Y964"/>
  <c r="X964"/>
  <c r="X963"/>
  <c r="Z963" s="1"/>
  <c r="L963"/>
  <c r="Y963" s="1"/>
  <c r="E963"/>
  <c r="N961" i="7" s="1"/>
  <c r="X962" i="5"/>
  <c r="L962"/>
  <c r="E962" s="1"/>
  <c r="X961"/>
  <c r="V961"/>
  <c r="U961"/>
  <c r="T961"/>
  <c r="S961"/>
  <c r="R961"/>
  <c r="Q961"/>
  <c r="P961"/>
  <c r="O961"/>
  <c r="N961"/>
  <c r="M961"/>
  <c r="K961"/>
  <c r="J961"/>
  <c r="I961"/>
  <c r="H961"/>
  <c r="G961"/>
  <c r="F961"/>
  <c r="Y960"/>
  <c r="X960"/>
  <c r="X959"/>
  <c r="Z959" s="1"/>
  <c r="L959"/>
  <c r="Y959" s="1"/>
  <c r="E959"/>
  <c r="N957" i="7" s="1"/>
  <c r="X958" i="5"/>
  <c r="L958"/>
  <c r="E958" s="1"/>
  <c r="N956" i="7" s="1"/>
  <c r="X957" i="5"/>
  <c r="L957"/>
  <c r="Y957" s="1"/>
  <c r="X956"/>
  <c r="L956"/>
  <c r="E956" s="1"/>
  <c r="N954" i="7" s="1"/>
  <c r="X955" i="5"/>
  <c r="L955"/>
  <c r="Y955" s="1"/>
  <c r="X954"/>
  <c r="L954"/>
  <c r="E954" s="1"/>
  <c r="X953"/>
  <c r="V953"/>
  <c r="U953"/>
  <c r="T953"/>
  <c r="S953"/>
  <c r="R953"/>
  <c r="Q953"/>
  <c r="P953"/>
  <c r="O953"/>
  <c r="N953"/>
  <c r="M953"/>
  <c r="K953"/>
  <c r="J953"/>
  <c r="I953"/>
  <c r="H953"/>
  <c r="G953"/>
  <c r="F953"/>
  <c r="Y952"/>
  <c r="X952"/>
  <c r="X951"/>
  <c r="L951"/>
  <c r="Y951" s="1"/>
  <c r="X950"/>
  <c r="V950"/>
  <c r="U950"/>
  <c r="T950"/>
  <c r="S950"/>
  <c r="R950"/>
  <c r="Q950"/>
  <c r="P950"/>
  <c r="O950"/>
  <c r="N950"/>
  <c r="M950"/>
  <c r="K950"/>
  <c r="J950"/>
  <c r="I950"/>
  <c r="H950"/>
  <c r="G950"/>
  <c r="F950"/>
  <c r="Y949"/>
  <c r="X949"/>
  <c r="X948"/>
  <c r="L948"/>
  <c r="E948" s="1"/>
  <c r="N946" i="7" s="1"/>
  <c r="X947" i="5"/>
  <c r="L947"/>
  <c r="Y947" s="1"/>
  <c r="X946"/>
  <c r="L946"/>
  <c r="E946" s="1"/>
  <c r="N944" i="7" s="1"/>
  <c r="X945" i="5"/>
  <c r="Z945" s="1"/>
  <c r="L945"/>
  <c r="Y945" s="1"/>
  <c r="E945"/>
  <c r="N943" i="7" s="1"/>
  <c r="X944" i="5"/>
  <c r="L944"/>
  <c r="E944" s="1"/>
  <c r="N942" i="7" s="1"/>
  <c r="X943" i="5"/>
  <c r="L943"/>
  <c r="Y943" s="1"/>
  <c r="X942"/>
  <c r="V942"/>
  <c r="U942"/>
  <c r="T942"/>
  <c r="S942"/>
  <c r="R942"/>
  <c r="Q942"/>
  <c r="P942"/>
  <c r="O942"/>
  <c r="N942"/>
  <c r="M942"/>
  <c r="K942"/>
  <c r="J942"/>
  <c r="I942"/>
  <c r="H942"/>
  <c r="G942"/>
  <c r="F942"/>
  <c r="Y941"/>
  <c r="X941"/>
  <c r="X940"/>
  <c r="L940"/>
  <c r="E940" s="1"/>
  <c r="X939"/>
  <c r="V939"/>
  <c r="U939"/>
  <c r="T939"/>
  <c r="S939"/>
  <c r="R939"/>
  <c r="Q939"/>
  <c r="P939"/>
  <c r="O939"/>
  <c r="N939"/>
  <c r="M939"/>
  <c r="K939"/>
  <c r="J939"/>
  <c r="I939"/>
  <c r="H939"/>
  <c r="G939"/>
  <c r="F939"/>
  <c r="Y938"/>
  <c r="X938"/>
  <c r="Z938" s="1"/>
  <c r="X937"/>
  <c r="L937"/>
  <c r="Y937" s="1"/>
  <c r="X936"/>
  <c r="V936"/>
  <c r="U936"/>
  <c r="T936"/>
  <c r="S936"/>
  <c r="R936"/>
  <c r="Q936"/>
  <c r="P936"/>
  <c r="O936"/>
  <c r="N936"/>
  <c r="M936"/>
  <c r="K936"/>
  <c r="J936"/>
  <c r="I936"/>
  <c r="H936"/>
  <c r="G936"/>
  <c r="F936"/>
  <c r="Y935"/>
  <c r="X935"/>
  <c r="X934"/>
  <c r="L934"/>
  <c r="E934" s="1"/>
  <c r="X933"/>
  <c r="V933"/>
  <c r="U933"/>
  <c r="T933"/>
  <c r="S933"/>
  <c r="R933"/>
  <c r="Q933"/>
  <c r="P933"/>
  <c r="O933"/>
  <c r="N933"/>
  <c r="M933"/>
  <c r="K933"/>
  <c r="J933"/>
  <c r="I933"/>
  <c r="H933"/>
  <c r="G933"/>
  <c r="F933"/>
  <c r="Y932"/>
  <c r="X932"/>
  <c r="X931"/>
  <c r="L931"/>
  <c r="Y931" s="1"/>
  <c r="X930"/>
  <c r="L930"/>
  <c r="E930" s="1"/>
  <c r="N928" i="7" s="1"/>
  <c r="X929" i="5"/>
  <c r="Z929" s="1"/>
  <c r="L929"/>
  <c r="Y929" s="1"/>
  <c r="E929"/>
  <c r="N927" i="7" s="1"/>
  <c r="X928" i="5"/>
  <c r="L928"/>
  <c r="E928" s="1"/>
  <c r="N926" i="7" s="1"/>
  <c r="X927" i="5"/>
  <c r="L927"/>
  <c r="Y927" s="1"/>
  <c r="Y926"/>
  <c r="X926"/>
  <c r="U926"/>
  <c r="F926"/>
  <c r="E926" s="1"/>
  <c r="N924" i="7" s="1"/>
  <c r="R924" s="1"/>
  <c r="X925" i="5"/>
  <c r="L925"/>
  <c r="E925" s="1"/>
  <c r="N923" i="7" s="1"/>
  <c r="X924" i="5"/>
  <c r="L924"/>
  <c r="Y924" s="1"/>
  <c r="X923"/>
  <c r="L923"/>
  <c r="E923" s="1"/>
  <c r="N921" i="7" s="1"/>
  <c r="X922" i="5"/>
  <c r="V922"/>
  <c r="U922"/>
  <c r="T922"/>
  <c r="S922"/>
  <c r="R922"/>
  <c r="Q922"/>
  <c r="P922"/>
  <c r="O922"/>
  <c r="N922"/>
  <c r="M922"/>
  <c r="K922"/>
  <c r="J922"/>
  <c r="I922"/>
  <c r="H922"/>
  <c r="G922"/>
  <c r="F922"/>
  <c r="Y921"/>
  <c r="X921"/>
  <c r="Z921" s="1"/>
  <c r="X920"/>
  <c r="L920"/>
  <c r="Y920" s="1"/>
  <c r="X919"/>
  <c r="V919"/>
  <c r="U919"/>
  <c r="T919"/>
  <c r="S919"/>
  <c r="R919"/>
  <c r="Q919"/>
  <c r="P919"/>
  <c r="O919"/>
  <c r="N919"/>
  <c r="M919"/>
  <c r="K919"/>
  <c r="J919"/>
  <c r="I919"/>
  <c r="H919"/>
  <c r="G919"/>
  <c r="F919"/>
  <c r="Y918"/>
  <c r="X918"/>
  <c r="X917"/>
  <c r="L917"/>
  <c r="E917" s="1"/>
  <c r="X916"/>
  <c r="V916"/>
  <c r="U916"/>
  <c r="T916"/>
  <c r="S916"/>
  <c r="R916"/>
  <c r="Q916"/>
  <c r="P916"/>
  <c r="O916"/>
  <c r="N916"/>
  <c r="M916"/>
  <c r="K916"/>
  <c r="J916"/>
  <c r="I916"/>
  <c r="H916"/>
  <c r="G916"/>
  <c r="F916"/>
  <c r="Y915"/>
  <c r="X915"/>
  <c r="Z915" s="1"/>
  <c r="X914"/>
  <c r="L914"/>
  <c r="Y914" s="1"/>
  <c r="X913"/>
  <c r="L913"/>
  <c r="E913" s="1"/>
  <c r="X912"/>
  <c r="V912"/>
  <c r="U912"/>
  <c r="T912"/>
  <c r="S912"/>
  <c r="R912"/>
  <c r="Q912"/>
  <c r="P912"/>
  <c r="O912"/>
  <c r="N912"/>
  <c r="M912"/>
  <c r="K912"/>
  <c r="J912"/>
  <c r="I912"/>
  <c r="H912"/>
  <c r="G912"/>
  <c r="F912"/>
  <c r="Y911"/>
  <c r="X911"/>
  <c r="Y910"/>
  <c r="X910"/>
  <c r="U910"/>
  <c r="F910"/>
  <c r="Y909"/>
  <c r="X909"/>
  <c r="U909"/>
  <c r="F909"/>
  <c r="Y908"/>
  <c r="X908"/>
  <c r="U908"/>
  <c r="F908"/>
  <c r="Y907"/>
  <c r="X907"/>
  <c r="U907"/>
  <c r="F907"/>
  <c r="X906"/>
  <c r="V906"/>
  <c r="U906"/>
  <c r="T906"/>
  <c r="S906"/>
  <c r="R906"/>
  <c r="Q906"/>
  <c r="P906"/>
  <c r="O906"/>
  <c r="N906"/>
  <c r="M906"/>
  <c r="L906"/>
  <c r="K906"/>
  <c r="J906"/>
  <c r="I906"/>
  <c r="H906"/>
  <c r="G906"/>
  <c r="Y905"/>
  <c r="X905"/>
  <c r="Y904"/>
  <c r="X904"/>
  <c r="K904"/>
  <c r="F904"/>
  <c r="E904" s="1"/>
  <c r="Y903"/>
  <c r="X903"/>
  <c r="U903"/>
  <c r="K903"/>
  <c r="F903"/>
  <c r="E903" s="1"/>
  <c r="X902"/>
  <c r="V902"/>
  <c r="U902"/>
  <c r="T902"/>
  <c r="S902"/>
  <c r="R902"/>
  <c r="Q902"/>
  <c r="P902"/>
  <c r="O902"/>
  <c r="N902"/>
  <c r="M902"/>
  <c r="L902"/>
  <c r="J902"/>
  <c r="I902"/>
  <c r="H902"/>
  <c r="G902"/>
  <c r="F902"/>
  <c r="Y901"/>
  <c r="X901"/>
  <c r="Z901" s="1"/>
  <c r="X900"/>
  <c r="L900"/>
  <c r="E900" s="1"/>
  <c r="N898" i="7" s="1"/>
  <c r="X899" i="5"/>
  <c r="L899"/>
  <c r="Y899" s="1"/>
  <c r="X898"/>
  <c r="V898"/>
  <c r="U898"/>
  <c r="T898"/>
  <c r="S898"/>
  <c r="R898"/>
  <c r="Q898"/>
  <c r="P898"/>
  <c r="O898"/>
  <c r="N898"/>
  <c r="M898"/>
  <c r="K898"/>
  <c r="J898"/>
  <c r="I898"/>
  <c r="H898"/>
  <c r="G898"/>
  <c r="F898"/>
  <c r="Y897"/>
  <c r="X897"/>
  <c r="X896"/>
  <c r="L896"/>
  <c r="E896" s="1"/>
  <c r="X895"/>
  <c r="V895"/>
  <c r="U895"/>
  <c r="T895"/>
  <c r="S895"/>
  <c r="R895"/>
  <c r="Q895"/>
  <c r="P895"/>
  <c r="O895"/>
  <c r="N895"/>
  <c r="M895"/>
  <c r="K895"/>
  <c r="J895"/>
  <c r="I895"/>
  <c r="H895"/>
  <c r="G895"/>
  <c r="F895"/>
  <c r="Y894"/>
  <c r="X894"/>
  <c r="Z894" s="1"/>
  <c r="Y893"/>
  <c r="X893"/>
  <c r="Z893" s="1"/>
  <c r="U893"/>
  <c r="F893"/>
  <c r="E893" s="1"/>
  <c r="N891" i="7" s="1"/>
  <c r="X892" i="5"/>
  <c r="L892"/>
  <c r="Y892" s="1"/>
  <c r="X891"/>
  <c r="L891"/>
  <c r="E891" s="1"/>
  <c r="N889" i="7" s="1"/>
  <c r="X890" i="5"/>
  <c r="L890"/>
  <c r="Y890" s="1"/>
  <c r="X889"/>
  <c r="L889"/>
  <c r="E889" s="1"/>
  <c r="N887" i="7" s="1"/>
  <c r="X888" i="5"/>
  <c r="L888"/>
  <c r="Y888" s="1"/>
  <c r="X887"/>
  <c r="L887"/>
  <c r="E887" s="1"/>
  <c r="N885" i="7" s="1"/>
  <c r="X886" i="5"/>
  <c r="Z886" s="1"/>
  <c r="L886"/>
  <c r="Y886" s="1"/>
  <c r="E886"/>
  <c r="N884" i="7" s="1"/>
  <c r="X885" i="5"/>
  <c r="L885"/>
  <c r="E885" s="1"/>
  <c r="N883" i="7" s="1"/>
  <c r="X884" i="5"/>
  <c r="L884"/>
  <c r="Y884" s="1"/>
  <c r="X883"/>
  <c r="L883"/>
  <c r="E883" s="1"/>
  <c r="N881" i="7" s="1"/>
  <c r="X882" i="5"/>
  <c r="L882"/>
  <c r="Y882" s="1"/>
  <c r="X881"/>
  <c r="L881"/>
  <c r="E881" s="1"/>
  <c r="X880"/>
  <c r="V880"/>
  <c r="U880"/>
  <c r="T880"/>
  <c r="S880"/>
  <c r="R880"/>
  <c r="Q880"/>
  <c r="P880"/>
  <c r="O880"/>
  <c r="N880"/>
  <c r="M880"/>
  <c r="K880"/>
  <c r="J880"/>
  <c r="I880"/>
  <c r="H880"/>
  <c r="G880"/>
  <c r="F880"/>
  <c r="Y879"/>
  <c r="X879"/>
  <c r="X878"/>
  <c r="L878"/>
  <c r="Y878" s="1"/>
  <c r="X877"/>
  <c r="L877"/>
  <c r="E877" s="1"/>
  <c r="X876"/>
  <c r="V876"/>
  <c r="U876"/>
  <c r="T876"/>
  <c r="S876"/>
  <c r="R876"/>
  <c r="Q876"/>
  <c r="P876"/>
  <c r="O876"/>
  <c r="N876"/>
  <c r="M876"/>
  <c r="K876"/>
  <c r="J876"/>
  <c r="I876"/>
  <c r="H876"/>
  <c r="G876"/>
  <c r="F876"/>
  <c r="Y875"/>
  <c r="X875"/>
  <c r="X874"/>
  <c r="L874"/>
  <c r="Y874" s="1"/>
  <c r="X873"/>
  <c r="L873"/>
  <c r="E873" s="1"/>
  <c r="N871" i="7" s="1"/>
  <c r="X872" i="5"/>
  <c r="L872"/>
  <c r="Y872" s="1"/>
  <c r="X871"/>
  <c r="L871"/>
  <c r="E871" s="1"/>
  <c r="N869" i="7" s="1"/>
  <c r="X870" i="5"/>
  <c r="Z870" s="1"/>
  <c r="L870"/>
  <c r="Y870" s="1"/>
  <c r="E870"/>
  <c r="X869"/>
  <c r="V869"/>
  <c r="U869"/>
  <c r="T869"/>
  <c r="S869"/>
  <c r="R869"/>
  <c r="Q869"/>
  <c r="P869"/>
  <c r="O869"/>
  <c r="N869"/>
  <c r="M869"/>
  <c r="L869"/>
  <c r="Y869" s="1"/>
  <c r="K869"/>
  <c r="J869"/>
  <c r="I869"/>
  <c r="H869"/>
  <c r="G869"/>
  <c r="F869"/>
  <c r="Y868"/>
  <c r="X868"/>
  <c r="Z868" s="1"/>
  <c r="X867"/>
  <c r="L867"/>
  <c r="E867" s="1"/>
  <c r="N865" i="7" s="1"/>
  <c r="X866" i="5"/>
  <c r="L866"/>
  <c r="Y866" s="1"/>
  <c r="X865"/>
  <c r="L865"/>
  <c r="E865" s="1"/>
  <c r="N863" i="7" s="1"/>
  <c r="X864" i="5"/>
  <c r="V864"/>
  <c r="U864"/>
  <c r="T864"/>
  <c r="S864"/>
  <c r="R864"/>
  <c r="Q864"/>
  <c r="P864"/>
  <c r="O864"/>
  <c r="N864"/>
  <c r="M864"/>
  <c r="K864"/>
  <c r="J864"/>
  <c r="I864"/>
  <c r="H864"/>
  <c r="G864"/>
  <c r="F864"/>
  <c r="Y863"/>
  <c r="X863"/>
  <c r="X862"/>
  <c r="L862"/>
  <c r="Y862" s="1"/>
  <c r="X861"/>
  <c r="L861"/>
  <c r="E861" s="1"/>
  <c r="N859" i="7" s="1"/>
  <c r="X860" i="5"/>
  <c r="Z860" s="1"/>
  <c r="L860"/>
  <c r="Y860" s="1"/>
  <c r="E860"/>
  <c r="N858" i="7" s="1"/>
  <c r="X859" i="5"/>
  <c r="L859"/>
  <c r="E859" s="1"/>
  <c r="N857" i="7" s="1"/>
  <c r="X858" i="5"/>
  <c r="L858"/>
  <c r="Y858" s="1"/>
  <c r="X857"/>
  <c r="L857"/>
  <c r="X856"/>
  <c r="L856"/>
  <c r="Y856" s="1"/>
  <c r="X855"/>
  <c r="L855"/>
  <c r="E855" s="1"/>
  <c r="N853" i="7" s="1"/>
  <c r="X854" i="5"/>
  <c r="L854"/>
  <c r="Y854" s="1"/>
  <c r="X853"/>
  <c r="L853"/>
  <c r="E853" s="1"/>
  <c r="N851" i="7" s="1"/>
  <c r="X852" i="5"/>
  <c r="L852"/>
  <c r="Y852" s="1"/>
  <c r="E852"/>
  <c r="N850" i="7" s="1"/>
  <c r="X851" i="5"/>
  <c r="L851"/>
  <c r="X850"/>
  <c r="V850"/>
  <c r="U850"/>
  <c r="T850"/>
  <c r="S850"/>
  <c r="R850"/>
  <c r="Q850"/>
  <c r="P850"/>
  <c r="O850"/>
  <c r="N850"/>
  <c r="M850"/>
  <c r="K850"/>
  <c r="J850"/>
  <c r="I850"/>
  <c r="H850"/>
  <c r="G850"/>
  <c r="F850"/>
  <c r="Y849"/>
  <c r="X849"/>
  <c r="X848"/>
  <c r="L848"/>
  <c r="Y848" s="1"/>
  <c r="E848"/>
  <c r="N846" i="7" s="1"/>
  <c r="X847" i="5"/>
  <c r="L847"/>
  <c r="E847" s="1"/>
  <c r="N845" i="7" s="1"/>
  <c r="X846" i="5"/>
  <c r="L846"/>
  <c r="Y846" s="1"/>
  <c r="X845"/>
  <c r="L845"/>
  <c r="E845" s="1"/>
  <c r="N843" i="7" s="1"/>
  <c r="X844" i="5"/>
  <c r="L844"/>
  <c r="Y844" s="1"/>
  <c r="X843"/>
  <c r="L843"/>
  <c r="Y843" s="1"/>
  <c r="X842"/>
  <c r="L842"/>
  <c r="Y842" s="1"/>
  <c r="X841"/>
  <c r="V841"/>
  <c r="U841"/>
  <c r="T841"/>
  <c r="S841"/>
  <c r="R841"/>
  <c r="Q841"/>
  <c r="P841"/>
  <c r="O841"/>
  <c r="N841"/>
  <c r="M841"/>
  <c r="K841"/>
  <c r="J841"/>
  <c r="J705" s="1"/>
  <c r="I841"/>
  <c r="H841"/>
  <c r="G841"/>
  <c r="F841"/>
  <c r="Y840"/>
  <c r="X840"/>
  <c r="L838"/>
  <c r="E838" s="1"/>
  <c r="N836" i="7" s="1"/>
  <c r="L837" i="5"/>
  <c r="E837" s="1"/>
  <c r="N835" i="7" s="1"/>
  <c r="R835" s="1"/>
  <c r="L836" i="5"/>
  <c r="E836" s="1"/>
  <c r="N834" i="7" s="1"/>
  <c r="R834" s="1"/>
  <c r="L835" i="5"/>
  <c r="E835" s="1"/>
  <c r="N833" i="7" s="1"/>
  <c r="S833" s="1"/>
  <c r="Y834" i="5"/>
  <c r="X834"/>
  <c r="H834"/>
  <c r="E834" s="1"/>
  <c r="N832" i="7" s="1"/>
  <c r="Y833" i="5"/>
  <c r="X833"/>
  <c r="H833"/>
  <c r="E833" s="1"/>
  <c r="N831" i="7" s="1"/>
  <c r="X832" i="5"/>
  <c r="L832"/>
  <c r="Y832" s="1"/>
  <c r="Y831"/>
  <c r="X831"/>
  <c r="U831"/>
  <c r="F831"/>
  <c r="X830"/>
  <c r="L830"/>
  <c r="Y830" s="1"/>
  <c r="X829"/>
  <c r="Z829" s="1"/>
  <c r="L829"/>
  <c r="Y829" s="1"/>
  <c r="X828"/>
  <c r="Z828" s="1"/>
  <c r="L828"/>
  <c r="Y828" s="1"/>
  <c r="E828"/>
  <c r="N826" i="7" s="1"/>
  <c r="X827" i="5"/>
  <c r="L827"/>
  <c r="Y827" s="1"/>
  <c r="X826"/>
  <c r="L826"/>
  <c r="Y826" s="1"/>
  <c r="X825"/>
  <c r="L825"/>
  <c r="Y825" s="1"/>
  <c r="X824"/>
  <c r="L824"/>
  <c r="Y824" s="1"/>
  <c r="X823"/>
  <c r="L823"/>
  <c r="Y823" s="1"/>
  <c r="X822"/>
  <c r="L822"/>
  <c r="Y822" s="1"/>
  <c r="X821"/>
  <c r="Z821" s="1"/>
  <c r="L821"/>
  <c r="Y821" s="1"/>
  <c r="X820"/>
  <c r="Z820" s="1"/>
  <c r="L820"/>
  <c r="Y820" s="1"/>
  <c r="E820"/>
  <c r="N818" i="7" s="1"/>
  <c r="X819" i="5"/>
  <c r="L819"/>
  <c r="Y819" s="1"/>
  <c r="X818"/>
  <c r="L818"/>
  <c r="Y818" s="1"/>
  <c r="X817"/>
  <c r="L817"/>
  <c r="Y817" s="1"/>
  <c r="X816"/>
  <c r="L816"/>
  <c r="Y816" s="1"/>
  <c r="X815"/>
  <c r="L815"/>
  <c r="Y815" s="1"/>
  <c r="X814"/>
  <c r="L814"/>
  <c r="Y814" s="1"/>
  <c r="X813"/>
  <c r="Z813" s="1"/>
  <c r="L813"/>
  <c r="Y813" s="1"/>
  <c r="X812"/>
  <c r="Z812" s="1"/>
  <c r="L812"/>
  <c r="Y812" s="1"/>
  <c r="E812"/>
  <c r="N810" i="7" s="1"/>
  <c r="X811" i="5"/>
  <c r="L811"/>
  <c r="Y811" s="1"/>
  <c r="X810"/>
  <c r="L810"/>
  <c r="Y810" s="1"/>
  <c r="X809"/>
  <c r="L809"/>
  <c r="Y809" s="1"/>
  <c r="X808"/>
  <c r="L808"/>
  <c r="Y808" s="1"/>
  <c r="X807"/>
  <c r="L807"/>
  <c r="Y807" s="1"/>
  <c r="X806"/>
  <c r="L806"/>
  <c r="Y806" s="1"/>
  <c r="X805"/>
  <c r="Z805" s="1"/>
  <c r="L805"/>
  <c r="Y805" s="1"/>
  <c r="X804"/>
  <c r="Z804" s="1"/>
  <c r="L804"/>
  <c r="Y804" s="1"/>
  <c r="E804"/>
  <c r="N802" i="7" s="1"/>
  <c r="X803" i="5"/>
  <c r="L803"/>
  <c r="Y803" s="1"/>
  <c r="X802"/>
  <c r="L802"/>
  <c r="Y802" s="1"/>
  <c r="X801"/>
  <c r="L801"/>
  <c r="Y801" s="1"/>
  <c r="X800"/>
  <c r="L800"/>
  <c r="Y800" s="1"/>
  <c r="X799"/>
  <c r="L799"/>
  <c r="Y799" s="1"/>
  <c r="X798"/>
  <c r="L798"/>
  <c r="Y798" s="1"/>
  <c r="X797"/>
  <c r="Z797" s="1"/>
  <c r="L797"/>
  <c r="Y797" s="1"/>
  <c r="X796"/>
  <c r="Z796" s="1"/>
  <c r="L796"/>
  <c r="Y796" s="1"/>
  <c r="E796"/>
  <c r="N794" i="7" s="1"/>
  <c r="X795" i="5"/>
  <c r="L795"/>
  <c r="Y795" s="1"/>
  <c r="X794"/>
  <c r="L794"/>
  <c r="Y794" s="1"/>
  <c r="X793"/>
  <c r="L793"/>
  <c r="Y793" s="1"/>
  <c r="X792"/>
  <c r="L792"/>
  <c r="Y792" s="1"/>
  <c r="X791"/>
  <c r="L791"/>
  <c r="Y791" s="1"/>
  <c r="X790"/>
  <c r="L790"/>
  <c r="Y790" s="1"/>
  <c r="X789"/>
  <c r="Z789" s="1"/>
  <c r="L789"/>
  <c r="Y789" s="1"/>
  <c r="X788"/>
  <c r="Z788" s="1"/>
  <c r="L788"/>
  <c r="Y788" s="1"/>
  <c r="E788"/>
  <c r="N786" i="7" s="1"/>
  <c r="X787" i="5"/>
  <c r="L787"/>
  <c r="Y787" s="1"/>
  <c r="X786"/>
  <c r="L786"/>
  <c r="Y786" s="1"/>
  <c r="X785"/>
  <c r="L785"/>
  <c r="Y785" s="1"/>
  <c r="X784"/>
  <c r="L784"/>
  <c r="Y784" s="1"/>
  <c r="X783"/>
  <c r="L783"/>
  <c r="Y783" s="1"/>
  <c r="X782"/>
  <c r="L782"/>
  <c r="Y782" s="1"/>
  <c r="X781"/>
  <c r="Z781" s="1"/>
  <c r="L781"/>
  <c r="Y781" s="1"/>
  <c r="X780"/>
  <c r="Z780" s="1"/>
  <c r="L780"/>
  <c r="Y780" s="1"/>
  <c r="E780"/>
  <c r="N778" i="7" s="1"/>
  <c r="X779" i="5"/>
  <c r="L779"/>
  <c r="Y779" s="1"/>
  <c r="X778"/>
  <c r="L778"/>
  <c r="Y778" s="1"/>
  <c r="X777"/>
  <c r="L777"/>
  <c r="E777" s="1"/>
  <c r="N775" i="7" s="1"/>
  <c r="X776" i="5"/>
  <c r="L776"/>
  <c r="Y776" s="1"/>
  <c r="X775"/>
  <c r="L775"/>
  <c r="E775" s="1"/>
  <c r="N773" i="7" s="1"/>
  <c r="X774" i="5"/>
  <c r="L774"/>
  <c r="Y774" s="1"/>
  <c r="X773"/>
  <c r="L773"/>
  <c r="E773" s="1"/>
  <c r="N771" i="7" s="1"/>
  <c r="X772" i="5"/>
  <c r="Z772" s="1"/>
  <c r="L772"/>
  <c r="Y772" s="1"/>
  <c r="E772"/>
  <c r="N770" i="7" s="1"/>
  <c r="X771" i="5"/>
  <c r="L771"/>
  <c r="E771" s="1"/>
  <c r="N769" i="7" s="1"/>
  <c r="X770" i="5"/>
  <c r="L770"/>
  <c r="Y770" s="1"/>
  <c r="Z770" s="1"/>
  <c r="X769"/>
  <c r="L769"/>
  <c r="E769" s="1"/>
  <c r="N767" i="7" s="1"/>
  <c r="X768" i="5"/>
  <c r="L768"/>
  <c r="Y768" s="1"/>
  <c r="X767"/>
  <c r="L767"/>
  <c r="E767" s="1"/>
  <c r="N765" i="7" s="1"/>
  <c r="X766" i="5"/>
  <c r="L766"/>
  <c r="Y766" s="1"/>
  <c r="X765"/>
  <c r="L765"/>
  <c r="E765" s="1"/>
  <c r="N763" i="7" s="1"/>
  <c r="X764" i="5"/>
  <c r="Z764" s="1"/>
  <c r="L764"/>
  <c r="Y764" s="1"/>
  <c r="E764"/>
  <c r="N762" i="7" s="1"/>
  <c r="X763" i="5"/>
  <c r="L763"/>
  <c r="E763" s="1"/>
  <c r="N761" i="7" s="1"/>
  <c r="X762" i="5"/>
  <c r="L762"/>
  <c r="Y762" s="1"/>
  <c r="Z762" s="1"/>
  <c r="X761"/>
  <c r="L761"/>
  <c r="E761" s="1"/>
  <c r="N759" i="7" s="1"/>
  <c r="X760" i="5"/>
  <c r="L760"/>
  <c r="Y760" s="1"/>
  <c r="X759"/>
  <c r="L759"/>
  <c r="E759" s="1"/>
  <c r="N757" i="7" s="1"/>
  <c r="X758" i="5"/>
  <c r="L758"/>
  <c r="Y758" s="1"/>
  <c r="X757"/>
  <c r="L757"/>
  <c r="E757" s="1"/>
  <c r="N755" i="7" s="1"/>
  <c r="X756" i="5"/>
  <c r="Z756" s="1"/>
  <c r="L756"/>
  <c r="Y756" s="1"/>
  <c r="E756"/>
  <c r="N754" i="7" s="1"/>
  <c r="X755" i="5"/>
  <c r="L755"/>
  <c r="E755" s="1"/>
  <c r="N753" i="7" s="1"/>
  <c r="X754" i="5"/>
  <c r="L754"/>
  <c r="Y754" s="1"/>
  <c r="Z754" s="1"/>
  <c r="X753"/>
  <c r="L753"/>
  <c r="E753" s="1"/>
  <c r="N751" i="7" s="1"/>
  <c r="X752" i="5"/>
  <c r="L752"/>
  <c r="Y752" s="1"/>
  <c r="X751"/>
  <c r="L751"/>
  <c r="E751" s="1"/>
  <c r="N749" i="7" s="1"/>
  <c r="X750" i="5"/>
  <c r="L750"/>
  <c r="Y750" s="1"/>
  <c r="X749"/>
  <c r="L749"/>
  <c r="E749" s="1"/>
  <c r="N747" i="7" s="1"/>
  <c r="X748" i="5"/>
  <c r="Z748" s="1"/>
  <c r="L748"/>
  <c r="Y748" s="1"/>
  <c r="E748"/>
  <c r="N746" i="7" s="1"/>
  <c r="X747" i="5"/>
  <c r="L747"/>
  <c r="E747" s="1"/>
  <c r="N745" i="7" s="1"/>
  <c r="X746" i="5"/>
  <c r="L746"/>
  <c r="Y746" s="1"/>
  <c r="Z746" s="1"/>
  <c r="X745"/>
  <c r="L745"/>
  <c r="E745" s="1"/>
  <c r="N743" i="7" s="1"/>
  <c r="X744" i="5"/>
  <c r="L744"/>
  <c r="Y744" s="1"/>
  <c r="X743"/>
  <c r="L743"/>
  <c r="E743" s="1"/>
  <c r="N741" i="7" s="1"/>
  <c r="X742" i="5"/>
  <c r="L742"/>
  <c r="Y742" s="1"/>
  <c r="X741"/>
  <c r="L741"/>
  <c r="E741" s="1"/>
  <c r="N739" i="7" s="1"/>
  <c r="X740" i="5"/>
  <c r="Z740" s="1"/>
  <c r="L740"/>
  <c r="Y740" s="1"/>
  <c r="E740"/>
  <c r="N738" i="7" s="1"/>
  <c r="X739" i="5"/>
  <c r="L739"/>
  <c r="E739" s="1"/>
  <c r="N737" i="7" s="1"/>
  <c r="X738" i="5"/>
  <c r="L738"/>
  <c r="Y738" s="1"/>
  <c r="Z738" s="1"/>
  <c r="X737"/>
  <c r="L737"/>
  <c r="E737" s="1"/>
  <c r="N735" i="7" s="1"/>
  <c r="X736" i="5"/>
  <c r="L736"/>
  <c r="Y736" s="1"/>
  <c r="X735"/>
  <c r="L735"/>
  <c r="E735" s="1"/>
  <c r="N733" i="7" s="1"/>
  <c r="X734" i="5"/>
  <c r="L734"/>
  <c r="Y734" s="1"/>
  <c r="X733"/>
  <c r="L733"/>
  <c r="E733" s="1"/>
  <c r="N731" i="7" s="1"/>
  <c r="X732" i="5"/>
  <c r="Z732" s="1"/>
  <c r="L732"/>
  <c r="Y732" s="1"/>
  <c r="E732"/>
  <c r="N730" i="7" s="1"/>
  <c r="X731" i="5"/>
  <c r="L731"/>
  <c r="E731" s="1"/>
  <c r="N729" i="7" s="1"/>
  <c r="X730" i="5"/>
  <c r="U730"/>
  <c r="U707" s="1"/>
  <c r="L730"/>
  <c r="Y730" s="1"/>
  <c r="F730"/>
  <c r="F707" s="1"/>
  <c r="X729"/>
  <c r="L729"/>
  <c r="E729" s="1"/>
  <c r="N727" i="7" s="1"/>
  <c r="X728" i="5"/>
  <c r="L728"/>
  <c r="Y728" s="1"/>
  <c r="X727"/>
  <c r="L727"/>
  <c r="E727" s="1"/>
  <c r="N725" i="7" s="1"/>
  <c r="X726" i="5"/>
  <c r="L726"/>
  <c r="Y726" s="1"/>
  <c r="X725"/>
  <c r="L725"/>
  <c r="E725" s="1"/>
  <c r="N723" i="7" s="1"/>
  <c r="X724" i="5"/>
  <c r="Z724" s="1"/>
  <c r="L724"/>
  <c r="Y724" s="1"/>
  <c r="E724"/>
  <c r="N722" i="7" s="1"/>
  <c r="X723" i="5"/>
  <c r="L723"/>
  <c r="E723" s="1"/>
  <c r="N721" i="7" s="1"/>
  <c r="X722" i="5"/>
  <c r="L722"/>
  <c r="Y722" s="1"/>
  <c r="X721"/>
  <c r="L721"/>
  <c r="E721" s="1"/>
  <c r="N719" i="7" s="1"/>
  <c r="X720" i="5"/>
  <c r="L720"/>
  <c r="Y720" s="1"/>
  <c r="X719"/>
  <c r="L719"/>
  <c r="Y719" s="1"/>
  <c r="X718"/>
  <c r="L718"/>
  <c r="Y718" s="1"/>
  <c r="X717"/>
  <c r="L717"/>
  <c r="Y717" s="1"/>
  <c r="X716"/>
  <c r="L716"/>
  <c r="Y716" s="1"/>
  <c r="E716"/>
  <c r="N714" i="7" s="1"/>
  <c r="X715" i="5"/>
  <c r="L715"/>
  <c r="Y715" s="1"/>
  <c r="X714"/>
  <c r="L714"/>
  <c r="Y714" s="1"/>
  <c r="X713"/>
  <c r="L713"/>
  <c r="Y713" s="1"/>
  <c r="X712"/>
  <c r="L712"/>
  <c r="Y712" s="1"/>
  <c r="X711"/>
  <c r="L711"/>
  <c r="Y711" s="1"/>
  <c r="X710"/>
  <c r="L710"/>
  <c r="Y710" s="1"/>
  <c r="X709"/>
  <c r="L709"/>
  <c r="Y709" s="1"/>
  <c r="X708"/>
  <c r="L708"/>
  <c r="E708"/>
  <c r="X707"/>
  <c r="Y706"/>
  <c r="X706"/>
  <c r="X705"/>
  <c r="I705"/>
  <c r="Y704"/>
  <c r="X704"/>
  <c r="Z704" s="1"/>
  <c r="X703"/>
  <c r="L703"/>
  <c r="Y703" s="1"/>
  <c r="X702"/>
  <c r="L702"/>
  <c r="Y702" s="1"/>
  <c r="X701"/>
  <c r="L701"/>
  <c r="Y701" s="1"/>
  <c r="X700"/>
  <c r="L700"/>
  <c r="Y700" s="1"/>
  <c r="X699"/>
  <c r="L699"/>
  <c r="Y699" s="1"/>
  <c r="X698"/>
  <c r="L698"/>
  <c r="Y698" s="1"/>
  <c r="X697"/>
  <c r="L697"/>
  <c r="Y697" s="1"/>
  <c r="X696"/>
  <c r="L696"/>
  <c r="Y696" s="1"/>
  <c r="E696"/>
  <c r="N694" i="7" s="1"/>
  <c r="X695" i="5"/>
  <c r="L695"/>
  <c r="Y695" s="1"/>
  <c r="X694"/>
  <c r="L694"/>
  <c r="Y694" s="1"/>
  <c r="X693"/>
  <c r="V693"/>
  <c r="U693"/>
  <c r="T693"/>
  <c r="S693"/>
  <c r="R693"/>
  <c r="Q693"/>
  <c r="P693"/>
  <c r="O693"/>
  <c r="N693"/>
  <c r="M693"/>
  <c r="K693"/>
  <c r="J693"/>
  <c r="I693"/>
  <c r="H693"/>
  <c r="G693"/>
  <c r="F693"/>
  <c r="Y692"/>
  <c r="X692"/>
  <c r="X691"/>
  <c r="L691"/>
  <c r="Y691" s="1"/>
  <c r="X690"/>
  <c r="V690"/>
  <c r="U690"/>
  <c r="T690"/>
  <c r="S690"/>
  <c r="R690"/>
  <c r="Q690"/>
  <c r="P690"/>
  <c r="O690"/>
  <c r="N690"/>
  <c r="M690"/>
  <c r="K690"/>
  <c r="J690"/>
  <c r="I690"/>
  <c r="H690"/>
  <c r="G690"/>
  <c r="F690"/>
  <c r="Y689"/>
  <c r="X689"/>
  <c r="Z689" s="1"/>
  <c r="X688"/>
  <c r="L688"/>
  <c r="Y688" s="1"/>
  <c r="X687"/>
  <c r="L687"/>
  <c r="Y687" s="1"/>
  <c r="X686"/>
  <c r="L686"/>
  <c r="Y686" s="1"/>
  <c r="X685"/>
  <c r="L685"/>
  <c r="Y685" s="1"/>
  <c r="X684"/>
  <c r="L684"/>
  <c r="Y684" s="1"/>
  <c r="X683"/>
  <c r="L683"/>
  <c r="Y683" s="1"/>
  <c r="X682"/>
  <c r="L682"/>
  <c r="Y682" s="1"/>
  <c r="E682"/>
  <c r="N680" i="7" s="1"/>
  <c r="X681" i="5"/>
  <c r="V681"/>
  <c r="U681"/>
  <c r="T681"/>
  <c r="S681"/>
  <c r="R681"/>
  <c r="Q681"/>
  <c r="P681"/>
  <c r="O681"/>
  <c r="N681"/>
  <c r="M681"/>
  <c r="L681"/>
  <c r="Y681" s="1"/>
  <c r="K681"/>
  <c r="J681"/>
  <c r="I681"/>
  <c r="H681"/>
  <c r="G681"/>
  <c r="F681"/>
  <c r="Y680"/>
  <c r="X680"/>
  <c r="Z680" s="1"/>
  <c r="X679"/>
  <c r="L679"/>
  <c r="Y679" s="1"/>
  <c r="X678"/>
  <c r="L678"/>
  <c r="Y678" s="1"/>
  <c r="X677"/>
  <c r="L677"/>
  <c r="Y677" s="1"/>
  <c r="X676"/>
  <c r="V676"/>
  <c r="U676"/>
  <c r="T676"/>
  <c r="S676"/>
  <c r="R676"/>
  <c r="Q676"/>
  <c r="P676"/>
  <c r="O676"/>
  <c r="N676"/>
  <c r="M676"/>
  <c r="K676"/>
  <c r="J676"/>
  <c r="I676"/>
  <c r="H676"/>
  <c r="G676"/>
  <c r="F676"/>
  <c r="Y675"/>
  <c r="X675"/>
  <c r="X674"/>
  <c r="L674"/>
  <c r="Y674" s="1"/>
  <c r="X673"/>
  <c r="V673"/>
  <c r="U673"/>
  <c r="T673"/>
  <c r="S673"/>
  <c r="R673"/>
  <c r="Q673"/>
  <c r="P673"/>
  <c r="O673"/>
  <c r="N673"/>
  <c r="M673"/>
  <c r="K673"/>
  <c r="J673"/>
  <c r="I673"/>
  <c r="H673"/>
  <c r="G673"/>
  <c r="F673"/>
  <c r="Y672"/>
  <c r="X672"/>
  <c r="X671"/>
  <c r="L671"/>
  <c r="Y671" s="1"/>
  <c r="X670"/>
  <c r="V670"/>
  <c r="U670"/>
  <c r="T670"/>
  <c r="S670"/>
  <c r="R670"/>
  <c r="Q670"/>
  <c r="P670"/>
  <c r="O670"/>
  <c r="N670"/>
  <c r="M670"/>
  <c r="K670"/>
  <c r="J670"/>
  <c r="I670"/>
  <c r="H670"/>
  <c r="G670"/>
  <c r="F670"/>
  <c r="Y669"/>
  <c r="X669"/>
  <c r="X668"/>
  <c r="L668"/>
  <c r="Y668" s="1"/>
  <c r="X667"/>
  <c r="V667"/>
  <c r="U667"/>
  <c r="T667"/>
  <c r="S667"/>
  <c r="R667"/>
  <c r="Q667"/>
  <c r="P667"/>
  <c r="O667"/>
  <c r="N667"/>
  <c r="M667"/>
  <c r="K667"/>
  <c r="J667"/>
  <c r="I667"/>
  <c r="H667"/>
  <c r="G667"/>
  <c r="F667"/>
  <c r="Y666"/>
  <c r="X666"/>
  <c r="X665"/>
  <c r="L665"/>
  <c r="Y665" s="1"/>
  <c r="X664"/>
  <c r="L664"/>
  <c r="Y664" s="1"/>
  <c r="X663"/>
  <c r="L663"/>
  <c r="Y663" s="1"/>
  <c r="X662"/>
  <c r="V662"/>
  <c r="U662"/>
  <c r="T662"/>
  <c r="S662"/>
  <c r="R662"/>
  <c r="Q662"/>
  <c r="P662"/>
  <c r="O662"/>
  <c r="N662"/>
  <c r="M662"/>
  <c r="K662"/>
  <c r="J662"/>
  <c r="I662"/>
  <c r="H662"/>
  <c r="G662"/>
  <c r="F662"/>
  <c r="Y661"/>
  <c r="X661"/>
  <c r="X660"/>
  <c r="L660"/>
  <c r="Y660" s="1"/>
  <c r="X659"/>
  <c r="L659"/>
  <c r="Y659" s="1"/>
  <c r="X658"/>
  <c r="V658"/>
  <c r="U658"/>
  <c r="T658"/>
  <c r="S658"/>
  <c r="R658"/>
  <c r="Q658"/>
  <c r="P658"/>
  <c r="O658"/>
  <c r="N658"/>
  <c r="M658"/>
  <c r="K658"/>
  <c r="J658"/>
  <c r="I658"/>
  <c r="H658"/>
  <c r="G658"/>
  <c r="F658"/>
  <c r="Y657"/>
  <c r="X657"/>
  <c r="X656"/>
  <c r="L656"/>
  <c r="Y656" s="1"/>
  <c r="X655"/>
  <c r="L655"/>
  <c r="Y655" s="1"/>
  <c r="X654"/>
  <c r="V654"/>
  <c r="U654"/>
  <c r="T654"/>
  <c r="S654"/>
  <c r="R654"/>
  <c r="Q654"/>
  <c r="P654"/>
  <c r="O654"/>
  <c r="N654"/>
  <c r="M654"/>
  <c r="K654"/>
  <c r="J654"/>
  <c r="I654"/>
  <c r="H654"/>
  <c r="G654"/>
  <c r="F654"/>
  <c r="Y653"/>
  <c r="X653"/>
  <c r="X652"/>
  <c r="L652"/>
  <c r="Y652" s="1"/>
  <c r="X651"/>
  <c r="L651"/>
  <c r="Y651" s="1"/>
  <c r="X650"/>
  <c r="V650"/>
  <c r="U650"/>
  <c r="T650"/>
  <c r="S650"/>
  <c r="R650"/>
  <c r="Q650"/>
  <c r="P650"/>
  <c r="O650"/>
  <c r="N650"/>
  <c r="M650"/>
  <c r="K650"/>
  <c r="J650"/>
  <c r="I650"/>
  <c r="H650"/>
  <c r="G650"/>
  <c r="F650"/>
  <c r="Y649"/>
  <c r="X649"/>
  <c r="X648"/>
  <c r="L648"/>
  <c r="Y648" s="1"/>
  <c r="X647"/>
  <c r="V647"/>
  <c r="U647"/>
  <c r="T647"/>
  <c r="S647"/>
  <c r="R647"/>
  <c r="Q647"/>
  <c r="P647"/>
  <c r="O647"/>
  <c r="N647"/>
  <c r="M647"/>
  <c r="K647"/>
  <c r="J647"/>
  <c r="I647"/>
  <c r="H647"/>
  <c r="G647"/>
  <c r="F647"/>
  <c r="Y646"/>
  <c r="X646"/>
  <c r="Y645"/>
  <c r="X645"/>
  <c r="F645"/>
  <c r="E645" s="1"/>
  <c r="N643" i="7" s="1"/>
  <c r="Y644" i="5"/>
  <c r="X644"/>
  <c r="U644"/>
  <c r="E644" s="1"/>
  <c r="N642" i="7" s="1"/>
  <c r="Y643" i="5"/>
  <c r="X643"/>
  <c r="F643"/>
  <c r="E643" s="1"/>
  <c r="N641" i="7" s="1"/>
  <c r="Y642" i="5"/>
  <c r="X642"/>
  <c r="Z642" s="1"/>
  <c r="F642"/>
  <c r="E642"/>
  <c r="N640" i="7" s="1"/>
  <c r="Y641" i="5"/>
  <c r="X641"/>
  <c r="Z641" s="1"/>
  <c r="F641"/>
  <c r="E641" s="1"/>
  <c r="X640"/>
  <c r="V640"/>
  <c r="U640"/>
  <c r="T640"/>
  <c r="S640"/>
  <c r="R640"/>
  <c r="Q640"/>
  <c r="P640"/>
  <c r="O640"/>
  <c r="N640"/>
  <c r="M640"/>
  <c r="L640"/>
  <c r="K640"/>
  <c r="J640"/>
  <c r="I640"/>
  <c r="H640"/>
  <c r="G640"/>
  <c r="Y639"/>
  <c r="X639"/>
  <c r="Z639" s="1"/>
  <c r="X638"/>
  <c r="L638"/>
  <c r="Y638" s="1"/>
  <c r="X637"/>
  <c r="V637"/>
  <c r="U637"/>
  <c r="T637"/>
  <c r="S637"/>
  <c r="R637"/>
  <c r="Q637"/>
  <c r="P637"/>
  <c r="O637"/>
  <c r="N637"/>
  <c r="M637"/>
  <c r="K637"/>
  <c r="J637"/>
  <c r="I637"/>
  <c r="H637"/>
  <c r="G637"/>
  <c r="F637"/>
  <c r="Y636"/>
  <c r="X636"/>
  <c r="X635"/>
  <c r="L635"/>
  <c r="Y635" s="1"/>
  <c r="X634"/>
  <c r="V634"/>
  <c r="U634"/>
  <c r="T634"/>
  <c r="S634"/>
  <c r="R634"/>
  <c r="Q634"/>
  <c r="P634"/>
  <c r="O634"/>
  <c r="N634"/>
  <c r="M634"/>
  <c r="K634"/>
  <c r="J634"/>
  <c r="I634"/>
  <c r="H634"/>
  <c r="G634"/>
  <c r="F634"/>
  <c r="Y633"/>
  <c r="X633"/>
  <c r="Z633" s="1"/>
  <c r="X632"/>
  <c r="L632"/>
  <c r="Y632" s="1"/>
  <c r="X631"/>
  <c r="L631"/>
  <c r="Y631" s="1"/>
  <c r="X630"/>
  <c r="L630"/>
  <c r="Y630" s="1"/>
  <c r="X629"/>
  <c r="V629"/>
  <c r="U629"/>
  <c r="T629"/>
  <c r="S629"/>
  <c r="R629"/>
  <c r="Q629"/>
  <c r="P629"/>
  <c r="O629"/>
  <c r="N629"/>
  <c r="M629"/>
  <c r="K629"/>
  <c r="J629"/>
  <c r="I629"/>
  <c r="H629"/>
  <c r="G629"/>
  <c r="F629"/>
  <c r="Y628"/>
  <c r="X628"/>
  <c r="X627"/>
  <c r="L627"/>
  <c r="Y627" s="1"/>
  <c r="X626"/>
  <c r="L626"/>
  <c r="Y626" s="1"/>
  <c r="X625"/>
  <c r="L625"/>
  <c r="Y625" s="1"/>
  <c r="X624"/>
  <c r="L624"/>
  <c r="Y624" s="1"/>
  <c r="E624"/>
  <c r="N622" i="7" s="1"/>
  <c r="X623" i="5"/>
  <c r="L623"/>
  <c r="Y623" s="1"/>
  <c r="X622"/>
  <c r="L622"/>
  <c r="Y622" s="1"/>
  <c r="X621"/>
  <c r="V621"/>
  <c r="U621"/>
  <c r="T621"/>
  <c r="S621"/>
  <c r="R621"/>
  <c r="Q621"/>
  <c r="P621"/>
  <c r="O621"/>
  <c r="N621"/>
  <c r="M621"/>
  <c r="K621"/>
  <c r="J621"/>
  <c r="I621"/>
  <c r="H621"/>
  <c r="G621"/>
  <c r="F621"/>
  <c r="Y620"/>
  <c r="X620"/>
  <c r="X619"/>
  <c r="L619"/>
  <c r="Y619" s="1"/>
  <c r="X618"/>
  <c r="V618"/>
  <c r="U618"/>
  <c r="U616" s="1"/>
  <c r="U615" s="1"/>
  <c r="U614" s="1"/>
  <c r="U613" s="1"/>
  <c r="U612" s="1"/>
  <c r="T618"/>
  <c r="S618"/>
  <c r="S616" s="1"/>
  <c r="S615" s="1"/>
  <c r="S614" s="1"/>
  <c r="S613" s="1"/>
  <c r="S612" s="1"/>
  <c r="R618"/>
  <c r="Q618"/>
  <c r="Q616" s="1"/>
  <c r="Q615" s="1"/>
  <c r="Q614" s="1"/>
  <c r="Q613" s="1"/>
  <c r="Q612" s="1"/>
  <c r="P618"/>
  <c r="O618"/>
  <c r="O616" s="1"/>
  <c r="O615" s="1"/>
  <c r="O614" s="1"/>
  <c r="O613" s="1"/>
  <c r="O612" s="1"/>
  <c r="N618"/>
  <c r="M618"/>
  <c r="M616" s="1"/>
  <c r="M615" s="1"/>
  <c r="M614" s="1"/>
  <c r="M613" s="1"/>
  <c r="M612" s="1"/>
  <c r="K618"/>
  <c r="J618"/>
  <c r="I618"/>
  <c r="H618"/>
  <c r="G618"/>
  <c r="F618"/>
  <c r="Y617"/>
  <c r="X617"/>
  <c r="Z617" s="1"/>
  <c r="X616"/>
  <c r="V616"/>
  <c r="V615" s="1"/>
  <c r="V614" s="1"/>
  <c r="V613" s="1"/>
  <c r="V612" s="1"/>
  <c r="T616"/>
  <c r="R616"/>
  <c r="R615" s="1"/>
  <c r="R614" s="1"/>
  <c r="R613" s="1"/>
  <c r="R612" s="1"/>
  <c r="P616"/>
  <c r="N616"/>
  <c r="N615" s="1"/>
  <c r="N614" s="1"/>
  <c r="L616"/>
  <c r="Y616" s="1"/>
  <c r="X615"/>
  <c r="T615"/>
  <c r="T614" s="1"/>
  <c r="T613" s="1"/>
  <c r="T612" s="1"/>
  <c r="P615"/>
  <c r="P614" s="1"/>
  <c r="P613" s="1"/>
  <c r="P612" s="1"/>
  <c r="L615"/>
  <c r="Y615" s="1"/>
  <c r="X614"/>
  <c r="L614"/>
  <c r="Y614" s="1"/>
  <c r="X613"/>
  <c r="L613"/>
  <c r="Y613" s="1"/>
  <c r="X612"/>
  <c r="K612"/>
  <c r="J612"/>
  <c r="I612"/>
  <c r="H612"/>
  <c r="G612"/>
  <c r="F612"/>
  <c r="Y611"/>
  <c r="X611"/>
  <c r="X610"/>
  <c r="L610"/>
  <c r="Y610" s="1"/>
  <c r="X609"/>
  <c r="V609"/>
  <c r="U609"/>
  <c r="T609"/>
  <c r="S609"/>
  <c r="R609"/>
  <c r="Q609"/>
  <c r="P609"/>
  <c r="O609"/>
  <c r="N609"/>
  <c r="M609"/>
  <c r="K609"/>
  <c r="J609"/>
  <c r="I609"/>
  <c r="H609"/>
  <c r="G609"/>
  <c r="F609"/>
  <c r="Y608"/>
  <c r="X608"/>
  <c r="X607"/>
  <c r="L607"/>
  <c r="Y607" s="1"/>
  <c r="X606"/>
  <c r="V606"/>
  <c r="U606"/>
  <c r="T606"/>
  <c r="S606"/>
  <c r="R606"/>
  <c r="Q606"/>
  <c r="P606"/>
  <c r="O606"/>
  <c r="N606"/>
  <c r="M606"/>
  <c r="K606"/>
  <c r="J606"/>
  <c r="I606"/>
  <c r="H606"/>
  <c r="G606"/>
  <c r="F606"/>
  <c r="Y605"/>
  <c r="X605"/>
  <c r="X604"/>
  <c r="L604"/>
  <c r="Y604" s="1"/>
  <c r="H604"/>
  <c r="X603"/>
  <c r="L603"/>
  <c r="Y603" s="1"/>
  <c r="X602"/>
  <c r="L602"/>
  <c r="Y602" s="1"/>
  <c r="X601"/>
  <c r="L601"/>
  <c r="Y601" s="1"/>
  <c r="E601"/>
  <c r="N599" i="7" s="1"/>
  <c r="X600" i="5"/>
  <c r="U600"/>
  <c r="U593" s="1"/>
  <c r="L600"/>
  <c r="Y600" s="1"/>
  <c r="F600"/>
  <c r="X599"/>
  <c r="L599"/>
  <c r="Y599" s="1"/>
  <c r="X598"/>
  <c r="L598"/>
  <c r="Y598" s="1"/>
  <c r="X597"/>
  <c r="L597"/>
  <c r="Y597" s="1"/>
  <c r="X596"/>
  <c r="L596"/>
  <c r="Y596" s="1"/>
  <c r="X595"/>
  <c r="L595"/>
  <c r="Y595" s="1"/>
  <c r="E595"/>
  <c r="N593" i="7" s="1"/>
  <c r="X594" i="5"/>
  <c r="L594"/>
  <c r="Y594" s="1"/>
  <c r="X593"/>
  <c r="V593"/>
  <c r="T593"/>
  <c r="S593"/>
  <c r="R593"/>
  <c r="Q593"/>
  <c r="P593"/>
  <c r="O593"/>
  <c r="N593"/>
  <c r="M593"/>
  <c r="K593"/>
  <c r="J593"/>
  <c r="I593"/>
  <c r="G593"/>
  <c r="Y592"/>
  <c r="X592"/>
  <c r="X591"/>
  <c r="L591"/>
  <c r="Y591" s="1"/>
  <c r="E591"/>
  <c r="X590"/>
  <c r="V590"/>
  <c r="U590"/>
  <c r="T590"/>
  <c r="S590"/>
  <c r="R590"/>
  <c r="Q590"/>
  <c r="P590"/>
  <c r="O590"/>
  <c r="N590"/>
  <c r="M590"/>
  <c r="L590"/>
  <c r="Y590" s="1"/>
  <c r="K590"/>
  <c r="J590"/>
  <c r="I590"/>
  <c r="H590"/>
  <c r="G590"/>
  <c r="F590"/>
  <c r="Y589"/>
  <c r="X589"/>
  <c r="Z589" s="1"/>
  <c r="X588"/>
  <c r="L588"/>
  <c r="Y588" s="1"/>
  <c r="X587"/>
  <c r="V587"/>
  <c r="U587"/>
  <c r="T587"/>
  <c r="S587"/>
  <c r="R587"/>
  <c r="Q587"/>
  <c r="P587"/>
  <c r="O587"/>
  <c r="N587"/>
  <c r="M587"/>
  <c r="K587"/>
  <c r="J587"/>
  <c r="I587"/>
  <c r="H587"/>
  <c r="G587"/>
  <c r="F587"/>
  <c r="Y586"/>
  <c r="X586"/>
  <c r="X585"/>
  <c r="L585"/>
  <c r="Y585" s="1"/>
  <c r="E585"/>
  <c r="X584"/>
  <c r="V584"/>
  <c r="U584"/>
  <c r="T584"/>
  <c r="S584"/>
  <c r="R584"/>
  <c r="Q584"/>
  <c r="P584"/>
  <c r="O584"/>
  <c r="N584"/>
  <c r="M584"/>
  <c r="L584"/>
  <c r="Y584" s="1"/>
  <c r="K584"/>
  <c r="J584"/>
  <c r="I584"/>
  <c r="H584"/>
  <c r="G584"/>
  <c r="F584"/>
  <c r="Y583"/>
  <c r="X583"/>
  <c r="Z583" s="1"/>
  <c r="Y582"/>
  <c r="X582"/>
  <c r="Z582" s="1"/>
  <c r="U582"/>
  <c r="K582"/>
  <c r="F582"/>
  <c r="E582" s="1"/>
  <c r="X581"/>
  <c r="V581"/>
  <c r="U581"/>
  <c r="T581"/>
  <c r="S581"/>
  <c r="R581"/>
  <c r="Q581"/>
  <c r="P581"/>
  <c r="O581"/>
  <c r="N581"/>
  <c r="M581"/>
  <c r="L581"/>
  <c r="K581"/>
  <c r="J581"/>
  <c r="I581"/>
  <c r="H581"/>
  <c r="G581"/>
  <c r="Y580"/>
  <c r="X580"/>
  <c r="Z580" s="1"/>
  <c r="X579"/>
  <c r="L579"/>
  <c r="Y579" s="1"/>
  <c r="X578"/>
  <c r="L578"/>
  <c r="Y578" s="1"/>
  <c r="X577"/>
  <c r="V577"/>
  <c r="U577"/>
  <c r="T577"/>
  <c r="S577"/>
  <c r="R577"/>
  <c r="Q577"/>
  <c r="P577"/>
  <c r="O577"/>
  <c r="N577"/>
  <c r="M577"/>
  <c r="K577"/>
  <c r="J577"/>
  <c r="I577"/>
  <c r="H577"/>
  <c r="G577"/>
  <c r="F577"/>
  <c r="Y576"/>
  <c r="X576"/>
  <c r="X575"/>
  <c r="L575"/>
  <c r="Y575" s="1"/>
  <c r="Y574"/>
  <c r="X574"/>
  <c r="F574"/>
  <c r="E574" s="1"/>
  <c r="X573"/>
  <c r="V573"/>
  <c r="U573"/>
  <c r="T573"/>
  <c r="S573"/>
  <c r="R573"/>
  <c r="Q573"/>
  <c r="P573"/>
  <c r="O573"/>
  <c r="N573"/>
  <c r="M573"/>
  <c r="L573"/>
  <c r="Y573" s="1"/>
  <c r="K573"/>
  <c r="J573"/>
  <c r="I573"/>
  <c r="H573"/>
  <c r="G573"/>
  <c r="Y572"/>
  <c r="X572"/>
  <c r="X571"/>
  <c r="L571"/>
  <c r="Y571" s="1"/>
  <c r="E571"/>
  <c r="N569" i="7" s="1"/>
  <c r="Y570" i="5"/>
  <c r="X570"/>
  <c r="Z570" s="1"/>
  <c r="U570"/>
  <c r="F570"/>
  <c r="E570" s="1"/>
  <c r="N568" i="7" s="1"/>
  <c r="X569" i="5"/>
  <c r="L569"/>
  <c r="Y569" s="1"/>
  <c r="Y568"/>
  <c r="X568"/>
  <c r="U568"/>
  <c r="F568"/>
  <c r="Y567"/>
  <c r="X567"/>
  <c r="U567"/>
  <c r="U556" s="1"/>
  <c r="F567"/>
  <c r="X566"/>
  <c r="L566"/>
  <c r="Y566" s="1"/>
  <c r="X565"/>
  <c r="L565"/>
  <c r="Y565" s="1"/>
  <c r="X564"/>
  <c r="L564"/>
  <c r="Y564" s="1"/>
  <c r="X563"/>
  <c r="L563"/>
  <c r="Y563" s="1"/>
  <c r="X562"/>
  <c r="L562"/>
  <c r="Y562" s="1"/>
  <c r="E562"/>
  <c r="N560" i="7" s="1"/>
  <c r="X561" i="5"/>
  <c r="L561"/>
  <c r="Y561" s="1"/>
  <c r="X560"/>
  <c r="L560"/>
  <c r="Y560" s="1"/>
  <c r="X559"/>
  <c r="L559"/>
  <c r="Y559" s="1"/>
  <c r="X558"/>
  <c r="L558"/>
  <c r="Y558" s="1"/>
  <c r="X557"/>
  <c r="L557"/>
  <c r="Y557" s="1"/>
  <c r="X556"/>
  <c r="V556"/>
  <c r="T556"/>
  <c r="S556"/>
  <c r="R556"/>
  <c r="Q556"/>
  <c r="P556"/>
  <c r="O556"/>
  <c r="N556"/>
  <c r="M556"/>
  <c r="K556"/>
  <c r="J556"/>
  <c r="I556"/>
  <c r="H556"/>
  <c r="G556"/>
  <c r="Y555"/>
  <c r="X555"/>
  <c r="Z555" s="1"/>
  <c r="X554"/>
  <c r="L554"/>
  <c r="Y554" s="1"/>
  <c r="X553"/>
  <c r="L553"/>
  <c r="Y553" s="1"/>
  <c r="X552"/>
  <c r="L552"/>
  <c r="Y552" s="1"/>
  <c r="X551"/>
  <c r="L551"/>
  <c r="Y551" s="1"/>
  <c r="X550"/>
  <c r="V550"/>
  <c r="U550"/>
  <c r="T550"/>
  <c r="S550"/>
  <c r="R550"/>
  <c r="Q550"/>
  <c r="P550"/>
  <c r="O550"/>
  <c r="N550"/>
  <c r="M550"/>
  <c r="K550"/>
  <c r="J550"/>
  <c r="I550"/>
  <c r="H550"/>
  <c r="G550"/>
  <c r="F550"/>
  <c r="Y549"/>
  <c r="X549"/>
  <c r="X548"/>
  <c r="L548"/>
  <c r="Y548" s="1"/>
  <c r="X547"/>
  <c r="L547"/>
  <c r="Y547" s="1"/>
  <c r="X546"/>
  <c r="L546"/>
  <c r="Y546" s="1"/>
  <c r="X545"/>
  <c r="V545"/>
  <c r="U545"/>
  <c r="T545"/>
  <c r="S545"/>
  <c r="R545"/>
  <c r="Q545"/>
  <c r="P545"/>
  <c r="O545"/>
  <c r="N545"/>
  <c r="M545"/>
  <c r="K545"/>
  <c r="J545"/>
  <c r="I545"/>
  <c r="H545"/>
  <c r="G545"/>
  <c r="F545"/>
  <c r="Y544"/>
  <c r="X544"/>
  <c r="X543"/>
  <c r="L543"/>
  <c r="Y543" s="1"/>
  <c r="X542"/>
  <c r="L542"/>
  <c r="Y542" s="1"/>
  <c r="X541"/>
  <c r="L541"/>
  <c r="Y541" s="1"/>
  <c r="X540"/>
  <c r="L540"/>
  <c r="Y540" s="1"/>
  <c r="X539"/>
  <c r="L539"/>
  <c r="Y539" s="1"/>
  <c r="X538"/>
  <c r="L538"/>
  <c r="Y538" s="1"/>
  <c r="E538"/>
  <c r="N536" i="7" s="1"/>
  <c r="X537" i="5"/>
  <c r="L537"/>
  <c r="Y537" s="1"/>
  <c r="X536"/>
  <c r="V536"/>
  <c r="U536"/>
  <c r="T536"/>
  <c r="S536"/>
  <c r="R536"/>
  <c r="Q536"/>
  <c r="P536"/>
  <c r="O536"/>
  <c r="N536"/>
  <c r="M536"/>
  <c r="K536"/>
  <c r="J536"/>
  <c r="I536"/>
  <c r="H536"/>
  <c r="G536"/>
  <c r="F536"/>
  <c r="Y535"/>
  <c r="X535"/>
  <c r="X534"/>
  <c r="L534"/>
  <c r="Y534" s="1"/>
  <c r="E534"/>
  <c r="N532" i="7" s="1"/>
  <c r="X533" i="5"/>
  <c r="L533"/>
  <c r="Y533" s="1"/>
  <c r="X532"/>
  <c r="L532"/>
  <c r="Y532" s="1"/>
  <c r="X531"/>
  <c r="V531"/>
  <c r="U531"/>
  <c r="T531"/>
  <c r="S531"/>
  <c r="R531"/>
  <c r="Q531"/>
  <c r="P531"/>
  <c r="O531"/>
  <c r="N531"/>
  <c r="M531"/>
  <c r="K531"/>
  <c r="J531"/>
  <c r="I531"/>
  <c r="H531"/>
  <c r="G531"/>
  <c r="F531"/>
  <c r="Y530"/>
  <c r="X530"/>
  <c r="X529"/>
  <c r="L529"/>
  <c r="Y529" s="1"/>
  <c r="X528"/>
  <c r="L528"/>
  <c r="Y528" s="1"/>
  <c r="E528"/>
  <c r="N526" i="7" s="1"/>
  <c r="X527" i="5"/>
  <c r="L527"/>
  <c r="Y527" s="1"/>
  <c r="X526"/>
  <c r="L526"/>
  <c r="Y526" s="1"/>
  <c r="X525"/>
  <c r="L525"/>
  <c r="Y525" s="1"/>
  <c r="X524"/>
  <c r="L524"/>
  <c r="Y524" s="1"/>
  <c r="X523"/>
  <c r="L523"/>
  <c r="Y523" s="1"/>
  <c r="X522"/>
  <c r="L522"/>
  <c r="Y522" s="1"/>
  <c r="X521"/>
  <c r="L521"/>
  <c r="Y521" s="1"/>
  <c r="X520"/>
  <c r="L520"/>
  <c r="Y520" s="1"/>
  <c r="E520"/>
  <c r="N518" i="7" s="1"/>
  <c r="X519" i="5"/>
  <c r="U519"/>
  <c r="L519"/>
  <c r="Y519" s="1"/>
  <c r="F519"/>
  <c r="X518"/>
  <c r="L518"/>
  <c r="Y518" s="1"/>
  <c r="X517"/>
  <c r="L517"/>
  <c r="Y517" s="1"/>
  <c r="X516"/>
  <c r="V516"/>
  <c r="U516"/>
  <c r="T516"/>
  <c r="S516"/>
  <c r="R516"/>
  <c r="Q516"/>
  <c r="P516"/>
  <c r="O516"/>
  <c r="N516"/>
  <c r="M516"/>
  <c r="K516"/>
  <c r="J516"/>
  <c r="I516"/>
  <c r="H516"/>
  <c r="G516"/>
  <c r="Y515"/>
  <c r="X515"/>
  <c r="E514"/>
  <c r="N512" i="7" s="1"/>
  <c r="E513" i="5"/>
  <c r="N511" i="7" s="1"/>
  <c r="Y512" i="5"/>
  <c r="X512"/>
  <c r="F512"/>
  <c r="E512" s="1"/>
  <c r="N510" i="7" s="1"/>
  <c r="R510" s="1"/>
  <c r="X511" i="5"/>
  <c r="L511"/>
  <c r="Y511" s="1"/>
  <c r="X510"/>
  <c r="L510"/>
  <c r="Y510" s="1"/>
  <c r="Y509"/>
  <c r="X509"/>
  <c r="P509"/>
  <c r="E509" s="1"/>
  <c r="N507" i="7" s="1"/>
  <c r="X508" i="5"/>
  <c r="L508"/>
  <c r="Y508" s="1"/>
  <c r="X507"/>
  <c r="V507"/>
  <c r="U507"/>
  <c r="T507"/>
  <c r="S507"/>
  <c r="R507"/>
  <c r="Q507"/>
  <c r="O507"/>
  <c r="N507"/>
  <c r="M507"/>
  <c r="K507"/>
  <c r="J507"/>
  <c r="H507"/>
  <c r="G507"/>
  <c r="Y506"/>
  <c r="X506"/>
  <c r="L504"/>
  <c r="E504" s="1"/>
  <c r="N502" i="7" s="1"/>
  <c r="L503" i="5"/>
  <c r="E503" s="1"/>
  <c r="N501" i="7" s="1"/>
  <c r="U502" i="5"/>
  <c r="F502"/>
  <c r="L501"/>
  <c r="E501" s="1"/>
  <c r="N499" i="7" s="1"/>
  <c r="U500" i="5"/>
  <c r="E500" s="1"/>
  <c r="N498" i="7" s="1"/>
  <c r="U499" i="5"/>
  <c r="E499" s="1"/>
  <c r="N497" i="7" s="1"/>
  <c r="U498" i="5"/>
  <c r="E498" s="1"/>
  <c r="N496" i="7" s="1"/>
  <c r="U497" i="5"/>
  <c r="E497" s="1"/>
  <c r="N495" i="7" s="1"/>
  <c r="U496" i="5"/>
  <c r="E496" s="1"/>
  <c r="N494" i="7" s="1"/>
  <c r="U495" i="5"/>
  <c r="E495" s="1"/>
  <c r="N493" i="7" s="1"/>
  <c r="U494" i="5"/>
  <c r="E494" s="1"/>
  <c r="N492" i="7" s="1"/>
  <c r="U493" i="5"/>
  <c r="E493" s="1"/>
  <c r="N491" i="7" s="1"/>
  <c r="E492" i="5"/>
  <c r="N490" i="7" s="1"/>
  <c r="E491" i="5"/>
  <c r="N489" i="7" s="1"/>
  <c r="P490" i="5"/>
  <c r="K490"/>
  <c r="E490"/>
  <c r="N488" i="7" s="1"/>
  <c r="L489" i="5"/>
  <c r="K489"/>
  <c r="E489"/>
  <c r="N487" i="7" s="1"/>
  <c r="L488" i="5"/>
  <c r="K488"/>
  <c r="E488"/>
  <c r="N486" i="7" s="1"/>
  <c r="U487" i="5"/>
  <c r="K487"/>
  <c r="F487"/>
  <c r="E487" s="1"/>
  <c r="N485" i="7" s="1"/>
  <c r="Y486" i="5"/>
  <c r="X486"/>
  <c r="P486"/>
  <c r="E486" s="1"/>
  <c r="N484" i="7" s="1"/>
  <c r="X485" i="5"/>
  <c r="L485"/>
  <c r="Y485" s="1"/>
  <c r="H485"/>
  <c r="X484"/>
  <c r="L484"/>
  <c r="Y484" s="1"/>
  <c r="H484"/>
  <c r="X483"/>
  <c r="L483"/>
  <c r="Y483" s="1"/>
  <c r="H483"/>
  <c r="X482"/>
  <c r="L482"/>
  <c r="Y482" s="1"/>
  <c r="H482"/>
  <c r="X481"/>
  <c r="U481"/>
  <c r="L481"/>
  <c r="Y481" s="1"/>
  <c r="F481"/>
  <c r="E481"/>
  <c r="N479" i="7" s="1"/>
  <c r="X480" i="5"/>
  <c r="L480"/>
  <c r="Y480" s="1"/>
  <c r="F480"/>
  <c r="E480"/>
  <c r="N478" i="7" s="1"/>
  <c r="X479" i="5"/>
  <c r="L479"/>
  <c r="E479" s="1"/>
  <c r="N477" i="7" s="1"/>
  <c r="X478" i="5"/>
  <c r="U478"/>
  <c r="L478"/>
  <c r="Y478" s="1"/>
  <c r="K478"/>
  <c r="K363" s="1"/>
  <c r="K361" s="1"/>
  <c r="F478"/>
  <c r="X477"/>
  <c r="L477"/>
  <c r="Y477" s="1"/>
  <c r="X476"/>
  <c r="L476"/>
  <c r="E476" s="1"/>
  <c r="N474" i="7" s="1"/>
  <c r="X475" i="5"/>
  <c r="Z475" s="1"/>
  <c r="L475"/>
  <c r="Y475" s="1"/>
  <c r="E475"/>
  <c r="N473" i="7" s="1"/>
  <c r="X474" i="5"/>
  <c r="L474"/>
  <c r="E474" s="1"/>
  <c r="N472" i="7" s="1"/>
  <c r="Y473" i="5"/>
  <c r="X473"/>
  <c r="Z473" s="1"/>
  <c r="U473"/>
  <c r="F473"/>
  <c r="E473" s="1"/>
  <c r="N471" i="7" s="1"/>
  <c r="Y472" i="5"/>
  <c r="X472"/>
  <c r="Z472" s="1"/>
  <c r="U472"/>
  <c r="F472"/>
  <c r="E472" s="1"/>
  <c r="N470" i="7" s="1"/>
  <c r="X471" i="5"/>
  <c r="L471"/>
  <c r="Y471" s="1"/>
  <c r="X470"/>
  <c r="L470"/>
  <c r="E470" s="1"/>
  <c r="N468" i="7" s="1"/>
  <c r="Y469" i="5"/>
  <c r="X469"/>
  <c r="P469"/>
  <c r="E469" s="1"/>
  <c r="N467" i="7" s="1"/>
  <c r="X468" i="5"/>
  <c r="L468"/>
  <c r="E468" s="1"/>
  <c r="N466" i="7" s="1"/>
  <c r="X467" i="5"/>
  <c r="Z467" s="1"/>
  <c r="L467"/>
  <c r="Y467" s="1"/>
  <c r="E467"/>
  <c r="N465" i="7" s="1"/>
  <c r="X466" i="5"/>
  <c r="L466"/>
  <c r="E466" s="1"/>
  <c r="N464" i="7" s="1"/>
  <c r="X465" i="5"/>
  <c r="L465"/>
  <c r="Y465" s="1"/>
  <c r="X464"/>
  <c r="L464"/>
  <c r="E464" s="1"/>
  <c r="N462" i="7" s="1"/>
  <c r="X463" i="5"/>
  <c r="L463"/>
  <c r="Y463" s="1"/>
  <c r="X462"/>
  <c r="L462"/>
  <c r="E462" s="1"/>
  <c r="N460" i="7" s="1"/>
  <c r="X461" i="5"/>
  <c r="L461"/>
  <c r="Y461" s="1"/>
  <c r="X460"/>
  <c r="L460"/>
  <c r="E460" s="1"/>
  <c r="N458" i="7" s="1"/>
  <c r="X459" i="5"/>
  <c r="Z459" s="1"/>
  <c r="L459"/>
  <c r="Y459" s="1"/>
  <c r="E459"/>
  <c r="N457" i="7" s="1"/>
  <c r="X458" i="5"/>
  <c r="L458"/>
  <c r="E458" s="1"/>
  <c r="N456" i="7" s="1"/>
  <c r="X457" i="5"/>
  <c r="L457"/>
  <c r="Y457" s="1"/>
  <c r="Y456"/>
  <c r="X456"/>
  <c r="U456"/>
  <c r="F456"/>
  <c r="E456" s="1"/>
  <c r="N454" i="7" s="1"/>
  <c r="S454" s="1"/>
  <c r="X455" i="5"/>
  <c r="L455"/>
  <c r="E455" s="1"/>
  <c r="N453" i="7" s="1"/>
  <c r="X454" i="5"/>
  <c r="L454"/>
  <c r="Y454" s="1"/>
  <c r="X453"/>
  <c r="L453"/>
  <c r="E453" s="1"/>
  <c r="N451" i="7" s="1"/>
  <c r="X452" i="5"/>
  <c r="Z452" s="1"/>
  <c r="L452"/>
  <c r="Y452" s="1"/>
  <c r="E452"/>
  <c r="N450" i="7" s="1"/>
  <c r="X451" i="5"/>
  <c r="L451"/>
  <c r="E451" s="1"/>
  <c r="N449" i="7" s="1"/>
  <c r="X450" i="5"/>
  <c r="L450"/>
  <c r="Y450" s="1"/>
  <c r="X449"/>
  <c r="L449"/>
  <c r="E449" s="1"/>
  <c r="N447" i="7" s="1"/>
  <c r="X448" i="5"/>
  <c r="L448"/>
  <c r="Y448" s="1"/>
  <c r="X447"/>
  <c r="L447"/>
  <c r="E447" s="1"/>
  <c r="N445" i="7" s="1"/>
  <c r="X446" i="5"/>
  <c r="L446"/>
  <c r="Y446" s="1"/>
  <c r="X445"/>
  <c r="L445"/>
  <c r="E445" s="1"/>
  <c r="N443" i="7" s="1"/>
  <c r="X444" i="5"/>
  <c r="Z444" s="1"/>
  <c r="L444"/>
  <c r="Y444" s="1"/>
  <c r="E444"/>
  <c r="N442" i="7" s="1"/>
  <c r="X443" i="5"/>
  <c r="L443"/>
  <c r="E443" s="1"/>
  <c r="N441" i="7" s="1"/>
  <c r="X442" i="5"/>
  <c r="L442"/>
  <c r="Y442" s="1"/>
  <c r="X441"/>
  <c r="L441"/>
  <c r="E441" s="1"/>
  <c r="N439" i="7" s="1"/>
  <c r="X440" i="5"/>
  <c r="L440"/>
  <c r="Y440" s="1"/>
  <c r="X439"/>
  <c r="L439"/>
  <c r="E439" s="1"/>
  <c r="N437" i="7" s="1"/>
  <c r="X438" i="5"/>
  <c r="L438"/>
  <c r="Y438" s="1"/>
  <c r="X437"/>
  <c r="L437"/>
  <c r="E437" s="1"/>
  <c r="N435" i="7" s="1"/>
  <c r="X436" i="5"/>
  <c r="Z436" s="1"/>
  <c r="L436"/>
  <c r="Y436" s="1"/>
  <c r="E436"/>
  <c r="N434" i="7" s="1"/>
  <c r="Y435" i="5"/>
  <c r="X435"/>
  <c r="Z435" s="1"/>
  <c r="H435"/>
  <c r="E435" s="1"/>
  <c r="N433" i="7" s="1"/>
  <c r="X434" i="5"/>
  <c r="L434"/>
  <c r="Y434" s="1"/>
  <c r="E434"/>
  <c r="N432" i="7" s="1"/>
  <c r="X433" i="5"/>
  <c r="L433"/>
  <c r="E433" s="1"/>
  <c r="N431" i="7" s="1"/>
  <c r="X432" i="5"/>
  <c r="L432"/>
  <c r="Y432" s="1"/>
  <c r="X431"/>
  <c r="L431"/>
  <c r="E431" s="1"/>
  <c r="N429" i="7" s="1"/>
  <c r="X430" i="5"/>
  <c r="L430"/>
  <c r="Y430" s="1"/>
  <c r="X429"/>
  <c r="L429"/>
  <c r="E429" s="1"/>
  <c r="N427" i="7" s="1"/>
  <c r="Y428" i="5"/>
  <c r="X428"/>
  <c r="U428"/>
  <c r="F428"/>
  <c r="X427"/>
  <c r="L427"/>
  <c r="Y427" s="1"/>
  <c r="X426"/>
  <c r="L426"/>
  <c r="E426" s="1"/>
  <c r="N424" i="7" s="1"/>
  <c r="X425" i="5"/>
  <c r="Z425" s="1"/>
  <c r="L425"/>
  <c r="Y425" s="1"/>
  <c r="E425"/>
  <c r="N423" i="7" s="1"/>
  <c r="X424" i="5"/>
  <c r="L424"/>
  <c r="E424" s="1"/>
  <c r="N422" i="7" s="1"/>
  <c r="X423" i="5"/>
  <c r="L423"/>
  <c r="Y423" s="1"/>
  <c r="X422"/>
  <c r="L422"/>
  <c r="E422" s="1"/>
  <c r="N420" i="7" s="1"/>
  <c r="X421" i="5"/>
  <c r="L421"/>
  <c r="Y421" s="1"/>
  <c r="X420"/>
  <c r="L420"/>
  <c r="E420" s="1"/>
  <c r="N418" i="7" s="1"/>
  <c r="X419" i="5"/>
  <c r="L419"/>
  <c r="Y419" s="1"/>
  <c r="X418"/>
  <c r="L418"/>
  <c r="E418" s="1"/>
  <c r="N416" i="7" s="1"/>
  <c r="X417" i="5"/>
  <c r="Z417" s="1"/>
  <c r="L417"/>
  <c r="Y417" s="1"/>
  <c r="E417"/>
  <c r="N415" i="7" s="1"/>
  <c r="X416" i="5"/>
  <c r="L416"/>
  <c r="Y416" s="1"/>
  <c r="X415"/>
  <c r="L415"/>
  <c r="Y415" s="1"/>
  <c r="X414"/>
  <c r="L414"/>
  <c r="Y414" s="1"/>
  <c r="X413"/>
  <c r="L413"/>
  <c r="Y413" s="1"/>
  <c r="X412"/>
  <c r="L412"/>
  <c r="Y412" s="1"/>
  <c r="X411"/>
  <c r="L411"/>
  <c r="Y411" s="1"/>
  <c r="Y410"/>
  <c r="X410"/>
  <c r="U410"/>
  <c r="U363" s="1"/>
  <c r="U361" s="1"/>
  <c r="L410"/>
  <c r="F410"/>
  <c r="E410" s="1"/>
  <c r="N408" i="7" s="1"/>
  <c r="X409" i="5"/>
  <c r="L409"/>
  <c r="Y409" s="1"/>
  <c r="X408"/>
  <c r="L408"/>
  <c r="Y408" s="1"/>
  <c r="X407"/>
  <c r="L407"/>
  <c r="Y407" s="1"/>
  <c r="X406"/>
  <c r="L406"/>
  <c r="Y406" s="1"/>
  <c r="X405"/>
  <c r="L405"/>
  <c r="Y405" s="1"/>
  <c r="X404"/>
  <c r="Z404" s="1"/>
  <c r="L404"/>
  <c r="Y404" s="1"/>
  <c r="X403"/>
  <c r="Z403" s="1"/>
  <c r="L403"/>
  <c r="Y403" s="1"/>
  <c r="E403"/>
  <c r="N401" i="7" s="1"/>
  <c r="X402" i="5"/>
  <c r="L402"/>
  <c r="Y402" s="1"/>
  <c r="X401"/>
  <c r="L401"/>
  <c r="Y401" s="1"/>
  <c r="X400"/>
  <c r="L400"/>
  <c r="Y400" s="1"/>
  <c r="X399"/>
  <c r="L399"/>
  <c r="Y399" s="1"/>
  <c r="X398"/>
  <c r="L398"/>
  <c r="Y398" s="1"/>
  <c r="X397"/>
  <c r="L397"/>
  <c r="Y397" s="1"/>
  <c r="X396"/>
  <c r="Z396" s="1"/>
  <c r="L396"/>
  <c r="Y396" s="1"/>
  <c r="X395"/>
  <c r="Z395" s="1"/>
  <c r="L395"/>
  <c r="Y395" s="1"/>
  <c r="E395"/>
  <c r="N393" i="7" s="1"/>
  <c r="X394" i="5"/>
  <c r="L394"/>
  <c r="Y394" s="1"/>
  <c r="X393"/>
  <c r="L393"/>
  <c r="Y393" s="1"/>
  <c r="X392"/>
  <c r="L392"/>
  <c r="Y392" s="1"/>
  <c r="X391"/>
  <c r="L391"/>
  <c r="Y391" s="1"/>
  <c r="X390"/>
  <c r="L390"/>
  <c r="Y390" s="1"/>
  <c r="X389"/>
  <c r="L389"/>
  <c r="Y389" s="1"/>
  <c r="X388"/>
  <c r="Z388" s="1"/>
  <c r="L388"/>
  <c r="Y388" s="1"/>
  <c r="X387"/>
  <c r="Z387" s="1"/>
  <c r="L387"/>
  <c r="Y387" s="1"/>
  <c r="E387"/>
  <c r="N385" i="7" s="1"/>
  <c r="X386" i="5"/>
  <c r="L386"/>
  <c r="Y386" s="1"/>
  <c r="X385"/>
  <c r="L385"/>
  <c r="Y385" s="1"/>
  <c r="X384"/>
  <c r="L384"/>
  <c r="Y384" s="1"/>
  <c r="X383"/>
  <c r="L383"/>
  <c r="Y383" s="1"/>
  <c r="X382"/>
  <c r="L382"/>
  <c r="Y382" s="1"/>
  <c r="X381"/>
  <c r="L381"/>
  <c r="Y381" s="1"/>
  <c r="X380"/>
  <c r="Z380" s="1"/>
  <c r="L380"/>
  <c r="Y380" s="1"/>
  <c r="X379"/>
  <c r="Z379" s="1"/>
  <c r="L379"/>
  <c r="Y379" s="1"/>
  <c r="E379"/>
  <c r="N377" i="7" s="1"/>
  <c r="X378" i="5"/>
  <c r="L378"/>
  <c r="Y378" s="1"/>
  <c r="X377"/>
  <c r="L377"/>
  <c r="Y377" s="1"/>
  <c r="X376"/>
  <c r="L376"/>
  <c r="Y376" s="1"/>
  <c r="X375"/>
  <c r="L375"/>
  <c r="Y375" s="1"/>
  <c r="X374"/>
  <c r="L374"/>
  <c r="Y374" s="1"/>
  <c r="X373"/>
  <c r="L373"/>
  <c r="Y373" s="1"/>
  <c r="X372"/>
  <c r="Z372" s="1"/>
  <c r="L372"/>
  <c r="Y372" s="1"/>
  <c r="X371"/>
  <c r="Z371" s="1"/>
  <c r="L371"/>
  <c r="Y371" s="1"/>
  <c r="E371"/>
  <c r="N369" i="7" s="1"/>
  <c r="X370" i="5"/>
  <c r="L370"/>
  <c r="Y370" s="1"/>
  <c r="X369"/>
  <c r="L369"/>
  <c r="Y369" s="1"/>
  <c r="X368"/>
  <c r="L368"/>
  <c r="Y368" s="1"/>
  <c r="X367"/>
  <c r="L367"/>
  <c r="Y367" s="1"/>
  <c r="X366"/>
  <c r="L366"/>
  <c r="Y366" s="1"/>
  <c r="X365"/>
  <c r="L365"/>
  <c r="Y365" s="1"/>
  <c r="X364"/>
  <c r="Z364" s="1"/>
  <c r="L364"/>
  <c r="Y364" s="1"/>
  <c r="X363"/>
  <c r="Y362"/>
  <c r="X362"/>
  <c r="X361"/>
  <c r="Y360"/>
  <c r="X360"/>
  <c r="Q1036" i="7"/>
  <c r="P1036"/>
  <c r="O1036"/>
  <c r="M1036"/>
  <c r="L1036"/>
  <c r="K1036"/>
  <c r="J1036"/>
  <c r="V1034"/>
  <c r="Q1033"/>
  <c r="P1033"/>
  <c r="O1033"/>
  <c r="M1033"/>
  <c r="L1033"/>
  <c r="K1033"/>
  <c r="J1033"/>
  <c r="R1026"/>
  <c r="S1026"/>
  <c r="V1026" s="1"/>
  <c r="V1024"/>
  <c r="Q1023"/>
  <c r="P1023"/>
  <c r="O1023"/>
  <c r="M1023"/>
  <c r="L1023"/>
  <c r="K1023"/>
  <c r="J1023"/>
  <c r="V1021"/>
  <c r="Q1020"/>
  <c r="P1020"/>
  <c r="O1020"/>
  <c r="M1020"/>
  <c r="L1020"/>
  <c r="K1020"/>
  <c r="J1020"/>
  <c r="V1016"/>
  <c r="Q1015"/>
  <c r="P1015"/>
  <c r="O1015"/>
  <c r="M1015"/>
  <c r="L1015"/>
  <c r="K1015"/>
  <c r="J1015"/>
  <c r="V1009"/>
  <c r="Q1008"/>
  <c r="P1008"/>
  <c r="O1008"/>
  <c r="M1008"/>
  <c r="L1008"/>
  <c r="K1008"/>
  <c r="J1008"/>
  <c r="V1005"/>
  <c r="Q1004"/>
  <c r="P1004"/>
  <c r="O1004"/>
  <c r="M1004"/>
  <c r="L1004"/>
  <c r="K1004"/>
  <c r="J1004"/>
  <c r="V1002"/>
  <c r="Q1001"/>
  <c r="P1001"/>
  <c r="O1001"/>
  <c r="M1001"/>
  <c r="L1001"/>
  <c r="K1001"/>
  <c r="J1001"/>
  <c r="V999"/>
  <c r="Q998"/>
  <c r="P998"/>
  <c r="O998"/>
  <c r="M998"/>
  <c r="L998"/>
  <c r="K998"/>
  <c r="J998"/>
  <c r="V996"/>
  <c r="Q995"/>
  <c r="P995"/>
  <c r="O995"/>
  <c r="M995"/>
  <c r="L995"/>
  <c r="K995"/>
  <c r="J995"/>
  <c r="V989"/>
  <c r="Q988"/>
  <c r="M988"/>
  <c r="L988"/>
  <c r="K988"/>
  <c r="J988"/>
  <c r="P987"/>
  <c r="P988" s="1"/>
  <c r="O987"/>
  <c r="O988" s="1"/>
  <c r="V986"/>
  <c r="Q985"/>
  <c r="P985"/>
  <c r="O985"/>
  <c r="M985"/>
  <c r="L985"/>
  <c r="K985"/>
  <c r="J985"/>
  <c r="V982"/>
  <c r="Q981"/>
  <c r="P981"/>
  <c r="O981"/>
  <c r="M981"/>
  <c r="L981"/>
  <c r="K981"/>
  <c r="J980"/>
  <c r="J981" s="1"/>
  <c r="J704" s="1"/>
  <c r="V978"/>
  <c r="Q977"/>
  <c r="P977"/>
  <c r="O977"/>
  <c r="M977"/>
  <c r="L977"/>
  <c r="K977"/>
  <c r="J977"/>
  <c r="V975"/>
  <c r="Q974"/>
  <c r="P974"/>
  <c r="O974"/>
  <c r="M974"/>
  <c r="L974"/>
  <c r="K974"/>
  <c r="J974"/>
  <c r="R973"/>
  <c r="V970"/>
  <c r="Q969"/>
  <c r="P969"/>
  <c r="O969"/>
  <c r="M969"/>
  <c r="L969"/>
  <c r="K969"/>
  <c r="J969"/>
  <c r="R968"/>
  <c r="V966"/>
  <c r="Q965"/>
  <c r="P965"/>
  <c r="O965"/>
  <c r="M965"/>
  <c r="L965"/>
  <c r="K965"/>
  <c r="J965"/>
  <c r="V963"/>
  <c r="Q962"/>
  <c r="P962"/>
  <c r="O962"/>
  <c r="M962"/>
  <c r="L962"/>
  <c r="K962"/>
  <c r="J962"/>
  <c r="R961"/>
  <c r="V959"/>
  <c r="Q958"/>
  <c r="P958"/>
  <c r="O958"/>
  <c r="M958"/>
  <c r="L958"/>
  <c r="K958"/>
  <c r="J958"/>
  <c r="R957"/>
  <c r="R956"/>
  <c r="R954"/>
  <c r="V951"/>
  <c r="Q950"/>
  <c r="P950"/>
  <c r="O950"/>
  <c r="M950"/>
  <c r="L950"/>
  <c r="K950"/>
  <c r="J950"/>
  <c r="V948"/>
  <c r="Q947"/>
  <c r="P947"/>
  <c r="O947"/>
  <c r="M947"/>
  <c r="L947"/>
  <c r="K947"/>
  <c r="J947"/>
  <c r="R946"/>
  <c r="R944"/>
  <c r="R943"/>
  <c r="R942"/>
  <c r="M939"/>
  <c r="L939"/>
  <c r="K939"/>
  <c r="J939"/>
  <c r="V937"/>
  <c r="Q936"/>
  <c r="P936"/>
  <c r="O936"/>
  <c r="M936"/>
  <c r="L936"/>
  <c r="K936"/>
  <c r="J936"/>
  <c r="V934"/>
  <c r="Q933"/>
  <c r="P933"/>
  <c r="O933"/>
  <c r="M933"/>
  <c r="L933"/>
  <c r="K933"/>
  <c r="J933"/>
  <c r="V931"/>
  <c r="Q930"/>
  <c r="P930"/>
  <c r="O930"/>
  <c r="M930"/>
  <c r="L930"/>
  <c r="K930"/>
  <c r="J930"/>
  <c r="R928"/>
  <c r="R927"/>
  <c r="R926"/>
  <c r="R923"/>
  <c r="R921"/>
  <c r="V920"/>
  <c r="Q919"/>
  <c r="P919"/>
  <c r="O919"/>
  <c r="M919"/>
  <c r="L919"/>
  <c r="K919"/>
  <c r="J919"/>
  <c r="V917"/>
  <c r="Q916"/>
  <c r="P916"/>
  <c r="O916"/>
  <c r="M916"/>
  <c r="L916"/>
  <c r="K916"/>
  <c r="J916"/>
  <c r="V914"/>
  <c r="Q913"/>
  <c r="P913"/>
  <c r="O913"/>
  <c r="M913"/>
  <c r="L913"/>
  <c r="K913"/>
  <c r="J913"/>
  <c r="V910"/>
  <c r="Q909"/>
  <c r="P909"/>
  <c r="O909"/>
  <c r="M909"/>
  <c r="L909"/>
  <c r="K909"/>
  <c r="J909"/>
  <c r="T908"/>
  <c r="T907"/>
  <c r="T906"/>
  <c r="T905"/>
  <c r="V904"/>
  <c r="Q903"/>
  <c r="P903"/>
  <c r="O903"/>
  <c r="M903"/>
  <c r="L903"/>
  <c r="K903"/>
  <c r="J903"/>
  <c r="N902"/>
  <c r="R902" s="1"/>
  <c r="V900"/>
  <c r="Q899"/>
  <c r="P899"/>
  <c r="O899"/>
  <c r="M899"/>
  <c r="L899"/>
  <c r="K899"/>
  <c r="J899"/>
  <c r="R898"/>
  <c r="S898"/>
  <c r="V898" s="1"/>
  <c r="V896"/>
  <c r="Q895"/>
  <c r="P895"/>
  <c r="O895"/>
  <c r="M895"/>
  <c r="L895"/>
  <c r="K895"/>
  <c r="J895"/>
  <c r="V893"/>
  <c r="Q892"/>
  <c r="P892"/>
  <c r="O892"/>
  <c r="M892"/>
  <c r="L892"/>
  <c r="K892"/>
  <c r="J892"/>
  <c r="R891"/>
  <c r="S891"/>
  <c r="V891" s="1"/>
  <c r="R889"/>
  <c r="S889"/>
  <c r="V889" s="1"/>
  <c r="R887"/>
  <c r="S887"/>
  <c r="V887" s="1"/>
  <c r="R885"/>
  <c r="S885"/>
  <c r="V885" s="1"/>
  <c r="R884"/>
  <c r="S884"/>
  <c r="V884" s="1"/>
  <c r="R883"/>
  <c r="S883"/>
  <c r="V883" s="1"/>
  <c r="R881"/>
  <c r="S881"/>
  <c r="V881" s="1"/>
  <c r="V878"/>
  <c r="Q877"/>
  <c r="P877"/>
  <c r="O877"/>
  <c r="M877"/>
  <c r="L877"/>
  <c r="K877"/>
  <c r="J877"/>
  <c r="V874"/>
  <c r="Q873"/>
  <c r="P873"/>
  <c r="O873"/>
  <c r="M873"/>
  <c r="L873"/>
  <c r="K873"/>
  <c r="J873"/>
  <c r="R871"/>
  <c r="S871"/>
  <c r="V871" s="1"/>
  <c r="R869"/>
  <c r="S869"/>
  <c r="V869" s="1"/>
  <c r="V867"/>
  <c r="Q866"/>
  <c r="P866"/>
  <c r="O866"/>
  <c r="M866"/>
  <c r="L866"/>
  <c r="K866"/>
  <c r="J866"/>
  <c r="R865"/>
  <c r="V862"/>
  <c r="Q861"/>
  <c r="P861"/>
  <c r="O861"/>
  <c r="M861"/>
  <c r="L861"/>
  <c r="K861"/>
  <c r="J861"/>
  <c r="R859"/>
  <c r="S859"/>
  <c r="V859" s="1"/>
  <c r="R858"/>
  <c r="S858"/>
  <c r="V858" s="1"/>
  <c r="R857"/>
  <c r="S857"/>
  <c r="V857" s="1"/>
  <c r="R853"/>
  <c r="S853"/>
  <c r="V853" s="1"/>
  <c r="R851"/>
  <c r="S851"/>
  <c r="V851" s="1"/>
  <c r="R850"/>
  <c r="S850"/>
  <c r="V850" s="1"/>
  <c r="V848"/>
  <c r="Q847"/>
  <c r="P847"/>
  <c r="O847"/>
  <c r="M847"/>
  <c r="M704" s="1"/>
  <c r="L847"/>
  <c r="K847"/>
  <c r="J847"/>
  <c r="R846"/>
  <c r="S846"/>
  <c r="V846" s="1"/>
  <c r="R845"/>
  <c r="S845"/>
  <c r="V845" s="1"/>
  <c r="R843"/>
  <c r="S843"/>
  <c r="V843" s="1"/>
  <c r="V839"/>
  <c r="R836"/>
  <c r="S835"/>
  <c r="R833"/>
  <c r="T832"/>
  <c r="R832"/>
  <c r="S832"/>
  <c r="T831"/>
  <c r="T829"/>
  <c r="S826"/>
  <c r="V826" s="1"/>
  <c r="R818"/>
  <c r="S818"/>
  <c r="V818" s="1"/>
  <c r="K815"/>
  <c r="R810"/>
  <c r="R802"/>
  <c r="K795"/>
  <c r="K838" s="1"/>
  <c r="K704" s="1"/>
  <c r="S794"/>
  <c r="V794" s="1"/>
  <c r="S786"/>
  <c r="V786" s="1"/>
  <c r="S778"/>
  <c r="V778" s="1"/>
  <c r="S775"/>
  <c r="V775" s="1"/>
  <c r="S773"/>
  <c r="V773" s="1"/>
  <c r="S771"/>
  <c r="V771" s="1"/>
  <c r="S770"/>
  <c r="V770" s="1"/>
  <c r="S769"/>
  <c r="V769" s="1"/>
  <c r="S767"/>
  <c r="V767" s="1"/>
  <c r="S765"/>
  <c r="V765" s="1"/>
  <c r="S763"/>
  <c r="V763" s="1"/>
  <c r="S762"/>
  <c r="V762" s="1"/>
  <c r="S761"/>
  <c r="V761" s="1"/>
  <c r="S759"/>
  <c r="V759" s="1"/>
  <c r="S757"/>
  <c r="V757" s="1"/>
  <c r="S755"/>
  <c r="V755" s="1"/>
  <c r="S754"/>
  <c r="V754" s="1"/>
  <c r="S753"/>
  <c r="V753" s="1"/>
  <c r="S751"/>
  <c r="V751" s="1"/>
  <c r="S749"/>
  <c r="V749" s="1"/>
  <c r="S747"/>
  <c r="V747" s="1"/>
  <c r="S746"/>
  <c r="V746" s="1"/>
  <c r="S745"/>
  <c r="V745" s="1"/>
  <c r="S743"/>
  <c r="V743" s="1"/>
  <c r="S741"/>
  <c r="V741" s="1"/>
  <c r="S739"/>
  <c r="V739" s="1"/>
  <c r="S738"/>
  <c r="V738" s="1"/>
  <c r="S737"/>
  <c r="V737" s="1"/>
  <c r="S735"/>
  <c r="V735" s="1"/>
  <c r="S733"/>
  <c r="V733" s="1"/>
  <c r="S731"/>
  <c r="V731" s="1"/>
  <c r="S730"/>
  <c r="V730" s="1"/>
  <c r="S729"/>
  <c r="V729" s="1"/>
  <c r="T728"/>
  <c r="R727"/>
  <c r="S727"/>
  <c r="V727" s="1"/>
  <c r="R725"/>
  <c r="S725"/>
  <c r="V725" s="1"/>
  <c r="R723"/>
  <c r="S723"/>
  <c r="V723" s="1"/>
  <c r="R722"/>
  <c r="S722"/>
  <c r="V722" s="1"/>
  <c r="R721"/>
  <c r="S721"/>
  <c r="V721" s="1"/>
  <c r="R719"/>
  <c r="S719"/>
  <c r="V719" s="1"/>
  <c r="R714"/>
  <c r="P704"/>
  <c r="L704"/>
  <c r="Q702"/>
  <c r="P702"/>
  <c r="O702"/>
  <c r="M702"/>
  <c r="L702"/>
  <c r="K702"/>
  <c r="J702"/>
  <c r="R694"/>
  <c r="V691"/>
  <c r="Q690"/>
  <c r="P690"/>
  <c r="O690"/>
  <c r="M690"/>
  <c r="L690"/>
  <c r="K690"/>
  <c r="J690"/>
  <c r="V688"/>
  <c r="Q687"/>
  <c r="P687"/>
  <c r="O687"/>
  <c r="M687"/>
  <c r="L687"/>
  <c r="K687"/>
  <c r="J687"/>
  <c r="R680"/>
  <c r="V679"/>
  <c r="Q678"/>
  <c r="P678"/>
  <c r="O678"/>
  <c r="M678"/>
  <c r="L678"/>
  <c r="K678"/>
  <c r="J678"/>
  <c r="V674"/>
  <c r="Q673"/>
  <c r="P673"/>
  <c r="O673"/>
  <c r="M673"/>
  <c r="L673"/>
  <c r="K673"/>
  <c r="J673"/>
  <c r="V671"/>
  <c r="Q670"/>
  <c r="P670"/>
  <c r="O670"/>
  <c r="M670"/>
  <c r="L670"/>
  <c r="K670"/>
  <c r="J670"/>
  <c r="V668"/>
  <c r="Q667"/>
  <c r="P667"/>
  <c r="O667"/>
  <c r="M667"/>
  <c r="L667"/>
  <c r="K667"/>
  <c r="J667"/>
  <c r="V665"/>
  <c r="Q664"/>
  <c r="P664"/>
  <c r="O664"/>
  <c r="M664"/>
  <c r="L664"/>
  <c r="K664"/>
  <c r="J664"/>
  <c r="V660"/>
  <c r="Q659"/>
  <c r="P659"/>
  <c r="O659"/>
  <c r="M659"/>
  <c r="L659"/>
  <c r="K659"/>
  <c r="J659"/>
  <c r="V656"/>
  <c r="Q655"/>
  <c r="M655"/>
  <c r="L655"/>
  <c r="K655"/>
  <c r="J655"/>
  <c r="P654"/>
  <c r="P655" s="1"/>
  <c r="O654"/>
  <c r="O655" s="1"/>
  <c r="V652"/>
  <c r="Q651"/>
  <c r="P651"/>
  <c r="O651"/>
  <c r="M651"/>
  <c r="L651"/>
  <c r="K651"/>
  <c r="J651"/>
  <c r="Q647"/>
  <c r="P647"/>
  <c r="O647"/>
  <c r="M647"/>
  <c r="L647"/>
  <c r="K647"/>
  <c r="J647"/>
  <c r="V645"/>
  <c r="Q644"/>
  <c r="P644"/>
  <c r="O644"/>
  <c r="M644"/>
  <c r="L644"/>
  <c r="K644"/>
  <c r="J644"/>
  <c r="S643"/>
  <c r="V643" s="1"/>
  <c r="S642"/>
  <c r="V642" s="1"/>
  <c r="S641"/>
  <c r="V641" s="1"/>
  <c r="S640"/>
  <c r="V640" s="1"/>
  <c r="V638"/>
  <c r="Q637"/>
  <c r="P637"/>
  <c r="O637"/>
  <c r="M637"/>
  <c r="L637"/>
  <c r="K637"/>
  <c r="J637"/>
  <c r="V635"/>
  <c r="Q634"/>
  <c r="P634"/>
  <c r="O634"/>
  <c r="L634"/>
  <c r="K634"/>
  <c r="J634"/>
  <c r="V632"/>
  <c r="Q631"/>
  <c r="P631"/>
  <c r="O631"/>
  <c r="M631"/>
  <c r="L631"/>
  <c r="J631"/>
  <c r="K629"/>
  <c r="K631" s="1"/>
  <c r="V627"/>
  <c r="Q626"/>
  <c r="P626"/>
  <c r="O626"/>
  <c r="M626"/>
  <c r="L626"/>
  <c r="K626"/>
  <c r="J626"/>
  <c r="S622"/>
  <c r="V622" s="1"/>
  <c r="V619"/>
  <c r="Q618"/>
  <c r="P618"/>
  <c r="O618"/>
  <c r="M618"/>
  <c r="L618"/>
  <c r="K618"/>
  <c r="J618"/>
  <c r="V616"/>
  <c r="Q615"/>
  <c r="P615"/>
  <c r="O615"/>
  <c r="M615"/>
  <c r="L615"/>
  <c r="J615"/>
  <c r="K614"/>
  <c r="K611"/>
  <c r="K615" s="1"/>
  <c r="V610"/>
  <c r="M609"/>
  <c r="L609"/>
  <c r="K609"/>
  <c r="J609"/>
  <c r="V607"/>
  <c r="Q606"/>
  <c r="P606"/>
  <c r="O606"/>
  <c r="M606"/>
  <c r="L606"/>
  <c r="K606"/>
  <c r="J606"/>
  <c r="V604"/>
  <c r="Q603"/>
  <c r="P603"/>
  <c r="O603"/>
  <c r="M603"/>
  <c r="L603"/>
  <c r="K603"/>
  <c r="J603"/>
  <c r="T602"/>
  <c r="R599"/>
  <c r="R593"/>
  <c r="S593"/>
  <c r="V593" s="1"/>
  <c r="V591"/>
  <c r="Q590"/>
  <c r="P590"/>
  <c r="O590"/>
  <c r="M590"/>
  <c r="L590"/>
  <c r="K590"/>
  <c r="J590"/>
  <c r="V588"/>
  <c r="M587"/>
  <c r="L587"/>
  <c r="K587"/>
  <c r="J587"/>
  <c r="Q586"/>
  <c r="Q587" s="1"/>
  <c r="P586"/>
  <c r="P587" s="1"/>
  <c r="O586"/>
  <c r="O587" s="1"/>
  <c r="V585"/>
  <c r="Q584"/>
  <c r="P584"/>
  <c r="O584"/>
  <c r="M584"/>
  <c r="L584"/>
  <c r="K584"/>
  <c r="J584"/>
  <c r="V582"/>
  <c r="Q581"/>
  <c r="P581"/>
  <c r="O581"/>
  <c r="M581"/>
  <c r="L581"/>
  <c r="K581"/>
  <c r="J581"/>
  <c r="T580"/>
  <c r="V579"/>
  <c r="Q578"/>
  <c r="P578"/>
  <c r="O578"/>
  <c r="M578"/>
  <c r="L578"/>
  <c r="K578"/>
  <c r="J578"/>
  <c r="V575"/>
  <c r="Q574"/>
  <c r="P574"/>
  <c r="O574"/>
  <c r="M574"/>
  <c r="L574"/>
  <c r="K574"/>
  <c r="J574"/>
  <c r="V571"/>
  <c r="Q570"/>
  <c r="P570"/>
  <c r="O570"/>
  <c r="M570"/>
  <c r="L570"/>
  <c r="K570"/>
  <c r="J570"/>
  <c r="R569"/>
  <c r="R568"/>
  <c r="W565"/>
  <c r="R560"/>
  <c r="S560"/>
  <c r="V560" s="1"/>
  <c r="V554"/>
  <c r="Q553"/>
  <c r="P553"/>
  <c r="O553"/>
  <c r="M553"/>
  <c r="L553"/>
  <c r="K553"/>
  <c r="J553"/>
  <c r="V548"/>
  <c r="Q547"/>
  <c r="P547"/>
  <c r="O547"/>
  <c r="M547"/>
  <c r="L547"/>
  <c r="K547"/>
  <c r="J547"/>
  <c r="V543"/>
  <c r="Q542"/>
  <c r="P542"/>
  <c r="O542"/>
  <c r="M542"/>
  <c r="L542"/>
  <c r="J542"/>
  <c r="S536"/>
  <c r="V536" s="1"/>
  <c r="K536"/>
  <c r="K542" s="1"/>
  <c r="V534"/>
  <c r="Q533"/>
  <c r="P533"/>
  <c r="O533"/>
  <c r="M533"/>
  <c r="L533"/>
  <c r="K533"/>
  <c r="J533"/>
  <c r="R532"/>
  <c r="S532"/>
  <c r="V532" s="1"/>
  <c r="V529"/>
  <c r="Q528"/>
  <c r="P528"/>
  <c r="O528"/>
  <c r="M528"/>
  <c r="L528"/>
  <c r="K528"/>
  <c r="J528"/>
  <c r="R526"/>
  <c r="R518"/>
  <c r="T517"/>
  <c r="V514"/>
  <c r="Q513"/>
  <c r="P513"/>
  <c r="O513"/>
  <c r="M513"/>
  <c r="L513"/>
  <c r="L360" s="1"/>
  <c r="J513"/>
  <c r="T510"/>
  <c r="K510"/>
  <c r="K513" s="1"/>
  <c r="R507"/>
  <c r="S507"/>
  <c r="V507" s="1"/>
  <c r="V505"/>
  <c r="R502"/>
  <c r="S502"/>
  <c r="S501"/>
  <c r="T500"/>
  <c r="R499"/>
  <c r="S499"/>
  <c r="S498"/>
  <c r="R497"/>
  <c r="S497"/>
  <c r="S496"/>
  <c r="R495"/>
  <c r="S495"/>
  <c r="S494"/>
  <c r="R493"/>
  <c r="S493"/>
  <c r="S492"/>
  <c r="R491"/>
  <c r="S491"/>
  <c r="S490"/>
  <c r="K490"/>
  <c r="S489"/>
  <c r="K489"/>
  <c r="S488"/>
  <c r="R487"/>
  <c r="S487"/>
  <c r="S486"/>
  <c r="T485"/>
  <c r="S485"/>
  <c r="S484"/>
  <c r="V484" s="1"/>
  <c r="K484"/>
  <c r="T483"/>
  <c r="T482"/>
  <c r="T481"/>
  <c r="T480"/>
  <c r="T479"/>
  <c r="S479"/>
  <c r="S478"/>
  <c r="V478" s="1"/>
  <c r="S477"/>
  <c r="V477" s="1"/>
  <c r="T476"/>
  <c r="T474"/>
  <c r="S474"/>
  <c r="S473"/>
  <c r="V473" s="1"/>
  <c r="S472"/>
  <c r="V472" s="1"/>
  <c r="T471"/>
  <c r="R471"/>
  <c r="S471"/>
  <c r="T470"/>
  <c r="S470"/>
  <c r="S468"/>
  <c r="V468" s="1"/>
  <c r="K468"/>
  <c r="R467"/>
  <c r="S467"/>
  <c r="V467" s="1"/>
  <c r="R466"/>
  <c r="S466"/>
  <c r="V466" s="1"/>
  <c r="R465"/>
  <c r="S465"/>
  <c r="V465" s="1"/>
  <c r="R464"/>
  <c r="R462"/>
  <c r="S462"/>
  <c r="V462" s="1"/>
  <c r="R460"/>
  <c r="R458"/>
  <c r="R457"/>
  <c r="R456"/>
  <c r="T454"/>
  <c r="S453"/>
  <c r="V453" s="1"/>
  <c r="S451"/>
  <c r="V451" s="1"/>
  <c r="S450"/>
  <c r="V450" s="1"/>
  <c r="S449"/>
  <c r="V449" s="1"/>
  <c r="S447"/>
  <c r="V447" s="1"/>
  <c r="S445"/>
  <c r="V445" s="1"/>
  <c r="K445"/>
  <c r="R443"/>
  <c r="S443"/>
  <c r="V443" s="1"/>
  <c r="R442"/>
  <c r="S442"/>
  <c r="V442" s="1"/>
  <c r="R441"/>
  <c r="R439"/>
  <c r="S439"/>
  <c r="V439" s="1"/>
  <c r="K439"/>
  <c r="K437"/>
  <c r="S437" s="1"/>
  <c r="V437" s="1"/>
  <c r="R435"/>
  <c r="S435"/>
  <c r="V435" s="1"/>
  <c r="R434"/>
  <c r="S434"/>
  <c r="V434" s="1"/>
  <c r="T433"/>
  <c r="R433"/>
  <c r="S433"/>
  <c r="R432"/>
  <c r="S432"/>
  <c r="V432" s="1"/>
  <c r="R431"/>
  <c r="S431"/>
  <c r="V431" s="1"/>
  <c r="S429"/>
  <c r="V429" s="1"/>
  <c r="S427"/>
  <c r="V427" s="1"/>
  <c r="K427"/>
  <c r="T426"/>
  <c r="K426"/>
  <c r="R424"/>
  <c r="S424"/>
  <c r="V424" s="1"/>
  <c r="R423"/>
  <c r="S423"/>
  <c r="V423" s="1"/>
  <c r="R422"/>
  <c r="S422"/>
  <c r="V422" s="1"/>
  <c r="K421"/>
  <c r="S420"/>
  <c r="V420" s="1"/>
  <c r="S418"/>
  <c r="V418" s="1"/>
  <c r="S416"/>
  <c r="V416" s="1"/>
  <c r="S415"/>
  <c r="V415" s="1"/>
  <c r="K415"/>
  <c r="T408"/>
  <c r="R408"/>
  <c r="S408"/>
  <c r="K406"/>
  <c r="K405"/>
  <c r="R401"/>
  <c r="S401"/>
  <c r="V401" s="1"/>
  <c r="S393"/>
  <c r="V393" s="1"/>
  <c r="K387"/>
  <c r="X386" s="1"/>
  <c r="S385"/>
  <c r="V385" s="1"/>
  <c r="S377"/>
  <c r="V377" s="1"/>
  <c r="S369"/>
  <c r="V369" s="1"/>
  <c r="K368"/>
  <c r="K504" s="1"/>
  <c r="M360"/>
  <c r="J360"/>
  <c r="F18" i="5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T63" i="10"/>
  <c r="R63"/>
  <c r="P63"/>
  <c r="L220"/>
  <c r="J220"/>
  <c r="X249"/>
  <c r="X247"/>
  <c r="X207"/>
  <c r="X195"/>
  <c r="X194"/>
  <c r="X192"/>
  <c r="X171"/>
  <c r="X85"/>
  <c r="AJ85" s="1"/>
  <c r="K159"/>
  <c r="M159"/>
  <c r="O159"/>
  <c r="Q159"/>
  <c r="S159"/>
  <c r="W159"/>
  <c r="Y159"/>
  <c r="H208"/>
  <c r="H197"/>
  <c r="Y324" i="5"/>
  <c r="Y145"/>
  <c r="X148"/>
  <c r="X147"/>
  <c r="X145"/>
  <c r="X135"/>
  <c r="X132"/>
  <c r="X131"/>
  <c r="X126"/>
  <c r="X40"/>
  <c r="X158"/>
  <c r="Y148"/>
  <c r="Y132"/>
  <c r="Y131"/>
  <c r="Y126"/>
  <c r="Y40"/>
  <c r="Y37"/>
  <c r="Y19"/>
  <c r="T24" i="7"/>
  <c r="V132"/>
  <c r="V144"/>
  <c r="V157"/>
  <c r="V162"/>
  <c r="V170"/>
  <c r="V174"/>
  <c r="V180"/>
  <c r="V183"/>
  <c r="V200"/>
  <c r="V204"/>
  <c r="V207"/>
  <c r="V210"/>
  <c r="V214"/>
  <c r="V217"/>
  <c r="V220"/>
  <c r="V223"/>
  <c r="V236"/>
  <c r="V240"/>
  <c r="V243"/>
  <c r="V246"/>
  <c r="V250"/>
  <c r="V254"/>
  <c r="V257"/>
  <c r="V265"/>
  <c r="V269"/>
  <c r="V275"/>
  <c r="V279"/>
  <c r="V282"/>
  <c r="V286"/>
  <c r="V289"/>
  <c r="V293"/>
  <c r="V296"/>
  <c r="V299"/>
  <c r="V303"/>
  <c r="V307"/>
  <c r="V313"/>
  <c r="V317"/>
  <c r="V320"/>
  <c r="V323"/>
  <c r="V327"/>
  <c r="V328"/>
  <c r="V329"/>
  <c r="V330"/>
  <c r="V331"/>
  <c r="V333"/>
  <c r="V338"/>
  <c r="V342"/>
  <c r="J227" i="10"/>
  <c r="R831" i="7" l="1"/>
  <c r="S831"/>
  <c r="P360"/>
  <c r="V470"/>
  <c r="V479"/>
  <c r="O360"/>
  <c r="Q360"/>
  <c r="E367" i="5"/>
  <c r="N365" i="7" s="1"/>
  <c r="R365" s="1"/>
  <c r="Z367" i="5"/>
  <c r="Z368"/>
  <c r="E375"/>
  <c r="N373" i="7" s="1"/>
  <c r="Z375" i="5"/>
  <c r="Z376"/>
  <c r="E383"/>
  <c r="N381" i="7" s="1"/>
  <c r="S381" s="1"/>
  <c r="V381" s="1"/>
  <c r="Z383" i="5"/>
  <c r="Z384"/>
  <c r="E391"/>
  <c r="N389" i="7" s="1"/>
  <c r="S389" s="1"/>
  <c r="V389" s="1"/>
  <c r="Z391" i="5"/>
  <c r="Z392"/>
  <c r="E399"/>
  <c r="N397" i="7" s="1"/>
  <c r="Z399" i="5"/>
  <c r="Z400"/>
  <c r="E407"/>
  <c r="N405" i="7" s="1"/>
  <c r="R405" s="1"/>
  <c r="Z407" i="5"/>
  <c r="Z408"/>
  <c r="E413"/>
  <c r="N411" i="7" s="1"/>
  <c r="R411" s="1"/>
  <c r="Z413" i="5"/>
  <c r="Z414"/>
  <c r="E421"/>
  <c r="N419" i="7" s="1"/>
  <c r="S419" s="1"/>
  <c r="V419" s="1"/>
  <c r="Z421" i="5"/>
  <c r="E428"/>
  <c r="N426" i="7" s="1"/>
  <c r="S426" s="1"/>
  <c r="V426" s="1"/>
  <c r="Z428" i="5"/>
  <c r="E430"/>
  <c r="N428" i="7" s="1"/>
  <c r="S428" s="1"/>
  <c r="V428" s="1"/>
  <c r="E440" i="5"/>
  <c r="N438" i="7" s="1"/>
  <c r="S438" s="1"/>
  <c r="V438" s="1"/>
  <c r="Z440" i="5"/>
  <c r="E448"/>
  <c r="N446" i="7" s="1"/>
  <c r="S446" s="1"/>
  <c r="V446" s="1"/>
  <c r="Z448" i="5"/>
  <c r="E463"/>
  <c r="N461" i="7" s="1"/>
  <c r="R461" s="1"/>
  <c r="Z463" i="5"/>
  <c r="E478"/>
  <c r="N476" i="7" s="1"/>
  <c r="Z478" i="5"/>
  <c r="E482"/>
  <c r="N480" i="7" s="1"/>
  <c r="E484" i="5"/>
  <c r="N482" i="7" s="1"/>
  <c r="F507" i="5"/>
  <c r="Z512"/>
  <c r="Z515"/>
  <c r="E518"/>
  <c r="N516" i="7" s="1"/>
  <c r="S516" s="1"/>
  <c r="V516" s="1"/>
  <c r="E524" i="5"/>
  <c r="N522" i="7" s="1"/>
  <c r="R522" s="1"/>
  <c r="E542" i="5"/>
  <c r="N540" i="7" s="1"/>
  <c r="S540" s="1"/>
  <c r="V540" s="1"/>
  <c r="E548" i="5"/>
  <c r="N546" i="7" s="1"/>
  <c r="S546" s="1"/>
  <c r="V546" s="1"/>
  <c r="E552" i="5"/>
  <c r="N550" i="7" s="1"/>
  <c r="S550" s="1"/>
  <c r="V550" s="1"/>
  <c r="E558" i="5"/>
  <c r="N556" i="7" s="1"/>
  <c r="E566" i="5"/>
  <c r="N564" i="7" s="1"/>
  <c r="Z576" i="5"/>
  <c r="E599"/>
  <c r="N597" i="7" s="1"/>
  <c r="R597" s="1"/>
  <c r="E604" i="5"/>
  <c r="N602" i="7" s="1"/>
  <c r="R602" s="1"/>
  <c r="Z608" i="5"/>
  <c r="L609"/>
  <c r="Y609" s="1"/>
  <c r="E610"/>
  <c r="Z628"/>
  <c r="L629"/>
  <c r="Y629" s="1"/>
  <c r="E630"/>
  <c r="N628" i="7" s="1"/>
  <c r="S628" s="1"/>
  <c r="V628" s="1"/>
  <c r="Z645" i="5"/>
  <c r="Z646"/>
  <c r="L647"/>
  <c r="Y647" s="1"/>
  <c r="E648"/>
  <c r="E652"/>
  <c r="N650" i="7" s="1"/>
  <c r="R650" s="1"/>
  <c r="E656" i="5"/>
  <c r="N654" i="7" s="1"/>
  <c r="E660" i="5"/>
  <c r="N658" i="7" s="1"/>
  <c r="R658" s="1"/>
  <c r="E664" i="5"/>
  <c r="N662" i="7" s="1"/>
  <c r="R662" s="1"/>
  <c r="I361" i="5"/>
  <c r="Z669"/>
  <c r="Z675"/>
  <c r="E686"/>
  <c r="N684" i="7" s="1"/>
  <c r="R684" s="1"/>
  <c r="E700" i="5"/>
  <c r="N698" i="7" s="1"/>
  <c r="R698" s="1"/>
  <c r="Z706" i="5"/>
  <c r="E712"/>
  <c r="N710" i="7" s="1"/>
  <c r="R710" s="1"/>
  <c r="E720" i="5"/>
  <c r="N718" i="7" s="1"/>
  <c r="R718" s="1"/>
  <c r="Z720" i="5"/>
  <c r="E728"/>
  <c r="N726" i="7" s="1"/>
  <c r="Z728" i="5"/>
  <c r="Z734"/>
  <c r="E736"/>
  <c r="N734" i="7" s="1"/>
  <c r="S734" s="1"/>
  <c r="V734" s="1"/>
  <c r="Z736" i="5"/>
  <c r="Z742"/>
  <c r="E744"/>
  <c r="N742" i="7" s="1"/>
  <c r="S742" s="1"/>
  <c r="V742" s="1"/>
  <c r="Z744" i="5"/>
  <c r="Z750"/>
  <c r="E752"/>
  <c r="N750" i="7" s="1"/>
  <c r="S750" s="1"/>
  <c r="V750" s="1"/>
  <c r="Z752" i="5"/>
  <c r="Z758"/>
  <c r="E760"/>
  <c r="N758" i="7" s="1"/>
  <c r="S758" s="1"/>
  <c r="V758" s="1"/>
  <c r="Z760" i="5"/>
  <c r="Z766"/>
  <c r="E768"/>
  <c r="N766" i="7" s="1"/>
  <c r="S766" s="1"/>
  <c r="V766" s="1"/>
  <c r="Z768" i="5"/>
  <c r="Z774"/>
  <c r="E776"/>
  <c r="N774" i="7" s="1"/>
  <c r="S774" s="1"/>
  <c r="V774" s="1"/>
  <c r="Z776" i="5"/>
  <c r="E784"/>
  <c r="N782" i="7" s="1"/>
  <c r="S782" s="1"/>
  <c r="V782" s="1"/>
  <c r="Z784" i="5"/>
  <c r="Z785"/>
  <c r="E792"/>
  <c r="N790" i="7" s="1"/>
  <c r="S790" s="1"/>
  <c r="V790" s="1"/>
  <c r="Z792" i="5"/>
  <c r="Z793"/>
  <c r="E800"/>
  <c r="N798" i="7" s="1"/>
  <c r="R798" s="1"/>
  <c r="Z800" i="5"/>
  <c r="Z801"/>
  <c r="E808"/>
  <c r="N806" i="7" s="1"/>
  <c r="R806" s="1"/>
  <c r="Z808" i="5"/>
  <c r="Z809"/>
  <c r="E816"/>
  <c r="N814" i="7" s="1"/>
  <c r="R814" s="1"/>
  <c r="Z816" i="5"/>
  <c r="Z817"/>
  <c r="E824"/>
  <c r="N822" i="7" s="1"/>
  <c r="Z824" i="5"/>
  <c r="Z825"/>
  <c r="E831"/>
  <c r="N829" i="7" s="1"/>
  <c r="Z831" i="5"/>
  <c r="Z833"/>
  <c r="E844"/>
  <c r="N842" i="7" s="1"/>
  <c r="Z844" i="5"/>
  <c r="E856"/>
  <c r="N854" i="7" s="1"/>
  <c r="Z863" i="5"/>
  <c r="E874"/>
  <c r="N872" i="7" s="1"/>
  <c r="S872" s="1"/>
  <c r="V872" s="1"/>
  <c r="Z874" i="5"/>
  <c r="E878"/>
  <c r="N876" i="7" s="1"/>
  <c r="Z878" i="5"/>
  <c r="E882"/>
  <c r="N880" i="7" s="1"/>
  <c r="Z882" i="5"/>
  <c r="E890"/>
  <c r="N888" i="7" s="1"/>
  <c r="Z890" i="5"/>
  <c r="Y906"/>
  <c r="E907"/>
  <c r="Z907"/>
  <c r="E908"/>
  <c r="N906" i="7" s="1"/>
  <c r="Z908" i="5"/>
  <c r="E909"/>
  <c r="N907" i="7" s="1"/>
  <c r="R907" s="1"/>
  <c r="Z909" i="5"/>
  <c r="E910"/>
  <c r="N908" i="7" s="1"/>
  <c r="Z910" i="5"/>
  <c r="Z911"/>
  <c r="Z932"/>
  <c r="Z999"/>
  <c r="N705"/>
  <c r="R705"/>
  <c r="T705"/>
  <c r="V705"/>
  <c r="G996"/>
  <c r="G995" s="1"/>
  <c r="G994" s="1"/>
  <c r="G993" s="1"/>
  <c r="G992" s="1"/>
  <c r="G991" s="1"/>
  <c r="G989" s="1"/>
  <c r="G988" s="1"/>
  <c r="G986" s="1"/>
  <c r="G985" s="1"/>
  <c r="G984" s="1"/>
  <c r="G705" s="1"/>
  <c r="N56" i="6"/>
  <c r="Q704" i="7"/>
  <c r="O704"/>
  <c r="H363" i="5"/>
  <c r="F363"/>
  <c r="K360" i="7"/>
  <c r="Z481" i="5"/>
  <c r="U705"/>
  <c r="Z949"/>
  <c r="L950"/>
  <c r="Y950" s="1"/>
  <c r="E951"/>
  <c r="Z951"/>
  <c r="E955"/>
  <c r="N953" i="7" s="1"/>
  <c r="R953" s="1"/>
  <c r="Z955" i="5"/>
  <c r="Z975"/>
  <c r="Z976"/>
  <c r="L977"/>
  <c r="E978"/>
  <c r="E977" s="1"/>
  <c r="Z978"/>
  <c r="Y980"/>
  <c r="Z983"/>
  <c r="Z985"/>
  <c r="Z986"/>
  <c r="Y988"/>
  <c r="Z990"/>
  <c r="Z997"/>
  <c r="Z1006"/>
  <c r="H996"/>
  <c r="H995" s="1"/>
  <c r="H994" s="1"/>
  <c r="H993" s="1"/>
  <c r="H992" s="1"/>
  <c r="H991" s="1"/>
  <c r="H989" s="1"/>
  <c r="H988" s="1"/>
  <c r="H986" s="1"/>
  <c r="H985" s="1"/>
  <c r="H984" s="1"/>
  <c r="L1007"/>
  <c r="Y1007" s="1"/>
  <c r="E1008"/>
  <c r="N1006" i="7" s="1"/>
  <c r="R1006" s="1"/>
  <c r="Z1008" i="5"/>
  <c r="Z1009"/>
  <c r="E1014"/>
  <c r="N1012" i="7" s="1"/>
  <c r="R1012" s="1"/>
  <c r="Z1014" i="5"/>
  <c r="Z1015"/>
  <c r="Z1022"/>
  <c r="E1032"/>
  <c r="N1030" i="7" s="1"/>
  <c r="Z1032" i="5"/>
  <c r="Z1033"/>
  <c r="L363"/>
  <c r="P363"/>
  <c r="E902"/>
  <c r="N901" i="7"/>
  <c r="N971"/>
  <c r="R971" s="1"/>
  <c r="N976"/>
  <c r="R976" s="1"/>
  <c r="R977" s="1"/>
  <c r="E1005" i="5"/>
  <c r="F1004"/>
  <c r="F999" s="1"/>
  <c r="P705"/>
  <c r="E581"/>
  <c r="N580" i="7"/>
  <c r="N581" s="1"/>
  <c r="S581" s="1"/>
  <c r="V581" s="1"/>
  <c r="E640" i="5"/>
  <c r="N639" i="7"/>
  <c r="N644" s="1"/>
  <c r="S644" s="1"/>
  <c r="V644" s="1"/>
  <c r="Y708" i="5"/>
  <c r="L707"/>
  <c r="Y707" s="1"/>
  <c r="E895"/>
  <c r="N894" i="7"/>
  <c r="N911"/>
  <c r="R911" s="1"/>
  <c r="E916" i="5"/>
  <c r="N915" i="7"/>
  <c r="R915" s="1"/>
  <c r="R916" s="1"/>
  <c r="E933" i="5"/>
  <c r="N932" i="7"/>
  <c r="R932" s="1"/>
  <c r="R933" s="1"/>
  <c r="E939" i="5"/>
  <c r="N938" i="7"/>
  <c r="R938" s="1"/>
  <c r="R939" s="1"/>
  <c r="Z360" i="5"/>
  <c r="Z362"/>
  <c r="E365"/>
  <c r="N363" i="7" s="1"/>
  <c r="R363" s="1"/>
  <c r="E369" i="5"/>
  <c r="N367" i="7" s="1"/>
  <c r="R367" s="1"/>
  <c r="E373" i="5"/>
  <c r="N371" i="7" s="1"/>
  <c r="S371" s="1"/>
  <c r="V371" s="1"/>
  <c r="E377" i="5"/>
  <c r="N375" i="7" s="1"/>
  <c r="E381" i="5"/>
  <c r="N379" i="7" s="1"/>
  <c r="S379" s="1"/>
  <c r="V379" s="1"/>
  <c r="E385" i="5"/>
  <c r="N383" i="7" s="1"/>
  <c r="S383" s="1"/>
  <c r="V383" s="1"/>
  <c r="E389" i="5"/>
  <c r="N387" i="7" s="1"/>
  <c r="S387" s="1"/>
  <c r="V387" s="1"/>
  <c r="E393" i="5"/>
  <c r="N391" i="7" s="1"/>
  <c r="S391" s="1"/>
  <c r="V391" s="1"/>
  <c r="E397" i="5"/>
  <c r="N395" i="7" s="1"/>
  <c r="S395" s="1"/>
  <c r="V395" s="1"/>
  <c r="E401" i="5"/>
  <c r="N399" i="7" s="1"/>
  <c r="E405" i="5"/>
  <c r="N403" i="7" s="1"/>
  <c r="S403" s="1"/>
  <c r="V403" s="1"/>
  <c r="E409" i="5"/>
  <c r="N407" i="7" s="1"/>
  <c r="S407" s="1"/>
  <c r="V407" s="1"/>
  <c r="Z410" i="5"/>
  <c r="E411"/>
  <c r="N409" i="7" s="1"/>
  <c r="R409" s="1"/>
  <c r="E415" i="5"/>
  <c r="N413" i="7" s="1"/>
  <c r="R413" s="1"/>
  <c r="E419" i="5"/>
  <c r="N417" i="7" s="1"/>
  <c r="S417" s="1"/>
  <c r="V417" s="1"/>
  <c r="E423" i="5"/>
  <c r="N421" i="7" s="1"/>
  <c r="E427" i="5"/>
  <c r="N425" i="7" s="1"/>
  <c r="Z430" i="5"/>
  <c r="E432"/>
  <c r="N430" i="7" s="1"/>
  <c r="Z432" i="5"/>
  <c r="Z434"/>
  <c r="E438"/>
  <c r="N436" i="7" s="1"/>
  <c r="E442" i="5"/>
  <c r="N440" i="7" s="1"/>
  <c r="E446" i="5"/>
  <c r="N444" i="7" s="1"/>
  <c r="E450" i="5"/>
  <c r="N448" i="7" s="1"/>
  <c r="S448" s="1"/>
  <c r="V448" s="1"/>
  <c r="E454" i="5"/>
  <c r="N452" i="7" s="1"/>
  <c r="S452" s="1"/>
  <c r="V452" s="1"/>
  <c r="E457" i="5"/>
  <c r="N455" i="7" s="1"/>
  <c r="R455" s="1"/>
  <c r="E461" i="5"/>
  <c r="N459" i="7" s="1"/>
  <c r="R459" s="1"/>
  <c r="E465" i="5"/>
  <c r="N463" i="7" s="1"/>
  <c r="R463" s="1"/>
  <c r="Z469" i="5"/>
  <c r="E471"/>
  <c r="N469" i="7" s="1"/>
  <c r="S469" s="1"/>
  <c r="V469" s="1"/>
  <c r="E477" i="5"/>
  <c r="N475" i="7" s="1"/>
  <c r="Z482" i="5"/>
  <c r="E483"/>
  <c r="N481" i="7" s="1"/>
  <c r="S481" s="1"/>
  <c r="Z484" i="5"/>
  <c r="E485"/>
  <c r="N483" i="7" s="1"/>
  <c r="S483" s="1"/>
  <c r="Z486" i="5"/>
  <c r="E502"/>
  <c r="N500" i="7" s="1"/>
  <c r="S500" s="1"/>
  <c r="Z506" i="5"/>
  <c r="L507"/>
  <c r="P507"/>
  <c r="E508"/>
  <c r="N506" i="7" s="1"/>
  <c r="Z508" i="5"/>
  <c r="Z509"/>
  <c r="E510"/>
  <c r="N508" i="7" s="1"/>
  <c r="Z510" i="5"/>
  <c r="Z511"/>
  <c r="Z517"/>
  <c r="E519"/>
  <c r="N517" i="7" s="1"/>
  <c r="S517" s="1"/>
  <c r="E522" i="5"/>
  <c r="N520" i="7" s="1"/>
  <c r="R520" s="1"/>
  <c r="Z522" i="5"/>
  <c r="Z523"/>
  <c r="E526"/>
  <c r="N524" i="7" s="1"/>
  <c r="R524" s="1"/>
  <c r="Z526" i="5"/>
  <c r="Z527"/>
  <c r="Z530"/>
  <c r="L531"/>
  <c r="Y531" s="1"/>
  <c r="E532"/>
  <c r="N530" i="7" s="1"/>
  <c r="Z532" i="5"/>
  <c r="Z533"/>
  <c r="Z535"/>
  <c r="Z537"/>
  <c r="E540"/>
  <c r="N538" i="7" s="1"/>
  <c r="S538" s="1"/>
  <c r="V538" s="1"/>
  <c r="Z540" i="5"/>
  <c r="Z541"/>
  <c r="Z544"/>
  <c r="L545"/>
  <c r="Y545" s="1"/>
  <c r="E546"/>
  <c r="N544" i="7" s="1"/>
  <c r="Z546" i="5"/>
  <c r="Z547"/>
  <c r="Z549"/>
  <c r="Z551"/>
  <c r="E554"/>
  <c r="N552" i="7" s="1"/>
  <c r="Z554" i="5"/>
  <c r="Z557"/>
  <c r="E560"/>
  <c r="N558" i="7" s="1"/>
  <c r="Z560" i="5"/>
  <c r="Z561"/>
  <c r="E564"/>
  <c r="N562" i="7" s="1"/>
  <c r="Z564" i="5"/>
  <c r="Z565"/>
  <c r="E567"/>
  <c r="N565" i="7" s="1"/>
  <c r="Z567" i="5"/>
  <c r="E568"/>
  <c r="N566" i="7" s="1"/>
  <c r="R566" s="1"/>
  <c r="Z568" i="5"/>
  <c r="Z572"/>
  <c r="Z573"/>
  <c r="Z574"/>
  <c r="E575"/>
  <c r="N573" i="7" s="1"/>
  <c r="R573" s="1"/>
  <c r="Z575" i="5"/>
  <c r="E579"/>
  <c r="N577" i="7" s="1"/>
  <c r="R577" s="1"/>
  <c r="Z579" i="5"/>
  <c r="Y581"/>
  <c r="Z584"/>
  <c r="Z586"/>
  <c r="Z588"/>
  <c r="Z590"/>
  <c r="Z592"/>
  <c r="Z594"/>
  <c r="E597"/>
  <c r="N595" i="7" s="1"/>
  <c r="R595" s="1"/>
  <c r="Z597" i="5"/>
  <c r="Z598"/>
  <c r="E600"/>
  <c r="N598" i="7" s="1"/>
  <c r="R598" s="1"/>
  <c r="E603" i="5"/>
  <c r="N601" i="7" s="1"/>
  <c r="R601" s="1"/>
  <c r="Z603" i="5"/>
  <c r="Z605"/>
  <c r="Z607"/>
  <c r="Z609"/>
  <c r="Z611"/>
  <c r="Z613"/>
  <c r="Z614"/>
  <c r="E616"/>
  <c r="N614" i="7" s="1"/>
  <c r="S614" s="1"/>
  <c r="V614" s="1"/>
  <c r="Z616" i="5"/>
  <c r="Z620"/>
  <c r="L621"/>
  <c r="Y621" s="1"/>
  <c r="E622"/>
  <c r="N620" i="7" s="1"/>
  <c r="Z622" i="5"/>
  <c r="Z623"/>
  <c r="E626"/>
  <c r="N624" i="7" s="1"/>
  <c r="S624" s="1"/>
  <c r="V624" s="1"/>
  <c r="Z626" i="5"/>
  <c r="Z627"/>
  <c r="Z629"/>
  <c r="E632"/>
  <c r="N630" i="7" s="1"/>
  <c r="Z632" i="5"/>
  <c r="Z636"/>
  <c r="L637"/>
  <c r="Y637" s="1"/>
  <c r="E638"/>
  <c r="Z638"/>
  <c r="Y640"/>
  <c r="Z643"/>
  <c r="Z644"/>
  <c r="Z647"/>
  <c r="Z649"/>
  <c r="Z651"/>
  <c r="Z653"/>
  <c r="Z655"/>
  <c r="Z657"/>
  <c r="Z659"/>
  <c r="Z661"/>
  <c r="Z663"/>
  <c r="Z666"/>
  <c r="L667"/>
  <c r="Y667" s="1"/>
  <c r="E668"/>
  <c r="Z668"/>
  <c r="Z672"/>
  <c r="L673"/>
  <c r="Y673" s="1"/>
  <c r="E674"/>
  <c r="Z674"/>
  <c r="E678"/>
  <c r="N676" i="7" s="1"/>
  <c r="R676" s="1"/>
  <c r="Z678" i="5"/>
  <c r="Z679"/>
  <c r="Z681"/>
  <c r="E684"/>
  <c r="N682" i="7" s="1"/>
  <c r="R682" s="1"/>
  <c r="Z684" i="5"/>
  <c r="Z685"/>
  <c r="E688"/>
  <c r="N686" i="7" s="1"/>
  <c r="R686" s="1"/>
  <c r="Z688" i="5"/>
  <c r="Z692"/>
  <c r="L693"/>
  <c r="Y693" s="1"/>
  <c r="E694"/>
  <c r="N692" i="7" s="1"/>
  <c r="Z694" i="5"/>
  <c r="Z695"/>
  <c r="E698"/>
  <c r="N696" i="7" s="1"/>
  <c r="R696" s="1"/>
  <c r="Z698" i="5"/>
  <c r="Z699"/>
  <c r="E702"/>
  <c r="N700" i="7" s="1"/>
  <c r="R700" s="1"/>
  <c r="Z702" i="5"/>
  <c r="Z703"/>
  <c r="E710"/>
  <c r="N708" i="7" s="1"/>
  <c r="R708" s="1"/>
  <c r="Z710" i="5"/>
  <c r="Z711"/>
  <c r="E714"/>
  <c r="N712" i="7" s="1"/>
  <c r="R712" s="1"/>
  <c r="Z714" i="5"/>
  <c r="Z715"/>
  <c r="E718"/>
  <c r="N716" i="7" s="1"/>
  <c r="R716" s="1"/>
  <c r="Z718" i="5"/>
  <c r="Z719"/>
  <c r="E722"/>
  <c r="N720" i="7" s="1"/>
  <c r="E726" i="5"/>
  <c r="N724" i="7" s="1"/>
  <c r="E730" i="5"/>
  <c r="N728" i="7" s="1"/>
  <c r="Z730" i="5"/>
  <c r="E734"/>
  <c r="N732" i="7" s="1"/>
  <c r="S732" s="1"/>
  <c r="V732" s="1"/>
  <c r="E738" i="5"/>
  <c r="N736" i="7" s="1"/>
  <c r="S736" s="1"/>
  <c r="V736" s="1"/>
  <c r="E742" i="5"/>
  <c r="N740" i="7" s="1"/>
  <c r="S740" s="1"/>
  <c r="V740" s="1"/>
  <c r="E746" i="5"/>
  <c r="N744" i="7" s="1"/>
  <c r="S744" s="1"/>
  <c r="V744" s="1"/>
  <c r="E750" i="5"/>
  <c r="N748" i="7" s="1"/>
  <c r="S748" s="1"/>
  <c r="V748" s="1"/>
  <c r="E754" i="5"/>
  <c r="N752" i="7" s="1"/>
  <c r="S752" s="1"/>
  <c r="V752" s="1"/>
  <c r="E758" i="5"/>
  <c r="N756" i="7" s="1"/>
  <c r="S756" s="1"/>
  <c r="V756" s="1"/>
  <c r="E762" i="5"/>
  <c r="N760" i="7" s="1"/>
  <c r="S760" s="1"/>
  <c r="V760" s="1"/>
  <c r="E766" i="5"/>
  <c r="N764" i="7" s="1"/>
  <c r="S764" s="1"/>
  <c r="V764" s="1"/>
  <c r="E770" i="5"/>
  <c r="N768" i="7" s="1"/>
  <c r="S768" s="1"/>
  <c r="V768" s="1"/>
  <c r="E774" i="5"/>
  <c r="N772" i="7" s="1"/>
  <c r="S772" s="1"/>
  <c r="V772" s="1"/>
  <c r="E778" i="5"/>
  <c r="N776" i="7" s="1"/>
  <c r="S776" s="1"/>
  <c r="V776" s="1"/>
  <c r="E782" i="5"/>
  <c r="N780" i="7" s="1"/>
  <c r="S780" s="1"/>
  <c r="V780" s="1"/>
  <c r="E786" i="5"/>
  <c r="N784" i="7" s="1"/>
  <c r="S784" s="1"/>
  <c r="V784" s="1"/>
  <c r="E790" i="5"/>
  <c r="N788" i="7" s="1"/>
  <c r="S788" s="1"/>
  <c r="V788" s="1"/>
  <c r="E794" i="5"/>
  <c r="N792" i="7" s="1"/>
  <c r="S792" s="1"/>
  <c r="V792" s="1"/>
  <c r="E798" i="5"/>
  <c r="N796" i="7" s="1"/>
  <c r="R796" s="1"/>
  <c r="E802" i="5"/>
  <c r="N800" i="7" s="1"/>
  <c r="R800" s="1"/>
  <c r="E806" i="5"/>
  <c r="N804" i="7" s="1"/>
  <c r="R804" s="1"/>
  <c r="E810" i="5"/>
  <c r="N808" i="7" s="1"/>
  <c r="R808" s="1"/>
  <c r="E814" i="5"/>
  <c r="N812" i="7" s="1"/>
  <c r="R812" s="1"/>
  <c r="E818" i="5"/>
  <c r="N816" i="7" s="1"/>
  <c r="E822" i="5"/>
  <c r="N820" i="7" s="1"/>
  <c r="E826" i="5"/>
  <c r="N824" i="7" s="1"/>
  <c r="E830" i="5"/>
  <c r="N828" i="7" s="1"/>
  <c r="H707" i="5"/>
  <c r="H705" s="1"/>
  <c r="Z834"/>
  <c r="Z840"/>
  <c r="L841"/>
  <c r="Y841" s="1"/>
  <c r="E842"/>
  <c r="N840" i="7" s="1"/>
  <c r="E846" i="5"/>
  <c r="N844" i="7" s="1"/>
  <c r="Z846" i="5"/>
  <c r="E854"/>
  <c r="N852" i="7" s="1"/>
  <c r="Z854" i="5"/>
  <c r="E858"/>
  <c r="N856" i="7" s="1"/>
  <c r="E862" i="5"/>
  <c r="N860" i="7" s="1"/>
  <c r="E866" i="5"/>
  <c r="N864" i="7" s="1"/>
  <c r="E872" i="5"/>
  <c r="N870" i="7" s="1"/>
  <c r="Z875" i="5"/>
  <c r="Z879"/>
  <c r="E884"/>
  <c r="N882" i="7" s="1"/>
  <c r="E888" i="5"/>
  <c r="N886" i="7" s="1"/>
  <c r="E892" i="5"/>
  <c r="N890" i="7" s="1"/>
  <c r="Z897" i="5"/>
  <c r="L898"/>
  <c r="Y898" s="1"/>
  <c r="E899"/>
  <c r="N897" i="7" s="1"/>
  <c r="Y902" i="5"/>
  <c r="K902"/>
  <c r="K705" s="1"/>
  <c r="Z903"/>
  <c r="Z904"/>
  <c r="Z905"/>
  <c r="E914"/>
  <c r="N912" i="7" s="1"/>
  <c r="R912" s="1"/>
  <c r="Z918" i="5"/>
  <c r="L919"/>
  <c r="Y919" s="1"/>
  <c r="E920"/>
  <c r="E924"/>
  <c r="N922" i="7" s="1"/>
  <c r="R922" s="1"/>
  <c r="Z926" i="5"/>
  <c r="E927"/>
  <c r="N925" i="7" s="1"/>
  <c r="R925" s="1"/>
  <c r="E931" i="5"/>
  <c r="N929" i="7" s="1"/>
  <c r="R929" s="1"/>
  <c r="Z935" i="5"/>
  <c r="L936"/>
  <c r="Y936" s="1"/>
  <c r="E937"/>
  <c r="Z941"/>
  <c r="L942"/>
  <c r="Y942" s="1"/>
  <c r="E943"/>
  <c r="N941" i="7" s="1"/>
  <c r="R941" s="1"/>
  <c r="E947" i="5"/>
  <c r="N945" i="7" s="1"/>
  <c r="R945" s="1"/>
  <c r="Z952" i="5"/>
  <c r="E957"/>
  <c r="N955" i="7" s="1"/>
  <c r="R955" s="1"/>
  <c r="Z960" i="5"/>
  <c r="Z964"/>
  <c r="Z971"/>
  <c r="F972"/>
  <c r="Y972"/>
  <c r="Z973"/>
  <c r="E974"/>
  <c r="N972" i="7" s="1"/>
  <c r="R972" s="1"/>
  <c r="Z974" i="5"/>
  <c r="Y977"/>
  <c r="Z979"/>
  <c r="Y984"/>
  <c r="Z987"/>
  <c r="L991"/>
  <c r="Y991" s="1"/>
  <c r="Z1000"/>
  <c r="Y1001"/>
  <c r="Z1003"/>
  <c r="Z1010"/>
  <c r="L1011"/>
  <c r="Y1011" s="1"/>
  <c r="E1012"/>
  <c r="N1010" i="7" s="1"/>
  <c r="R1010" s="1"/>
  <c r="E1016" i="5"/>
  <c r="N1014" i="7" s="1"/>
  <c r="R1014" s="1"/>
  <c r="E1020" i="5"/>
  <c r="N1018" i="7" s="1"/>
  <c r="R1018" s="1"/>
  <c r="L1023" i="5"/>
  <c r="Y1023" s="1"/>
  <c r="Z1023" s="1"/>
  <c r="E1024"/>
  <c r="E1030"/>
  <c r="N1028" i="7" s="1"/>
  <c r="E1034" i="5"/>
  <c r="N1032" i="7" s="1"/>
  <c r="E573" i="5"/>
  <c r="N572" i="7"/>
  <c r="R572" s="1"/>
  <c r="R574" s="1"/>
  <c r="E584" i="5"/>
  <c r="N583" i="7"/>
  <c r="N584" s="1"/>
  <c r="S584" s="1"/>
  <c r="V584" s="1"/>
  <c r="E590" i="5"/>
  <c r="N589" i="7"/>
  <c r="R589" s="1"/>
  <c r="R590" s="1"/>
  <c r="E609" i="5"/>
  <c r="N608" i="7"/>
  <c r="R608" s="1"/>
  <c r="R609" s="1"/>
  <c r="E647" i="5"/>
  <c r="N646" i="7"/>
  <c r="N647" s="1"/>
  <c r="S647" s="1"/>
  <c r="V647" s="1"/>
  <c r="N706"/>
  <c r="N868"/>
  <c r="E876" i="5"/>
  <c r="N875" i="7"/>
  <c r="N879"/>
  <c r="E906" i="5"/>
  <c r="N905" i="7"/>
  <c r="R905" s="1"/>
  <c r="E950" i="5"/>
  <c r="N949" i="7"/>
  <c r="R949" s="1"/>
  <c r="R950" s="1"/>
  <c r="N952"/>
  <c r="R952" s="1"/>
  <c r="R958" s="1"/>
  <c r="E961" i="5"/>
  <c r="N960" i="7"/>
  <c r="R960" s="1"/>
  <c r="E965" i="5"/>
  <c r="N964" i="7"/>
  <c r="R964" s="1"/>
  <c r="R965" s="1"/>
  <c r="E968" i="5"/>
  <c r="N967" i="7"/>
  <c r="R967" s="1"/>
  <c r="E980" i="5"/>
  <c r="N979" i="7"/>
  <c r="R979" s="1"/>
  <c r="R981" s="1"/>
  <c r="Z519" i="5"/>
  <c r="Z600"/>
  <c r="Z841"/>
  <c r="Z898"/>
  <c r="Z902"/>
  <c r="Z919"/>
  <c r="Z936"/>
  <c r="Z942"/>
  <c r="Z972"/>
  <c r="Z977"/>
  <c r="Z984"/>
  <c r="Z991"/>
  <c r="Z1001"/>
  <c r="Z1011"/>
  <c r="E505"/>
  <c r="N503" i="7" s="1"/>
  <c r="S837"/>
  <c r="V483"/>
  <c r="V481"/>
  <c r="Z707" i="5"/>
  <c r="V474" i="7"/>
  <c r="Z419" i="5"/>
  <c r="Z423"/>
  <c r="Z427"/>
  <c r="Z438"/>
  <c r="Z442"/>
  <c r="Z446"/>
  <c r="Z450"/>
  <c r="Z454"/>
  <c r="Z457"/>
  <c r="Z461"/>
  <c r="Z465"/>
  <c r="Z471"/>
  <c r="Z477"/>
  <c r="Z483"/>
  <c r="Z485"/>
  <c r="Z722"/>
  <c r="Z726"/>
  <c r="Z848"/>
  <c r="Z852"/>
  <c r="Z856"/>
  <c r="R962" i="7"/>
  <c r="N93" i="6"/>
  <c r="Z365" i="5"/>
  <c r="Z366"/>
  <c r="Z369"/>
  <c r="Z370"/>
  <c r="Z373"/>
  <c r="Z374"/>
  <c r="Z377"/>
  <c r="Z378"/>
  <c r="Z381"/>
  <c r="Z382"/>
  <c r="Z385"/>
  <c r="Z386"/>
  <c r="Z389"/>
  <c r="Z390"/>
  <c r="Z393"/>
  <c r="Z394"/>
  <c r="Z397"/>
  <c r="Z398"/>
  <c r="Z401"/>
  <c r="Z402"/>
  <c r="Z405"/>
  <c r="Z406"/>
  <c r="Z409"/>
  <c r="Z411"/>
  <c r="Z412"/>
  <c r="Z415"/>
  <c r="Z416"/>
  <c r="E364"/>
  <c r="N362" i="7" s="1"/>
  <c r="N504" s="1"/>
  <c r="E366" i="5"/>
  <c r="N364" i="7" s="1"/>
  <c r="R364" s="1"/>
  <c r="E368" i="5"/>
  <c r="N366" i="7" s="1"/>
  <c r="R366" s="1"/>
  <c r="E370" i="5"/>
  <c r="N368" i="7" s="1"/>
  <c r="S368" s="1"/>
  <c r="V368" s="1"/>
  <c r="E372" i="5"/>
  <c r="N370" i="7" s="1"/>
  <c r="S370" s="1"/>
  <c r="V370" s="1"/>
  <c r="E374" i="5"/>
  <c r="N372" i="7" s="1"/>
  <c r="E376" i="5"/>
  <c r="N374" i="7" s="1"/>
  <c r="E378" i="5"/>
  <c r="N376" i="7" s="1"/>
  <c r="S376" s="1"/>
  <c r="V376" s="1"/>
  <c r="E380" i="5"/>
  <c r="N378" i="7" s="1"/>
  <c r="S378" s="1"/>
  <c r="V378" s="1"/>
  <c r="E382" i="5"/>
  <c r="N380" i="7" s="1"/>
  <c r="S380" s="1"/>
  <c r="V380" s="1"/>
  <c r="E384" i="5"/>
  <c r="N382" i="7" s="1"/>
  <c r="S382" s="1"/>
  <c r="V382" s="1"/>
  <c r="E386" i="5"/>
  <c r="N384" i="7" s="1"/>
  <c r="S384" s="1"/>
  <c r="V384" s="1"/>
  <c r="E388" i="5"/>
  <c r="N386" i="7" s="1"/>
  <c r="S386" s="1"/>
  <c r="V386" s="1"/>
  <c r="E390" i="5"/>
  <c r="N388" i="7" s="1"/>
  <c r="E392" i="5"/>
  <c r="N390" i="7" s="1"/>
  <c r="S390" s="1"/>
  <c r="V390" s="1"/>
  <c r="E394" i="5"/>
  <c r="N392" i="7" s="1"/>
  <c r="S392" s="1"/>
  <c r="V392" s="1"/>
  <c r="E396" i="5"/>
  <c r="N394" i="7" s="1"/>
  <c r="S394" s="1"/>
  <c r="V394" s="1"/>
  <c r="E398" i="5"/>
  <c r="N396" i="7" s="1"/>
  <c r="S396" s="1"/>
  <c r="V396" s="1"/>
  <c r="E400" i="5"/>
  <c r="N398" i="7" s="1"/>
  <c r="E402" i="5"/>
  <c r="N400" i="7" s="1"/>
  <c r="E404" i="5"/>
  <c r="N402" i="7" s="1"/>
  <c r="S402" s="1"/>
  <c r="V402" s="1"/>
  <c r="E406" i="5"/>
  <c r="N404" i="7" s="1"/>
  <c r="S404" s="1"/>
  <c r="V404" s="1"/>
  <c r="E408" i="5"/>
  <c r="N406" i="7" s="1"/>
  <c r="S406" s="1"/>
  <c r="V406" s="1"/>
  <c r="E412" i="5"/>
  <c r="N410" i="7" s="1"/>
  <c r="R410" s="1"/>
  <c r="E414" i="5"/>
  <c r="N412" i="7" s="1"/>
  <c r="R412" s="1"/>
  <c r="E416" i="5"/>
  <c r="N414" i="7" s="1"/>
  <c r="Y420" i="5"/>
  <c r="Y424"/>
  <c r="Y431"/>
  <c r="Y439"/>
  <c r="Y443"/>
  <c r="Y447"/>
  <c r="Y451"/>
  <c r="Y455"/>
  <c r="Z456"/>
  <c r="Y458"/>
  <c r="Z458" s="1"/>
  <c r="Y462"/>
  <c r="Y466"/>
  <c r="Z466" s="1"/>
  <c r="Y474"/>
  <c r="Y479"/>
  <c r="Z480"/>
  <c r="Z518"/>
  <c r="Z520"/>
  <c r="Z521"/>
  <c r="Z524"/>
  <c r="Z525"/>
  <c r="Z528"/>
  <c r="Z529"/>
  <c r="Z531"/>
  <c r="Z534"/>
  <c r="Z538"/>
  <c r="Z539"/>
  <c r="Z542"/>
  <c r="Z543"/>
  <c r="Z545"/>
  <c r="Z548"/>
  <c r="Z552"/>
  <c r="Z553"/>
  <c r="Z558"/>
  <c r="Z559"/>
  <c r="Z562"/>
  <c r="Z563"/>
  <c r="Z566"/>
  <c r="Z569"/>
  <c r="Z571"/>
  <c r="Z578"/>
  <c r="Z581"/>
  <c r="Z585"/>
  <c r="Z591"/>
  <c r="Z595"/>
  <c r="Z596"/>
  <c r="Z599"/>
  <c r="Z601"/>
  <c r="Z602"/>
  <c r="Z604"/>
  <c r="Z610"/>
  <c r="Z615"/>
  <c r="Z619"/>
  <c r="Z621"/>
  <c r="Z624"/>
  <c r="Z625"/>
  <c r="Z630"/>
  <c r="Z631"/>
  <c r="Z635"/>
  <c r="Z637"/>
  <c r="Z640"/>
  <c r="Z648"/>
  <c r="Z652"/>
  <c r="Z656"/>
  <c r="Z660"/>
  <c r="Z664"/>
  <c r="Z665"/>
  <c r="Z667"/>
  <c r="Z671"/>
  <c r="Z673"/>
  <c r="Z677"/>
  <c r="Z682"/>
  <c r="Z683"/>
  <c r="Z686"/>
  <c r="Z687"/>
  <c r="Z691"/>
  <c r="Z693"/>
  <c r="Z696"/>
  <c r="Z697"/>
  <c r="Z700"/>
  <c r="Z701"/>
  <c r="Z708"/>
  <c r="Z709"/>
  <c r="Z712"/>
  <c r="Z713"/>
  <c r="Z716"/>
  <c r="Z717"/>
  <c r="E614"/>
  <c r="N612" i="7" s="1"/>
  <c r="N613" i="5"/>
  <c r="N612" s="1"/>
  <c r="N361" s="1"/>
  <c r="Y418"/>
  <c r="Z418" s="1"/>
  <c r="Z420"/>
  <c r="Y422"/>
  <c r="Z422" s="1"/>
  <c r="Z424"/>
  <c r="Y426"/>
  <c r="Z426" s="1"/>
  <c r="Y429"/>
  <c r="Z429" s="1"/>
  <c r="Z431"/>
  <c r="Y433"/>
  <c r="Z433" s="1"/>
  <c r="Y437"/>
  <c r="Z437" s="1"/>
  <c r="Z439"/>
  <c r="Y441"/>
  <c r="Z441" s="1"/>
  <c r="Z443"/>
  <c r="Y445"/>
  <c r="Z445" s="1"/>
  <c r="Z447"/>
  <c r="Y449"/>
  <c r="Z449" s="1"/>
  <c r="Z451"/>
  <c r="Y453"/>
  <c r="Z453" s="1"/>
  <c r="Z455"/>
  <c r="Y460"/>
  <c r="Z460" s="1"/>
  <c r="Z462"/>
  <c r="Y464"/>
  <c r="Z464" s="1"/>
  <c r="Y468"/>
  <c r="Z468" s="1"/>
  <c r="Y470"/>
  <c r="Z470" s="1"/>
  <c r="Z474"/>
  <c r="Y476"/>
  <c r="Z476" s="1"/>
  <c r="Z479"/>
  <c r="E511"/>
  <c r="F516"/>
  <c r="L516"/>
  <c r="Y516" s="1"/>
  <c r="Z516" s="1"/>
  <c r="E517"/>
  <c r="N515" i="7" s="1"/>
  <c r="S515" s="1"/>
  <c r="V515" s="1"/>
  <c r="E521" i="5"/>
  <c r="N519" i="7" s="1"/>
  <c r="R519" s="1"/>
  <c r="E523" i="5"/>
  <c r="N521" i="7" s="1"/>
  <c r="R521" s="1"/>
  <c r="E525" i="5"/>
  <c r="N523" i="7" s="1"/>
  <c r="R523" s="1"/>
  <c r="E527" i="5"/>
  <c r="N525" i="7" s="1"/>
  <c r="R525" s="1"/>
  <c r="E529" i="5"/>
  <c r="N527" i="7" s="1"/>
  <c r="R527" s="1"/>
  <c r="E533" i="5"/>
  <c r="L536"/>
  <c r="Y536" s="1"/>
  <c r="Z536" s="1"/>
  <c r="E537"/>
  <c r="N535" i="7" s="1"/>
  <c r="E539" i="5"/>
  <c r="N537" i="7" s="1"/>
  <c r="S537" s="1"/>
  <c r="V537" s="1"/>
  <c r="E541" i="5"/>
  <c r="N539" i="7" s="1"/>
  <c r="S539" s="1"/>
  <c r="V539" s="1"/>
  <c r="E543" i="5"/>
  <c r="N541" i="7" s="1"/>
  <c r="S541" s="1"/>
  <c r="V541" s="1"/>
  <c r="E547" i="5"/>
  <c r="L550"/>
  <c r="Y550" s="1"/>
  <c r="Z550" s="1"/>
  <c r="E551"/>
  <c r="E553"/>
  <c r="N551" i="7" s="1"/>
  <c r="S551" s="1"/>
  <c r="V551" s="1"/>
  <c r="F556" i="5"/>
  <c r="L556"/>
  <c r="Y556" s="1"/>
  <c r="Z556" s="1"/>
  <c r="E557"/>
  <c r="N555" i="7" s="1"/>
  <c r="E559" i="5"/>
  <c r="N557" i="7" s="1"/>
  <c r="E561" i="5"/>
  <c r="N559" i="7" s="1"/>
  <c r="E563" i="5"/>
  <c r="N561" i="7" s="1"/>
  <c r="E565" i="5"/>
  <c r="N563" i="7" s="1"/>
  <c r="E569" i="5"/>
  <c r="N567" i="7" s="1"/>
  <c r="R567" s="1"/>
  <c r="F573" i="5"/>
  <c r="L577"/>
  <c r="Y577" s="1"/>
  <c r="Z577" s="1"/>
  <c r="E578"/>
  <c r="F581"/>
  <c r="L587"/>
  <c r="Y587" s="1"/>
  <c r="Z587" s="1"/>
  <c r="E588"/>
  <c r="F593"/>
  <c r="H593"/>
  <c r="L593"/>
  <c r="Y593" s="1"/>
  <c r="Z593" s="1"/>
  <c r="E594"/>
  <c r="N592" i="7" s="1"/>
  <c r="R592" s="1"/>
  <c r="E596" i="5"/>
  <c r="N594" i="7" s="1"/>
  <c r="R594" s="1"/>
  <c r="E598" i="5"/>
  <c r="N596" i="7" s="1"/>
  <c r="R596" s="1"/>
  <c r="E602" i="5"/>
  <c r="N600" i="7" s="1"/>
  <c r="R600" s="1"/>
  <c r="L606" i="5"/>
  <c r="Y606" s="1"/>
  <c r="Z606" s="1"/>
  <c r="E607"/>
  <c r="L612"/>
  <c r="Y612" s="1"/>
  <c r="Z612" s="1"/>
  <c r="E613"/>
  <c r="E615"/>
  <c r="N613" i="7" s="1"/>
  <c r="L618" i="5"/>
  <c r="Y618" s="1"/>
  <c r="Z618" s="1"/>
  <c r="E619"/>
  <c r="E623"/>
  <c r="E625"/>
  <c r="N623" i="7" s="1"/>
  <c r="S623" s="1"/>
  <c r="V623" s="1"/>
  <c r="E627" i="5"/>
  <c r="N625" i="7" s="1"/>
  <c r="S625" s="1"/>
  <c r="V625" s="1"/>
  <c r="E631" i="5"/>
  <c r="L634"/>
  <c r="Y634" s="1"/>
  <c r="Z634" s="1"/>
  <c r="E635"/>
  <c r="F640"/>
  <c r="L650"/>
  <c r="Y650" s="1"/>
  <c r="Z650" s="1"/>
  <c r="E651"/>
  <c r="L654"/>
  <c r="Y654" s="1"/>
  <c r="Z654" s="1"/>
  <c r="E655"/>
  <c r="L658"/>
  <c r="Y658" s="1"/>
  <c r="Z658" s="1"/>
  <c r="E659"/>
  <c r="L662"/>
  <c r="Y662" s="1"/>
  <c r="Z662" s="1"/>
  <c r="E663"/>
  <c r="E665"/>
  <c r="N663" i="7" s="1"/>
  <c r="R663" s="1"/>
  <c r="L670" i="5"/>
  <c r="Y670" s="1"/>
  <c r="Z670" s="1"/>
  <c r="E671"/>
  <c r="L676"/>
  <c r="Y676" s="1"/>
  <c r="Z676" s="1"/>
  <c r="E677"/>
  <c r="N675" i="7" s="1"/>
  <c r="R675" s="1"/>
  <c r="E679" i="5"/>
  <c r="N677" i="7" s="1"/>
  <c r="R677" s="1"/>
  <c r="E683" i="5"/>
  <c r="E685"/>
  <c r="N683" i="7" s="1"/>
  <c r="R683" s="1"/>
  <c r="E687" i="5"/>
  <c r="N685" i="7" s="1"/>
  <c r="R685" s="1"/>
  <c r="L690" i="5"/>
  <c r="Y690" s="1"/>
  <c r="Z690" s="1"/>
  <c r="E691"/>
  <c r="E695"/>
  <c r="E697"/>
  <c r="N695" i="7" s="1"/>
  <c r="R695" s="1"/>
  <c r="E699" i="5"/>
  <c r="N697" i="7" s="1"/>
  <c r="R697" s="1"/>
  <c r="E701" i="5"/>
  <c r="N699" i="7" s="1"/>
  <c r="R699" s="1"/>
  <c r="E703" i="5"/>
  <c r="N701" i="7" s="1"/>
  <c r="R701" s="1"/>
  <c r="E709" i="5"/>
  <c r="N707" i="7" s="1"/>
  <c r="R707" s="1"/>
  <c r="E711" i="5"/>
  <c r="N709" i="7" s="1"/>
  <c r="R709" s="1"/>
  <c r="E713" i="5"/>
  <c r="N711" i="7" s="1"/>
  <c r="R711" s="1"/>
  <c r="E715" i="5"/>
  <c r="N713" i="7" s="1"/>
  <c r="R713" s="1"/>
  <c r="E717" i="5"/>
  <c r="N715" i="7" s="1"/>
  <c r="R715" s="1"/>
  <c r="E719" i="5"/>
  <c r="N717" i="7" s="1"/>
  <c r="R717" s="1"/>
  <c r="Y723" i="5"/>
  <c r="Z723" s="1"/>
  <c r="Y727"/>
  <c r="Z727" s="1"/>
  <c r="Y731"/>
  <c r="Z731" s="1"/>
  <c r="Y735"/>
  <c r="Y739"/>
  <c r="Z739" s="1"/>
  <c r="Y743"/>
  <c r="Z743" s="1"/>
  <c r="Y747"/>
  <c r="Z747" s="1"/>
  <c r="Y751"/>
  <c r="Y755"/>
  <c r="Z755" s="1"/>
  <c r="Y759"/>
  <c r="Z759" s="1"/>
  <c r="Y763"/>
  <c r="Z763" s="1"/>
  <c r="Y767"/>
  <c r="Y771"/>
  <c r="Z771" s="1"/>
  <c r="Y775"/>
  <c r="Z775" s="1"/>
  <c r="Z778"/>
  <c r="Z779"/>
  <c r="Z782"/>
  <c r="Z783"/>
  <c r="Z786"/>
  <c r="Z787"/>
  <c r="Z790"/>
  <c r="Z791"/>
  <c r="Z794"/>
  <c r="Z795"/>
  <c r="Z798"/>
  <c r="Z799"/>
  <c r="Z802"/>
  <c r="Z803"/>
  <c r="Z806"/>
  <c r="Z807"/>
  <c r="Z810"/>
  <c r="Z811"/>
  <c r="Z814"/>
  <c r="Z815"/>
  <c r="Z818"/>
  <c r="Z819"/>
  <c r="Z822"/>
  <c r="Z823"/>
  <c r="Z826"/>
  <c r="Z827"/>
  <c r="Z830"/>
  <c r="Z832"/>
  <c r="Z842"/>
  <c r="Z843"/>
  <c r="Y721"/>
  <c r="Z721" s="1"/>
  <c r="Y725"/>
  <c r="Z725" s="1"/>
  <c r="Y729"/>
  <c r="Z729" s="1"/>
  <c r="Y733"/>
  <c r="Z733" s="1"/>
  <c r="Z735"/>
  <c r="Y737"/>
  <c r="Z737" s="1"/>
  <c r="Y741"/>
  <c r="Z741" s="1"/>
  <c r="Y745"/>
  <c r="Z745" s="1"/>
  <c r="Y749"/>
  <c r="Z749" s="1"/>
  <c r="Z751"/>
  <c r="Y753"/>
  <c r="Z753" s="1"/>
  <c r="Y757"/>
  <c r="Z757" s="1"/>
  <c r="Y761"/>
  <c r="Z761" s="1"/>
  <c r="Y765"/>
  <c r="Z765" s="1"/>
  <c r="Z767"/>
  <c r="Y769"/>
  <c r="Z769" s="1"/>
  <c r="Y773"/>
  <c r="Z773" s="1"/>
  <c r="Y777"/>
  <c r="Z777" s="1"/>
  <c r="E857"/>
  <c r="N855" i="7" s="1"/>
  <c r="Y857" i="5"/>
  <c r="E779"/>
  <c r="N777" i="7" s="1"/>
  <c r="S777" s="1"/>
  <c r="V777" s="1"/>
  <c r="E781" i="5"/>
  <c r="N779" i="7" s="1"/>
  <c r="S779" s="1"/>
  <c r="V779" s="1"/>
  <c r="E783" i="5"/>
  <c r="N781" i="7" s="1"/>
  <c r="S781" s="1"/>
  <c r="V781" s="1"/>
  <c r="E785" i="5"/>
  <c r="N783" i="7" s="1"/>
  <c r="S783" s="1"/>
  <c r="V783" s="1"/>
  <c r="E787" i="5"/>
  <c r="N785" i="7" s="1"/>
  <c r="S785" s="1"/>
  <c r="V785" s="1"/>
  <c r="E789" i="5"/>
  <c r="N787" i="7" s="1"/>
  <c r="S787" s="1"/>
  <c r="V787" s="1"/>
  <c r="E791" i="5"/>
  <c r="N789" i="7" s="1"/>
  <c r="S789" s="1"/>
  <c r="V789" s="1"/>
  <c r="E793" i="5"/>
  <c r="N791" i="7" s="1"/>
  <c r="S791" s="1"/>
  <c r="V791" s="1"/>
  <c r="E795" i="5"/>
  <c r="N793" i="7" s="1"/>
  <c r="S793" s="1"/>
  <c r="V793" s="1"/>
  <c r="E797" i="5"/>
  <c r="N795" i="7" s="1"/>
  <c r="R795" s="1"/>
  <c r="E799" i="5"/>
  <c r="N797" i="7" s="1"/>
  <c r="R797" s="1"/>
  <c r="E801" i="5"/>
  <c r="N799" i="7" s="1"/>
  <c r="R799" s="1"/>
  <c r="E803" i="5"/>
  <c r="N801" i="7" s="1"/>
  <c r="R801" s="1"/>
  <c r="E805" i="5"/>
  <c r="N803" i="7" s="1"/>
  <c r="R803" s="1"/>
  <c r="E807" i="5"/>
  <c r="N805" i="7" s="1"/>
  <c r="R805" s="1"/>
  <c r="E809" i="5"/>
  <c r="N807" i="7" s="1"/>
  <c r="R807" s="1"/>
  <c r="E811" i="5"/>
  <c r="N809" i="7" s="1"/>
  <c r="R809" s="1"/>
  <c r="E813" i="5"/>
  <c r="N811" i="7" s="1"/>
  <c r="R811" s="1"/>
  <c r="E815" i="5"/>
  <c r="N813" i="7" s="1"/>
  <c r="R813" s="1"/>
  <c r="E817" i="5"/>
  <c r="N815" i="7" s="1"/>
  <c r="E819" i="5"/>
  <c r="N817" i="7" s="1"/>
  <c r="E821" i="5"/>
  <c r="N819" i="7" s="1"/>
  <c r="E823" i="5"/>
  <c r="N821" i="7" s="1"/>
  <c r="E825" i="5"/>
  <c r="N823" i="7" s="1"/>
  <c r="E827" i="5"/>
  <c r="N825" i="7" s="1"/>
  <c r="E829" i="5"/>
  <c r="N827" i="7" s="1"/>
  <c r="E832" i="5"/>
  <c r="N830" i="7" s="1"/>
  <c r="R830" s="1"/>
  <c r="E843" i="5"/>
  <c r="Y845"/>
  <c r="Z845" s="1"/>
  <c r="Z849"/>
  <c r="Y853"/>
  <c r="Z858"/>
  <c r="Z862"/>
  <c r="E864"/>
  <c r="Z866"/>
  <c r="Z869"/>
  <c r="Z872"/>
  <c r="Z884"/>
  <c r="Z888"/>
  <c r="Z892"/>
  <c r="E898"/>
  <c r="Z899"/>
  <c r="Z906"/>
  <c r="Z914"/>
  <c r="Z920"/>
  <c r="E922"/>
  <c r="Z924"/>
  <c r="Z927"/>
  <c r="Z931"/>
  <c r="Z937"/>
  <c r="E942"/>
  <c r="Z943"/>
  <c r="Z947"/>
  <c r="Z950"/>
  <c r="Z957"/>
  <c r="Z968"/>
  <c r="Z980"/>
  <c r="Z981"/>
  <c r="Z982"/>
  <c r="Z988"/>
  <c r="Z989"/>
  <c r="Z996"/>
  <c r="Z998"/>
  <c r="Z1004"/>
  <c r="Z1005"/>
  <c r="Z1007"/>
  <c r="Z1012"/>
  <c r="Z1013"/>
  <c r="Z1016"/>
  <c r="Z1020"/>
  <c r="Z1021"/>
  <c r="Z1024"/>
  <c r="Z1026"/>
  <c r="Z1027"/>
  <c r="Z1030"/>
  <c r="Z1031"/>
  <c r="Z1034"/>
  <c r="Z1036"/>
  <c r="Z1037"/>
  <c r="E851"/>
  <c r="L850"/>
  <c r="Y847"/>
  <c r="Z847" s="1"/>
  <c r="Y851"/>
  <c r="Z851" s="1"/>
  <c r="Z853"/>
  <c r="Y855"/>
  <c r="Z855" s="1"/>
  <c r="Z857"/>
  <c r="Y859"/>
  <c r="Z859" s="1"/>
  <c r="Y861"/>
  <c r="Z861" s="1"/>
  <c r="Y865"/>
  <c r="Z865" s="1"/>
  <c r="Y867"/>
  <c r="Z867" s="1"/>
  <c r="Y871"/>
  <c r="Z871" s="1"/>
  <c r="Y873"/>
  <c r="Z873" s="1"/>
  <c r="Y877"/>
  <c r="Z877" s="1"/>
  <c r="Y881"/>
  <c r="Z881" s="1"/>
  <c r="Y883"/>
  <c r="Z883" s="1"/>
  <c r="Y885"/>
  <c r="Z885" s="1"/>
  <c r="Y887"/>
  <c r="Z887" s="1"/>
  <c r="Y889"/>
  <c r="Z889" s="1"/>
  <c r="Y891"/>
  <c r="Z891" s="1"/>
  <c r="Y896"/>
  <c r="Z896" s="1"/>
  <c r="Y900"/>
  <c r="Z900" s="1"/>
  <c r="Y913"/>
  <c r="Z913" s="1"/>
  <c r="Y917"/>
  <c r="Z917" s="1"/>
  <c r="Y923"/>
  <c r="Z923" s="1"/>
  <c r="Y925"/>
  <c r="Z925" s="1"/>
  <c r="Y928"/>
  <c r="Z928" s="1"/>
  <c r="Y930"/>
  <c r="Z930" s="1"/>
  <c r="Y934"/>
  <c r="Z934" s="1"/>
  <c r="Y940"/>
  <c r="Z940" s="1"/>
  <c r="Y944"/>
  <c r="Z944" s="1"/>
  <c r="Y946"/>
  <c r="Z946" s="1"/>
  <c r="Y948"/>
  <c r="Z948" s="1"/>
  <c r="Y954"/>
  <c r="Z954" s="1"/>
  <c r="Y956"/>
  <c r="Z956" s="1"/>
  <c r="Y958"/>
  <c r="Z958" s="1"/>
  <c r="Y962"/>
  <c r="Z962" s="1"/>
  <c r="Y966"/>
  <c r="Z966" s="1"/>
  <c r="Y970"/>
  <c r="Z970" s="1"/>
  <c r="E1002"/>
  <c r="E1009"/>
  <c r="E1013"/>
  <c r="E1015"/>
  <c r="N1013" i="7" s="1"/>
  <c r="R1013" s="1"/>
  <c r="L1018" i="5"/>
  <c r="Y1018" s="1"/>
  <c r="Z1018" s="1"/>
  <c r="E1019"/>
  <c r="N1017" i="7" s="1"/>
  <c r="R1017" s="1"/>
  <c r="E1021" i="5"/>
  <c r="N1019" i="7" s="1"/>
  <c r="R1019" s="1"/>
  <c r="E1027" i="5"/>
  <c r="N1025" i="7" s="1"/>
  <c r="E1029" i="5"/>
  <c r="N1027" i="7" s="1"/>
  <c r="E1031" i="5"/>
  <c r="N1029" i="7" s="1"/>
  <c r="E1033" i="5"/>
  <c r="N1031" i="7" s="1"/>
  <c r="E1037" i="5"/>
  <c r="L864"/>
  <c r="Y864" s="1"/>
  <c r="Z864" s="1"/>
  <c r="L876"/>
  <c r="Y876" s="1"/>
  <c r="Z876" s="1"/>
  <c r="L880"/>
  <c r="Y880" s="1"/>
  <c r="Z880" s="1"/>
  <c r="L895"/>
  <c r="Y895" s="1"/>
  <c r="Z895" s="1"/>
  <c r="F906"/>
  <c r="L912"/>
  <c r="Y912" s="1"/>
  <c r="Z912" s="1"/>
  <c r="L916"/>
  <c r="Y916" s="1"/>
  <c r="Z916" s="1"/>
  <c r="L922"/>
  <c r="Y922" s="1"/>
  <c r="Z922" s="1"/>
  <c r="L933"/>
  <c r="Y933" s="1"/>
  <c r="Z933" s="1"/>
  <c r="L939"/>
  <c r="Y939" s="1"/>
  <c r="Z939" s="1"/>
  <c r="L953"/>
  <c r="Y953" s="1"/>
  <c r="Z953" s="1"/>
  <c r="L961"/>
  <c r="Y961" s="1"/>
  <c r="Z961" s="1"/>
  <c r="L965"/>
  <c r="Y965" s="1"/>
  <c r="Z965" s="1"/>
  <c r="V408" i="7"/>
  <c r="V454"/>
  <c r="V517"/>
  <c r="V433"/>
  <c r="V471"/>
  <c r="R603"/>
  <c r="S362"/>
  <c r="V362" s="1"/>
  <c r="S363"/>
  <c r="V363" s="1"/>
  <c r="S364"/>
  <c r="V364" s="1"/>
  <c r="S365"/>
  <c r="V365" s="1"/>
  <c r="S366"/>
  <c r="V366" s="1"/>
  <c r="S367"/>
  <c r="V367" s="1"/>
  <c r="R368"/>
  <c r="R369"/>
  <c r="R370"/>
  <c r="R371"/>
  <c r="R376"/>
  <c r="R377"/>
  <c r="R378"/>
  <c r="R379"/>
  <c r="R380"/>
  <c r="R381"/>
  <c r="R382"/>
  <c r="R383"/>
  <c r="R384"/>
  <c r="R385"/>
  <c r="R386"/>
  <c r="R387"/>
  <c r="R389"/>
  <c r="R390"/>
  <c r="R391"/>
  <c r="R392"/>
  <c r="R393"/>
  <c r="R394"/>
  <c r="R395"/>
  <c r="R396"/>
  <c r="R402"/>
  <c r="R403"/>
  <c r="R404"/>
  <c r="S405"/>
  <c r="V405" s="1"/>
  <c r="R406"/>
  <c r="R407"/>
  <c r="S409"/>
  <c r="V409" s="1"/>
  <c r="S410"/>
  <c r="V410" s="1"/>
  <c r="S411"/>
  <c r="V411" s="1"/>
  <c r="S412"/>
  <c r="V412" s="1"/>
  <c r="S413"/>
  <c r="V413" s="1"/>
  <c r="R415"/>
  <c r="R416"/>
  <c r="R417"/>
  <c r="R418"/>
  <c r="R419"/>
  <c r="R420"/>
  <c r="R426"/>
  <c r="R427"/>
  <c r="R428"/>
  <c r="R429"/>
  <c r="R437"/>
  <c r="R438"/>
  <c r="S441"/>
  <c r="V441" s="1"/>
  <c r="R445"/>
  <c r="R446"/>
  <c r="R447"/>
  <c r="R448"/>
  <c r="R449"/>
  <c r="R450"/>
  <c r="R451"/>
  <c r="R452"/>
  <c r="R453"/>
  <c r="R454"/>
  <c r="S455"/>
  <c r="V455" s="1"/>
  <c r="S456"/>
  <c r="V456" s="1"/>
  <c r="S457"/>
  <c r="V457" s="1"/>
  <c r="S458"/>
  <c r="V458" s="1"/>
  <c r="S459"/>
  <c r="V459" s="1"/>
  <c r="S460"/>
  <c r="V460" s="1"/>
  <c r="S461"/>
  <c r="V461" s="1"/>
  <c r="S463"/>
  <c r="V463" s="1"/>
  <c r="S464"/>
  <c r="V464" s="1"/>
  <c r="R468"/>
  <c r="R469"/>
  <c r="R470"/>
  <c r="R472"/>
  <c r="R473"/>
  <c r="R474"/>
  <c r="R477"/>
  <c r="R478"/>
  <c r="R479"/>
  <c r="R481"/>
  <c r="R483"/>
  <c r="R484"/>
  <c r="R485"/>
  <c r="R486"/>
  <c r="R488"/>
  <c r="R489"/>
  <c r="R490"/>
  <c r="R492"/>
  <c r="R494"/>
  <c r="R496"/>
  <c r="R498"/>
  <c r="R500"/>
  <c r="R501"/>
  <c r="S510"/>
  <c r="V510" s="1"/>
  <c r="R515"/>
  <c r="R516"/>
  <c r="R517"/>
  <c r="S518"/>
  <c r="V518" s="1"/>
  <c r="S519"/>
  <c r="V519" s="1"/>
  <c r="S520"/>
  <c r="V520" s="1"/>
  <c r="S521"/>
  <c r="V521" s="1"/>
  <c r="S522"/>
  <c r="V522" s="1"/>
  <c r="S523"/>
  <c r="V523" s="1"/>
  <c r="S524"/>
  <c r="V524" s="1"/>
  <c r="S525"/>
  <c r="V525" s="1"/>
  <c r="S526"/>
  <c r="V526" s="1"/>
  <c r="S527"/>
  <c r="V527" s="1"/>
  <c r="N528"/>
  <c r="S528" s="1"/>
  <c r="V528" s="1"/>
  <c r="S530"/>
  <c r="V530" s="1"/>
  <c r="S535"/>
  <c r="V535" s="1"/>
  <c r="R536"/>
  <c r="R537"/>
  <c r="R538"/>
  <c r="R539"/>
  <c r="R540"/>
  <c r="R541"/>
  <c r="R544"/>
  <c r="R546"/>
  <c r="R550"/>
  <c r="R551"/>
  <c r="S566"/>
  <c r="V566" s="1"/>
  <c r="S567"/>
  <c r="V567" s="1"/>
  <c r="S568"/>
  <c r="V568" s="1"/>
  <c r="S569"/>
  <c r="V569" s="1"/>
  <c r="N570"/>
  <c r="S570" s="1"/>
  <c r="V570" s="1"/>
  <c r="S572"/>
  <c r="V572" s="1"/>
  <c r="S573"/>
  <c r="V573" s="1"/>
  <c r="N574"/>
  <c r="S574" s="1"/>
  <c r="V574" s="1"/>
  <c r="S577"/>
  <c r="V577" s="1"/>
  <c r="S580"/>
  <c r="V580" s="1"/>
  <c r="R583"/>
  <c r="R584" s="1"/>
  <c r="S589"/>
  <c r="V589" s="1"/>
  <c r="N590"/>
  <c r="S590" s="1"/>
  <c r="V590" s="1"/>
  <c r="S592"/>
  <c r="V592" s="1"/>
  <c r="S594"/>
  <c r="V594" s="1"/>
  <c r="S595"/>
  <c r="V595" s="1"/>
  <c r="S596"/>
  <c r="V596" s="1"/>
  <c r="S597"/>
  <c r="V597" s="1"/>
  <c r="S598"/>
  <c r="V598" s="1"/>
  <c r="S599"/>
  <c r="V599" s="1"/>
  <c r="S600"/>
  <c r="V600" s="1"/>
  <c r="S601"/>
  <c r="V601" s="1"/>
  <c r="S602"/>
  <c r="N603"/>
  <c r="S603" s="1"/>
  <c r="V603" s="1"/>
  <c r="S608"/>
  <c r="V608" s="1"/>
  <c r="N609"/>
  <c r="S609" s="1"/>
  <c r="V609" s="1"/>
  <c r="R614"/>
  <c r="R620"/>
  <c r="R622"/>
  <c r="R623"/>
  <c r="R624"/>
  <c r="R625"/>
  <c r="R628"/>
  <c r="R639"/>
  <c r="R640"/>
  <c r="R641"/>
  <c r="R642"/>
  <c r="R643"/>
  <c r="R646"/>
  <c r="R647" s="1"/>
  <c r="S650"/>
  <c r="R678"/>
  <c r="R362"/>
  <c r="S506"/>
  <c r="V506" s="1"/>
  <c r="S544"/>
  <c r="V544" s="1"/>
  <c r="R580"/>
  <c r="R581" s="1"/>
  <c r="S583"/>
  <c r="V583" s="1"/>
  <c r="S620"/>
  <c r="V620" s="1"/>
  <c r="S639"/>
  <c r="V639" s="1"/>
  <c r="S646"/>
  <c r="V646" s="1"/>
  <c r="R829"/>
  <c r="S829"/>
  <c r="S658"/>
  <c r="V658" s="1"/>
  <c r="S662"/>
  <c r="V662" s="1"/>
  <c r="S663"/>
  <c r="V663" s="1"/>
  <c r="S675"/>
  <c r="V675" s="1"/>
  <c r="S676"/>
  <c r="V676" s="1"/>
  <c r="S677"/>
  <c r="V677" s="1"/>
  <c r="N678"/>
  <c r="S678" s="1"/>
  <c r="V678" s="1"/>
  <c r="S680"/>
  <c r="V680" s="1"/>
  <c r="S682"/>
  <c r="V682" s="1"/>
  <c r="S683"/>
  <c r="V683" s="1"/>
  <c r="S684"/>
  <c r="V684" s="1"/>
  <c r="S685"/>
  <c r="V685" s="1"/>
  <c r="S686"/>
  <c r="V686" s="1"/>
  <c r="S692"/>
  <c r="V692" s="1"/>
  <c r="S694"/>
  <c r="V694" s="1"/>
  <c r="S695"/>
  <c r="V695" s="1"/>
  <c r="S696"/>
  <c r="V696" s="1"/>
  <c r="S697"/>
  <c r="V697" s="1"/>
  <c r="S698"/>
  <c r="V698" s="1"/>
  <c r="S699"/>
  <c r="V699" s="1"/>
  <c r="S700"/>
  <c r="V700" s="1"/>
  <c r="S701"/>
  <c r="S706"/>
  <c r="V706" s="1"/>
  <c r="S707"/>
  <c r="V707" s="1"/>
  <c r="S708"/>
  <c r="V708" s="1"/>
  <c r="S709"/>
  <c r="V709" s="1"/>
  <c r="S710"/>
  <c r="V710" s="1"/>
  <c r="S711"/>
  <c r="V711" s="1"/>
  <c r="S712"/>
  <c r="V712" s="1"/>
  <c r="S713"/>
  <c r="V713" s="1"/>
  <c r="S714"/>
  <c r="V714" s="1"/>
  <c r="S715"/>
  <c r="V715" s="1"/>
  <c r="S716"/>
  <c r="V716" s="1"/>
  <c r="S717"/>
  <c r="V717" s="1"/>
  <c r="S718"/>
  <c r="V718" s="1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S795"/>
  <c r="V795" s="1"/>
  <c r="S796"/>
  <c r="V796" s="1"/>
  <c r="S797"/>
  <c r="V797" s="1"/>
  <c r="S798"/>
  <c r="V798" s="1"/>
  <c r="S799"/>
  <c r="V799" s="1"/>
  <c r="S800"/>
  <c r="V800" s="1"/>
  <c r="S801"/>
  <c r="V801" s="1"/>
  <c r="S802"/>
  <c r="V802" s="1"/>
  <c r="S803"/>
  <c r="V803" s="1"/>
  <c r="S804"/>
  <c r="V804" s="1"/>
  <c r="S805"/>
  <c r="V805" s="1"/>
  <c r="S806"/>
  <c r="V806" s="1"/>
  <c r="S807"/>
  <c r="V807" s="1"/>
  <c r="S808"/>
  <c r="V808" s="1"/>
  <c r="S809"/>
  <c r="V809" s="1"/>
  <c r="S810"/>
  <c r="V810" s="1"/>
  <c r="S811"/>
  <c r="V811" s="1"/>
  <c r="S812"/>
  <c r="V812" s="1"/>
  <c r="S813"/>
  <c r="V813" s="1"/>
  <c r="S814"/>
  <c r="V814" s="1"/>
  <c r="R826"/>
  <c r="R913"/>
  <c r="R930"/>
  <c r="R947"/>
  <c r="R969"/>
  <c r="R974"/>
  <c r="R692"/>
  <c r="R706"/>
  <c r="S830"/>
  <c r="S834"/>
  <c r="S836"/>
  <c r="S863"/>
  <c r="V863" s="1"/>
  <c r="S864"/>
  <c r="V864" s="1"/>
  <c r="S865"/>
  <c r="R872"/>
  <c r="S902"/>
  <c r="V902" s="1"/>
  <c r="N903"/>
  <c r="S905"/>
  <c r="V905" s="1"/>
  <c r="S907"/>
  <c r="V907" s="1"/>
  <c r="N909"/>
  <c r="S909" s="1"/>
  <c r="V909" s="1"/>
  <c r="S911"/>
  <c r="V911" s="1"/>
  <c r="S912"/>
  <c r="V912" s="1"/>
  <c r="N913"/>
  <c r="S913" s="1"/>
  <c r="V913" s="1"/>
  <c r="S915"/>
  <c r="V915" s="1"/>
  <c r="N916"/>
  <c r="S916" s="1"/>
  <c r="V916" s="1"/>
  <c r="S921"/>
  <c r="V921" s="1"/>
  <c r="S922"/>
  <c r="V922" s="1"/>
  <c r="S923"/>
  <c r="V923" s="1"/>
  <c r="S924"/>
  <c r="V924" s="1"/>
  <c r="S925"/>
  <c r="V925" s="1"/>
  <c r="S926"/>
  <c r="V926" s="1"/>
  <c r="S927"/>
  <c r="V927" s="1"/>
  <c r="S928"/>
  <c r="V928" s="1"/>
  <c r="S929"/>
  <c r="V929" s="1"/>
  <c r="N930"/>
  <c r="S930" s="1"/>
  <c r="V930" s="1"/>
  <c r="S932"/>
  <c r="V932" s="1"/>
  <c r="N933"/>
  <c r="S933" s="1"/>
  <c r="V933" s="1"/>
  <c r="S938"/>
  <c r="V938" s="1"/>
  <c r="N939"/>
  <c r="S939" s="1"/>
  <c r="V939" s="1"/>
  <c r="S941"/>
  <c r="V941" s="1"/>
  <c r="S942"/>
  <c r="V942" s="1"/>
  <c r="S943"/>
  <c r="V943" s="1"/>
  <c r="S944"/>
  <c r="V944" s="1"/>
  <c r="S945"/>
  <c r="V945" s="1"/>
  <c r="S946"/>
  <c r="V946" s="1"/>
  <c r="N947"/>
  <c r="S947" s="1"/>
  <c r="V947" s="1"/>
  <c r="S949"/>
  <c r="V949" s="1"/>
  <c r="N950"/>
  <c r="S950" s="1"/>
  <c r="V950" s="1"/>
  <c r="S952"/>
  <c r="V952" s="1"/>
  <c r="S953"/>
  <c r="V953" s="1"/>
  <c r="S954"/>
  <c r="V954" s="1"/>
  <c r="S955"/>
  <c r="V955" s="1"/>
  <c r="S956"/>
  <c r="V956" s="1"/>
  <c r="S957"/>
  <c r="V957" s="1"/>
  <c r="N958"/>
  <c r="S958" s="1"/>
  <c r="V958" s="1"/>
  <c r="S960"/>
  <c r="V960" s="1"/>
  <c r="S961"/>
  <c r="V961" s="1"/>
  <c r="N962"/>
  <c r="S962" s="1"/>
  <c r="V962" s="1"/>
  <c r="S964"/>
  <c r="V964" s="1"/>
  <c r="N965"/>
  <c r="S965" s="1"/>
  <c r="V965" s="1"/>
  <c r="S967"/>
  <c r="V967" s="1"/>
  <c r="S968"/>
  <c r="V968" s="1"/>
  <c r="N969"/>
  <c r="S969" s="1"/>
  <c r="V969" s="1"/>
  <c r="S971"/>
  <c r="V971" s="1"/>
  <c r="S972"/>
  <c r="V972" s="1"/>
  <c r="S973"/>
  <c r="V973" s="1"/>
  <c r="N974"/>
  <c r="S974" s="1"/>
  <c r="V974" s="1"/>
  <c r="S976"/>
  <c r="V976" s="1"/>
  <c r="N977"/>
  <c r="S977" s="1"/>
  <c r="V977" s="1"/>
  <c r="S979"/>
  <c r="S980"/>
  <c r="V980" s="1"/>
  <c r="N981"/>
  <c r="S981" s="1"/>
  <c r="V981" s="1"/>
  <c r="S1006"/>
  <c r="V1006" s="1"/>
  <c r="S1010"/>
  <c r="V1010" s="1"/>
  <c r="S1012"/>
  <c r="V1012" s="1"/>
  <c r="S1013"/>
  <c r="V1013" s="1"/>
  <c r="S1014"/>
  <c r="V1014" s="1"/>
  <c r="S1017"/>
  <c r="V1017" s="1"/>
  <c r="S1018"/>
  <c r="V1018" s="1"/>
  <c r="S1019"/>
  <c r="V1019" s="1"/>
  <c r="N1020"/>
  <c r="S1020" s="1"/>
  <c r="V1020" s="1"/>
  <c r="S1025"/>
  <c r="V1025" s="1"/>
  <c r="S840"/>
  <c r="V840" s="1"/>
  <c r="R863"/>
  <c r="S868"/>
  <c r="V868" s="1"/>
  <c r="S875"/>
  <c r="V875" s="1"/>
  <c r="S879"/>
  <c r="V879" s="1"/>
  <c r="S894"/>
  <c r="V894" s="1"/>
  <c r="S897"/>
  <c r="V897" s="1"/>
  <c r="R130"/>
  <c r="X204" i="10"/>
  <c r="BI17"/>
  <c r="BI691"/>
  <c r="BI690"/>
  <c r="BA18"/>
  <c r="BY18" s="1"/>
  <c r="BA19"/>
  <c r="BY19" s="1"/>
  <c r="BA20"/>
  <c r="BY20" s="1"/>
  <c r="BA21"/>
  <c r="BY21" s="1"/>
  <c r="BA22"/>
  <c r="BY22" s="1"/>
  <c r="BA23"/>
  <c r="BY23" s="1"/>
  <c r="BA24"/>
  <c r="BY24" s="1"/>
  <c r="BA25"/>
  <c r="BY25" s="1"/>
  <c r="BA26"/>
  <c r="BY26" s="1"/>
  <c r="BA27"/>
  <c r="BY27" s="1"/>
  <c r="BA28"/>
  <c r="BY28" s="1"/>
  <c r="BA29"/>
  <c r="BY29" s="1"/>
  <c r="BA30"/>
  <c r="BY30" s="1"/>
  <c r="BA31"/>
  <c r="BY31" s="1"/>
  <c r="BA32"/>
  <c r="BY32" s="1"/>
  <c r="BA33"/>
  <c r="BY33" s="1"/>
  <c r="BA34"/>
  <c r="BY34" s="1"/>
  <c r="BA35"/>
  <c r="BY35" s="1"/>
  <c r="BA36"/>
  <c r="BY36" s="1"/>
  <c r="BA37"/>
  <c r="BY37" s="1"/>
  <c r="BA38"/>
  <c r="BY38" s="1"/>
  <c r="BA39"/>
  <c r="BY39" s="1"/>
  <c r="BA40"/>
  <c r="BY40" s="1"/>
  <c r="BA41"/>
  <c r="BY41" s="1"/>
  <c r="BA42"/>
  <c r="BY42" s="1"/>
  <c r="BA43"/>
  <c r="BY43" s="1"/>
  <c r="BA44"/>
  <c r="BY44" s="1"/>
  <c r="BA45"/>
  <c r="BY45" s="1"/>
  <c r="BA46"/>
  <c r="BY46" s="1"/>
  <c r="BA47"/>
  <c r="BY47" s="1"/>
  <c r="BA48"/>
  <c r="BY48" s="1"/>
  <c r="BA49"/>
  <c r="BY49" s="1"/>
  <c r="BA50"/>
  <c r="BY50" s="1"/>
  <c r="BA51"/>
  <c r="BY51" s="1"/>
  <c r="BA52"/>
  <c r="BY52" s="1"/>
  <c r="BA53"/>
  <c r="BY53" s="1"/>
  <c r="BA54"/>
  <c r="BY54" s="1"/>
  <c r="BA55"/>
  <c r="BY55" s="1"/>
  <c r="BA56"/>
  <c r="BY56" s="1"/>
  <c r="BA57"/>
  <c r="BY57" s="1"/>
  <c r="BA58"/>
  <c r="BY58" s="1"/>
  <c r="BA59"/>
  <c r="BY59" s="1"/>
  <c r="BA60"/>
  <c r="BY60" s="1"/>
  <c r="BA61"/>
  <c r="BY61" s="1"/>
  <c r="BA62"/>
  <c r="BY62" s="1"/>
  <c r="BA64"/>
  <c r="BY64" s="1"/>
  <c r="BA65"/>
  <c r="BY65" s="1"/>
  <c r="BA66"/>
  <c r="BY66" s="1"/>
  <c r="BA67"/>
  <c r="BY67" s="1"/>
  <c r="BA68"/>
  <c r="BY68" s="1"/>
  <c r="BA69"/>
  <c r="BY69" s="1"/>
  <c r="BA70"/>
  <c r="BY70" s="1"/>
  <c r="BA71"/>
  <c r="BY71" s="1"/>
  <c r="BA72"/>
  <c r="BY72" s="1"/>
  <c r="BA73"/>
  <c r="BY73" s="1"/>
  <c r="BA74"/>
  <c r="BY74" s="1"/>
  <c r="BA75"/>
  <c r="BY75" s="1"/>
  <c r="BA76"/>
  <c r="BY76" s="1"/>
  <c r="BA77"/>
  <c r="BY77" s="1"/>
  <c r="BA78"/>
  <c r="BY78" s="1"/>
  <c r="BA79"/>
  <c r="BY79" s="1"/>
  <c r="BA80"/>
  <c r="BY80" s="1"/>
  <c r="BA82"/>
  <c r="BY82" s="1"/>
  <c r="BA83"/>
  <c r="BY83" s="1"/>
  <c r="BA84"/>
  <c r="BY84" s="1"/>
  <c r="BA85"/>
  <c r="BY85" s="1"/>
  <c r="BA86"/>
  <c r="BY86" s="1"/>
  <c r="BA87"/>
  <c r="BY87" s="1"/>
  <c r="BA88"/>
  <c r="BY88" s="1"/>
  <c r="BA89"/>
  <c r="BY89" s="1"/>
  <c r="BA90"/>
  <c r="BY90" s="1"/>
  <c r="BA91"/>
  <c r="BY91" s="1"/>
  <c r="BA92"/>
  <c r="BY92" s="1"/>
  <c r="BA93"/>
  <c r="BY93" s="1"/>
  <c r="BA94"/>
  <c r="BY94" s="1"/>
  <c r="BA95"/>
  <c r="BY95" s="1"/>
  <c r="BA96"/>
  <c r="BY96" s="1"/>
  <c r="BA97"/>
  <c r="BY97" s="1"/>
  <c r="BA98"/>
  <c r="BY98" s="1"/>
  <c r="BA99"/>
  <c r="BY99" s="1"/>
  <c r="BA100"/>
  <c r="BY100" s="1"/>
  <c r="BA101"/>
  <c r="BY101" s="1"/>
  <c r="BA102"/>
  <c r="BY102" s="1"/>
  <c r="BA103"/>
  <c r="BY103" s="1"/>
  <c r="BA104"/>
  <c r="BY104" s="1"/>
  <c r="BA105"/>
  <c r="BY105" s="1"/>
  <c r="BA106"/>
  <c r="BY106" s="1"/>
  <c r="BA107"/>
  <c r="BY107" s="1"/>
  <c r="BA108"/>
  <c r="BY108" s="1"/>
  <c r="BA110"/>
  <c r="BY110" s="1"/>
  <c r="BA111"/>
  <c r="BY111" s="1"/>
  <c r="BA112"/>
  <c r="BY112" s="1"/>
  <c r="BA113"/>
  <c r="BY113" s="1"/>
  <c r="BA114"/>
  <c r="BY114" s="1"/>
  <c r="BA115"/>
  <c r="BY115" s="1"/>
  <c r="BA116"/>
  <c r="BY116" s="1"/>
  <c r="BA117"/>
  <c r="BY117" s="1"/>
  <c r="BA118"/>
  <c r="BY118" s="1"/>
  <c r="BA119"/>
  <c r="BY119" s="1"/>
  <c r="BA120"/>
  <c r="BY120" s="1"/>
  <c r="BA121"/>
  <c r="BY121" s="1"/>
  <c r="BA122"/>
  <c r="BY122" s="1"/>
  <c r="BA123"/>
  <c r="BY123" s="1"/>
  <c r="BA124"/>
  <c r="BY124" s="1"/>
  <c r="BA127"/>
  <c r="BY127" s="1"/>
  <c r="BA128"/>
  <c r="BY128" s="1"/>
  <c r="BA129"/>
  <c r="BY129" s="1"/>
  <c r="BA130"/>
  <c r="BY130" s="1"/>
  <c r="BA132"/>
  <c r="BY132" s="1"/>
  <c r="BA133"/>
  <c r="BY133" s="1"/>
  <c r="BA135"/>
  <c r="BY135" s="1"/>
  <c r="BA136"/>
  <c r="BY136" s="1"/>
  <c r="BA137"/>
  <c r="BY137" s="1"/>
  <c r="BA138"/>
  <c r="BY138" s="1"/>
  <c r="BA139"/>
  <c r="BY139" s="1"/>
  <c r="BA141"/>
  <c r="BY141" s="1"/>
  <c r="BA142"/>
  <c r="BY142" s="1"/>
  <c r="BA143"/>
  <c r="BY143" s="1"/>
  <c r="BA144"/>
  <c r="BY144" s="1"/>
  <c r="BA145"/>
  <c r="BY145" s="1"/>
  <c r="BA154"/>
  <c r="BY154" s="1"/>
  <c r="BA156"/>
  <c r="BY156" s="1"/>
  <c r="BA157"/>
  <c r="BY157" s="1"/>
  <c r="BA160"/>
  <c r="BY160" s="1"/>
  <c r="BA161"/>
  <c r="BY161" s="1"/>
  <c r="BA162"/>
  <c r="BY162" s="1"/>
  <c r="BA163"/>
  <c r="BY163" s="1"/>
  <c r="BA164"/>
  <c r="BY164" s="1"/>
  <c r="BA165"/>
  <c r="BY165" s="1"/>
  <c r="BA166"/>
  <c r="BY166" s="1"/>
  <c r="BA167"/>
  <c r="BY167" s="1"/>
  <c r="BA169"/>
  <c r="BY169" s="1"/>
  <c r="BA170"/>
  <c r="BY170" s="1"/>
  <c r="BA171"/>
  <c r="BY171" s="1"/>
  <c r="BA173"/>
  <c r="BY173" s="1"/>
  <c r="BA174"/>
  <c r="BY174" s="1"/>
  <c r="BA175"/>
  <c r="BY175" s="1"/>
  <c r="BA176"/>
  <c r="BY176" s="1"/>
  <c r="BA177"/>
  <c r="BY177" s="1"/>
  <c r="BA178"/>
  <c r="BY178" s="1"/>
  <c r="BA179"/>
  <c r="BY179" s="1"/>
  <c r="BA180"/>
  <c r="BY180" s="1"/>
  <c r="BA181"/>
  <c r="BY181" s="1"/>
  <c r="BA182"/>
  <c r="BY182" s="1"/>
  <c r="BA184"/>
  <c r="BY184" s="1"/>
  <c r="BA185"/>
  <c r="BY185" s="1"/>
  <c r="BA186"/>
  <c r="BY186" s="1"/>
  <c r="BA187"/>
  <c r="BY187" s="1"/>
  <c r="BA189"/>
  <c r="BY189" s="1"/>
  <c r="BA190"/>
  <c r="BY190" s="1"/>
  <c r="BA191"/>
  <c r="BY191" s="1"/>
  <c r="BA192"/>
  <c r="BY192" s="1"/>
  <c r="BA193"/>
  <c r="BY193" s="1"/>
  <c r="BA194"/>
  <c r="BY194" s="1"/>
  <c r="BA195"/>
  <c r="BY195" s="1"/>
  <c r="BA196"/>
  <c r="BY196" s="1"/>
  <c r="BA198"/>
  <c r="BY198" s="1"/>
  <c r="BA199"/>
  <c r="BY199" s="1"/>
  <c r="BA200"/>
  <c r="BY200" s="1"/>
  <c r="BA201"/>
  <c r="BY201" s="1"/>
  <c r="BA203"/>
  <c r="BY203" s="1"/>
  <c r="BA204"/>
  <c r="BY204" s="1"/>
  <c r="BA205"/>
  <c r="BY205" s="1"/>
  <c r="BA206"/>
  <c r="BY206" s="1"/>
  <c r="BA207"/>
  <c r="BY207" s="1"/>
  <c r="BA209"/>
  <c r="BY209" s="1"/>
  <c r="BA210"/>
  <c r="BY210" s="1"/>
  <c r="BA211"/>
  <c r="BY211" s="1"/>
  <c r="BA212"/>
  <c r="BY212" s="1"/>
  <c r="BA213"/>
  <c r="BY213" s="1"/>
  <c r="BA214"/>
  <c r="BY214" s="1"/>
  <c r="BA215"/>
  <c r="BY215" s="1"/>
  <c r="BA216"/>
  <c r="BY216" s="1"/>
  <c r="BA217"/>
  <c r="BY217" s="1"/>
  <c r="BA218"/>
  <c r="BY218" s="1"/>
  <c r="BA219"/>
  <c r="BY219" s="1"/>
  <c r="BA222"/>
  <c r="BY222" s="1"/>
  <c r="BA224"/>
  <c r="BY224" s="1"/>
  <c r="BA226"/>
  <c r="BY226" s="1"/>
  <c r="BA227"/>
  <c r="BY227" s="1"/>
  <c r="BA228"/>
  <c r="BY228" s="1"/>
  <c r="BA230"/>
  <c r="BY230" s="1"/>
  <c r="BA231"/>
  <c r="BY231" s="1"/>
  <c r="BA232"/>
  <c r="BY232" s="1"/>
  <c r="BA234"/>
  <c r="BY234" s="1"/>
  <c r="BA237"/>
  <c r="BY237" s="1"/>
  <c r="BA238"/>
  <c r="BY238" s="1"/>
  <c r="BA240"/>
  <c r="BY240" s="1"/>
  <c r="BA241"/>
  <c r="BY241" s="1"/>
  <c r="BA243"/>
  <c r="BY243" s="1"/>
  <c r="BA244"/>
  <c r="BY244" s="1"/>
  <c r="BA246"/>
  <c r="BY246" s="1"/>
  <c r="BA247"/>
  <c r="BY247" s="1"/>
  <c r="BA248"/>
  <c r="BY248" s="1"/>
  <c r="BA249"/>
  <c r="BY249" s="1"/>
  <c r="BA250"/>
  <c r="BY250" s="1"/>
  <c r="BA251"/>
  <c r="BY251" s="1"/>
  <c r="BA252"/>
  <c r="BY252" s="1"/>
  <c r="BA254"/>
  <c r="BY254" s="1"/>
  <c r="BA255"/>
  <c r="BY255" s="1"/>
  <c r="BA256"/>
  <c r="BY256" s="1"/>
  <c r="BA257"/>
  <c r="BY257" s="1"/>
  <c r="BA259"/>
  <c r="BY259" s="1"/>
  <c r="BA260"/>
  <c r="BY260" s="1"/>
  <c r="BA262"/>
  <c r="BY262" s="1"/>
  <c r="BA263"/>
  <c r="BY263" s="1"/>
  <c r="BA265"/>
  <c r="BY265" s="1"/>
  <c r="BA267"/>
  <c r="BY267" s="1"/>
  <c r="BA268"/>
  <c r="BY268" s="1"/>
  <c r="BA271"/>
  <c r="BY271" s="1"/>
  <c r="BA272"/>
  <c r="BY272" s="1"/>
  <c r="BA274"/>
  <c r="BY274" s="1"/>
  <c r="BA275"/>
  <c r="BY275" s="1"/>
  <c r="BA276"/>
  <c r="BY276" s="1"/>
  <c r="BA277"/>
  <c r="BY277" s="1"/>
  <c r="BA278"/>
  <c r="BY278" s="1"/>
  <c r="BA279"/>
  <c r="BY279" s="1"/>
  <c r="BA280"/>
  <c r="BY280" s="1"/>
  <c r="BA282"/>
  <c r="BY282" s="1"/>
  <c r="BA283"/>
  <c r="BY283" s="1"/>
  <c r="BA285"/>
  <c r="BY285" s="1"/>
  <c r="BA287"/>
  <c r="BY287" s="1"/>
  <c r="BA288"/>
  <c r="BY288" s="1"/>
  <c r="BA290"/>
  <c r="BY290" s="1"/>
  <c r="BA291"/>
  <c r="BY291" s="1"/>
  <c r="BA293"/>
  <c r="BY293" s="1"/>
  <c r="BA294"/>
  <c r="BY294" s="1"/>
  <c r="BA295"/>
  <c r="BY295" s="1"/>
  <c r="BA296"/>
  <c r="BY296" s="1"/>
  <c r="BA298"/>
  <c r="BY298" s="1"/>
  <c r="BA300"/>
  <c r="BY300" s="1"/>
  <c r="BA301"/>
  <c r="BY301" s="1"/>
  <c r="BA303"/>
  <c r="BY303" s="1"/>
  <c r="BA304"/>
  <c r="BY304" s="1"/>
  <c r="BA305"/>
  <c r="BY305" s="1"/>
  <c r="BA307"/>
  <c r="BY307" s="1"/>
  <c r="BA308"/>
  <c r="BY308" s="1"/>
  <c r="BA309"/>
  <c r="BY309" s="1"/>
  <c r="BA311"/>
  <c r="BY311" s="1"/>
  <c r="BA312"/>
  <c r="BY312" s="1"/>
  <c r="BA313"/>
  <c r="BY313" s="1"/>
  <c r="BA315"/>
  <c r="BY315" s="1"/>
  <c r="BA316"/>
  <c r="BY316" s="1"/>
  <c r="BA317"/>
  <c r="BY317" s="1"/>
  <c r="BA318"/>
  <c r="BY318" s="1"/>
  <c r="BA320"/>
  <c r="BY320" s="1"/>
  <c r="BA321"/>
  <c r="BY321" s="1"/>
  <c r="BA323"/>
  <c r="BY323" s="1"/>
  <c r="BA324"/>
  <c r="BY324" s="1"/>
  <c r="BA326"/>
  <c r="BY326" s="1"/>
  <c r="BA327"/>
  <c r="BY327" s="1"/>
  <c r="BA329"/>
  <c r="BY329" s="1"/>
  <c r="BA330"/>
  <c r="BY330" s="1"/>
  <c r="BA331"/>
  <c r="BY331" s="1"/>
  <c r="BA332"/>
  <c r="BY332" s="1"/>
  <c r="BA334"/>
  <c r="BY334" s="1"/>
  <c r="BA335"/>
  <c r="BY335" s="1"/>
  <c r="BA336"/>
  <c r="BY336" s="1"/>
  <c r="BA337"/>
  <c r="BY337" s="1"/>
  <c r="BA338"/>
  <c r="BY338" s="1"/>
  <c r="BA339"/>
  <c r="BY339" s="1"/>
  <c r="BA340"/>
  <c r="BY340" s="1"/>
  <c r="BA341"/>
  <c r="BY341" s="1"/>
  <c r="BA343"/>
  <c r="BY343" s="1"/>
  <c r="BA344"/>
  <c r="BY344" s="1"/>
  <c r="BA346"/>
  <c r="BY346" s="1"/>
  <c r="BA347"/>
  <c r="BY347" s="1"/>
  <c r="BA348"/>
  <c r="BY348" s="1"/>
  <c r="BA349"/>
  <c r="BY349" s="1"/>
  <c r="BA350"/>
  <c r="BY350" s="1"/>
  <c r="BA351"/>
  <c r="BY351" s="1"/>
  <c r="BA352"/>
  <c r="BY352" s="1"/>
  <c r="BA353"/>
  <c r="BY353" s="1"/>
  <c r="BA354"/>
  <c r="BY354" s="1"/>
  <c r="BA355"/>
  <c r="BY355" s="1"/>
  <c r="BA356"/>
  <c r="BY356" s="1"/>
  <c r="BA358"/>
  <c r="BY358" s="1"/>
  <c r="BA360"/>
  <c r="BY360" s="1"/>
  <c r="BA361"/>
  <c r="BY361" s="1"/>
  <c r="BA362"/>
  <c r="BY362" s="1"/>
  <c r="BA363"/>
  <c r="BY363" s="1"/>
  <c r="BA364"/>
  <c r="BY364" s="1"/>
  <c r="BA365"/>
  <c r="BY365" s="1"/>
  <c r="BA366"/>
  <c r="BY366" s="1"/>
  <c r="BA367"/>
  <c r="BY367" s="1"/>
  <c r="BA368"/>
  <c r="BY368" s="1"/>
  <c r="BA369"/>
  <c r="BY369" s="1"/>
  <c r="BA370"/>
  <c r="BY370" s="1"/>
  <c r="BA371"/>
  <c r="BY371" s="1"/>
  <c r="BA372"/>
  <c r="BY372" s="1"/>
  <c r="BA373"/>
  <c r="BY373" s="1"/>
  <c r="BA374"/>
  <c r="BY374" s="1"/>
  <c r="BA375"/>
  <c r="BY375" s="1"/>
  <c r="BA376"/>
  <c r="BY376" s="1"/>
  <c r="BA377"/>
  <c r="BY377" s="1"/>
  <c r="BA378"/>
  <c r="BY378" s="1"/>
  <c r="BA379"/>
  <c r="BY379" s="1"/>
  <c r="BA380"/>
  <c r="BY380" s="1"/>
  <c r="BA381"/>
  <c r="BY381" s="1"/>
  <c r="BA382"/>
  <c r="BY382" s="1"/>
  <c r="BA384"/>
  <c r="BY384" s="1"/>
  <c r="BA385"/>
  <c r="BY385" s="1"/>
  <c r="BA386"/>
  <c r="BY386" s="1"/>
  <c r="BA387"/>
  <c r="BY387" s="1"/>
  <c r="BA388"/>
  <c r="BY388" s="1"/>
  <c r="BA389"/>
  <c r="BY389" s="1"/>
  <c r="BA390"/>
  <c r="BY390" s="1"/>
  <c r="BA391"/>
  <c r="BY391" s="1"/>
  <c r="BA392"/>
  <c r="BY392" s="1"/>
  <c r="BA393"/>
  <c r="BY393" s="1"/>
  <c r="BA394"/>
  <c r="BY394" s="1"/>
  <c r="BA395"/>
  <c r="BY395" s="1"/>
  <c r="BA396"/>
  <c r="BY396" s="1"/>
  <c r="BA397"/>
  <c r="BY397" s="1"/>
  <c r="BA398"/>
  <c r="BY398" s="1"/>
  <c r="BA399"/>
  <c r="BY399" s="1"/>
  <c r="BA400"/>
  <c r="BY400" s="1"/>
  <c r="BA401"/>
  <c r="BY401" s="1"/>
  <c r="BA402"/>
  <c r="BY402" s="1"/>
  <c r="BA403"/>
  <c r="BY403" s="1"/>
  <c r="BA404"/>
  <c r="BY404" s="1"/>
  <c r="BA405"/>
  <c r="BY405" s="1"/>
  <c r="BA406"/>
  <c r="BY406" s="1"/>
  <c r="BA407"/>
  <c r="BY407" s="1"/>
  <c r="BA408"/>
  <c r="BY408" s="1"/>
  <c r="BA409"/>
  <c r="BY409" s="1"/>
  <c r="BA410"/>
  <c r="BY410" s="1"/>
  <c r="BA411"/>
  <c r="BY411" s="1"/>
  <c r="BA412"/>
  <c r="BY412" s="1"/>
  <c r="BA413"/>
  <c r="BY413" s="1"/>
  <c r="BA414"/>
  <c r="BY414" s="1"/>
  <c r="BA415"/>
  <c r="BY415" s="1"/>
  <c r="BA416"/>
  <c r="BY416" s="1"/>
  <c r="BA417"/>
  <c r="BY417" s="1"/>
  <c r="BA418"/>
  <c r="BY418" s="1"/>
  <c r="BA419"/>
  <c r="BY419" s="1"/>
  <c r="BA420"/>
  <c r="BY420" s="1"/>
  <c r="BA421"/>
  <c r="BY421" s="1"/>
  <c r="BA422"/>
  <c r="BY422" s="1"/>
  <c r="BA423"/>
  <c r="BY423" s="1"/>
  <c r="BA424"/>
  <c r="BY424" s="1"/>
  <c r="BA425"/>
  <c r="BY425" s="1"/>
  <c r="BA426"/>
  <c r="BY426" s="1"/>
  <c r="BA427"/>
  <c r="BY427" s="1"/>
  <c r="BA428"/>
  <c r="BY428" s="1"/>
  <c r="BA429"/>
  <c r="BY429" s="1"/>
  <c r="BA430"/>
  <c r="BY430" s="1"/>
  <c r="BA431"/>
  <c r="BY431" s="1"/>
  <c r="BA432"/>
  <c r="BY432" s="1"/>
  <c r="BA433"/>
  <c r="BY433" s="1"/>
  <c r="BA434"/>
  <c r="BY434" s="1"/>
  <c r="BA435"/>
  <c r="BY435" s="1"/>
  <c r="BA436"/>
  <c r="BY436" s="1"/>
  <c r="BA437"/>
  <c r="BY437" s="1"/>
  <c r="BA438"/>
  <c r="BY438" s="1"/>
  <c r="BA439"/>
  <c r="BY439" s="1"/>
  <c r="BA440"/>
  <c r="BY440" s="1"/>
  <c r="BA441"/>
  <c r="BY441" s="1"/>
  <c r="BA442"/>
  <c r="BY442" s="1"/>
  <c r="BA443"/>
  <c r="BY443" s="1"/>
  <c r="BA444"/>
  <c r="BY444" s="1"/>
  <c r="BA445"/>
  <c r="BY445" s="1"/>
  <c r="BA446"/>
  <c r="BY446" s="1"/>
  <c r="BA447"/>
  <c r="BY447" s="1"/>
  <c r="BA448"/>
  <c r="BY448" s="1"/>
  <c r="BA449"/>
  <c r="BY449" s="1"/>
  <c r="BA450"/>
  <c r="BY450" s="1"/>
  <c r="BA451"/>
  <c r="BY451" s="1"/>
  <c r="BA452"/>
  <c r="BY452" s="1"/>
  <c r="BA453"/>
  <c r="BY453" s="1"/>
  <c r="BA454"/>
  <c r="BY454" s="1"/>
  <c r="BA455"/>
  <c r="BY455" s="1"/>
  <c r="BA456"/>
  <c r="BY456" s="1"/>
  <c r="BA457"/>
  <c r="BY457" s="1"/>
  <c r="BA458"/>
  <c r="BY458" s="1"/>
  <c r="BA459"/>
  <c r="BY459" s="1"/>
  <c r="BA460"/>
  <c r="BY460" s="1"/>
  <c r="BA461"/>
  <c r="BY461" s="1"/>
  <c r="BA462"/>
  <c r="BY462" s="1"/>
  <c r="BA463"/>
  <c r="BY463" s="1"/>
  <c r="BA464"/>
  <c r="BY464" s="1"/>
  <c r="BA465"/>
  <c r="BY465" s="1"/>
  <c r="BA466"/>
  <c r="BY466" s="1"/>
  <c r="BA467"/>
  <c r="BY467" s="1"/>
  <c r="BA468"/>
  <c r="BY468" s="1"/>
  <c r="BA469"/>
  <c r="BY469" s="1"/>
  <c r="BA470"/>
  <c r="BY470" s="1"/>
  <c r="BA471"/>
  <c r="BY471" s="1"/>
  <c r="BA472"/>
  <c r="BY472" s="1"/>
  <c r="BA473"/>
  <c r="BY473" s="1"/>
  <c r="BA474"/>
  <c r="BY474" s="1"/>
  <c r="BA475"/>
  <c r="BY475" s="1"/>
  <c r="BA476"/>
  <c r="BY476" s="1"/>
  <c r="BA477"/>
  <c r="BY477" s="1"/>
  <c r="BA478"/>
  <c r="BY478" s="1"/>
  <c r="BA479"/>
  <c r="BY479" s="1"/>
  <c r="BA480"/>
  <c r="BY480" s="1"/>
  <c r="BA481"/>
  <c r="BY481" s="1"/>
  <c r="BA482"/>
  <c r="BY482" s="1"/>
  <c r="BA483"/>
  <c r="BY483" s="1"/>
  <c r="BA485"/>
  <c r="BY485" s="1"/>
  <c r="BA486"/>
  <c r="BY486" s="1"/>
  <c r="BA487"/>
  <c r="BY487" s="1"/>
  <c r="BA488"/>
  <c r="BY488" s="1"/>
  <c r="BA489"/>
  <c r="BY489" s="1"/>
  <c r="BA490"/>
  <c r="BY490" s="1"/>
  <c r="BA491"/>
  <c r="BY491" s="1"/>
  <c r="BA492"/>
  <c r="BY492" s="1"/>
  <c r="BA494"/>
  <c r="BY494" s="1"/>
  <c r="BA495"/>
  <c r="BY495" s="1"/>
  <c r="BA496"/>
  <c r="BY496" s="1"/>
  <c r="BA497"/>
  <c r="BY497" s="1"/>
  <c r="BA498"/>
  <c r="BY498" s="1"/>
  <c r="BA499"/>
  <c r="BY499" s="1"/>
  <c r="BA500"/>
  <c r="BY500" s="1"/>
  <c r="BA501"/>
  <c r="BY501" s="1"/>
  <c r="BA503"/>
  <c r="BY503" s="1"/>
  <c r="BA504"/>
  <c r="BY504" s="1"/>
  <c r="BA505"/>
  <c r="BY505" s="1"/>
  <c r="BA506"/>
  <c r="BY506" s="1"/>
  <c r="BA507"/>
  <c r="BY507" s="1"/>
  <c r="BA508"/>
  <c r="BY508" s="1"/>
  <c r="BA509"/>
  <c r="BY509" s="1"/>
  <c r="BA510"/>
  <c r="BY510" s="1"/>
  <c r="BA511"/>
  <c r="BY511" s="1"/>
  <c r="BA512"/>
  <c r="BY512" s="1"/>
  <c r="BA513"/>
  <c r="BY513" s="1"/>
  <c r="BA514"/>
  <c r="BY514" s="1"/>
  <c r="BA515"/>
  <c r="BY515" s="1"/>
  <c r="BA517"/>
  <c r="BY517" s="1"/>
  <c r="BA518"/>
  <c r="BY518" s="1"/>
  <c r="BA519"/>
  <c r="BY519" s="1"/>
  <c r="BA520"/>
  <c r="BY520" s="1"/>
  <c r="BA522"/>
  <c r="BY522" s="1"/>
  <c r="BA523"/>
  <c r="BY523" s="1"/>
  <c r="BA524"/>
  <c r="BY524" s="1"/>
  <c r="BA525"/>
  <c r="BY525" s="1"/>
  <c r="BA526"/>
  <c r="BY526" s="1"/>
  <c r="BA527"/>
  <c r="BY527" s="1"/>
  <c r="BA529"/>
  <c r="BY529" s="1"/>
  <c r="BA530"/>
  <c r="BY530" s="1"/>
  <c r="BA531"/>
  <c r="BY531" s="1"/>
  <c r="BA533"/>
  <c r="BY533" s="1"/>
  <c r="BA534"/>
  <c r="BY534" s="1"/>
  <c r="BA535"/>
  <c r="BY535" s="1"/>
  <c r="BA536"/>
  <c r="BY536" s="1"/>
  <c r="BA537"/>
  <c r="BY537" s="1"/>
  <c r="BA538"/>
  <c r="BY538" s="1"/>
  <c r="BA539"/>
  <c r="BY539" s="1"/>
  <c r="BA540"/>
  <c r="BY540" s="1"/>
  <c r="BA541"/>
  <c r="BY541" s="1"/>
  <c r="BA542"/>
  <c r="BY542" s="1"/>
  <c r="BA543"/>
  <c r="BY543" s="1"/>
  <c r="BA544"/>
  <c r="BY544" s="1"/>
  <c r="BA545"/>
  <c r="BY545" s="1"/>
  <c r="BA548"/>
  <c r="BY548" s="1"/>
  <c r="BA549"/>
  <c r="BY549" s="1"/>
  <c r="BA551"/>
  <c r="BY551" s="1"/>
  <c r="BA552"/>
  <c r="BY552" s="1"/>
  <c r="BA553"/>
  <c r="BY553" s="1"/>
  <c r="BA555"/>
  <c r="BY555" s="1"/>
  <c r="BA557"/>
  <c r="BY557" s="1"/>
  <c r="BA559"/>
  <c r="BY559" s="1"/>
  <c r="BA565"/>
  <c r="BY565" s="1"/>
  <c r="BA566"/>
  <c r="BY566" s="1"/>
  <c r="BA567"/>
  <c r="BY567" s="1"/>
  <c r="BA569"/>
  <c r="BY569" s="1"/>
  <c r="BA570"/>
  <c r="BY570" s="1"/>
  <c r="BA572"/>
  <c r="BY572" s="1"/>
  <c r="BA573"/>
  <c r="BY573" s="1"/>
  <c r="BA575"/>
  <c r="BY575" s="1"/>
  <c r="BA576"/>
  <c r="BY576" s="1"/>
  <c r="BA577"/>
  <c r="BY577" s="1"/>
  <c r="BA578"/>
  <c r="BY578" s="1"/>
  <c r="BA580"/>
  <c r="BY580" s="1"/>
  <c r="BA581"/>
  <c r="BY581" s="1"/>
  <c r="BA582"/>
  <c r="BY582" s="1"/>
  <c r="BA583"/>
  <c r="BY583" s="1"/>
  <c r="BA584"/>
  <c r="BY584" s="1"/>
  <c r="BA586"/>
  <c r="BY586" s="1"/>
  <c r="BA587"/>
  <c r="BY587" s="1"/>
  <c r="BA589"/>
  <c r="BY589" s="1"/>
  <c r="BA590"/>
  <c r="BY590" s="1"/>
  <c r="BA592"/>
  <c r="BY592" s="1"/>
  <c r="BA593"/>
  <c r="BY593" s="1"/>
  <c r="BA595"/>
  <c r="BY595" s="1"/>
  <c r="BA596"/>
  <c r="BY596" s="1"/>
  <c r="BA597"/>
  <c r="BY597" s="1"/>
  <c r="BA598"/>
  <c r="BY598" s="1"/>
  <c r="BA599"/>
  <c r="BY599" s="1"/>
  <c r="BA600"/>
  <c r="BY600" s="1"/>
  <c r="BA601"/>
  <c r="BY601" s="1"/>
  <c r="BA603"/>
  <c r="BY603" s="1"/>
  <c r="BA604"/>
  <c r="BY604" s="1"/>
  <c r="BA606"/>
  <c r="BY606" s="1"/>
  <c r="BA607"/>
  <c r="BY607" s="1"/>
  <c r="BA608"/>
  <c r="BY608" s="1"/>
  <c r="BA609"/>
  <c r="BY609" s="1"/>
  <c r="BA610"/>
  <c r="BY610" s="1"/>
  <c r="BA611"/>
  <c r="BY611" s="1"/>
  <c r="BA612"/>
  <c r="BY612" s="1"/>
  <c r="BA614"/>
  <c r="BY614" s="1"/>
  <c r="BA615"/>
  <c r="BY615" s="1"/>
  <c r="BA616"/>
  <c r="BY616" s="1"/>
  <c r="BA618"/>
  <c r="BY618" s="1"/>
  <c r="BA619"/>
  <c r="BY619" s="1"/>
  <c r="BA621"/>
  <c r="BY621" s="1"/>
  <c r="BA622"/>
  <c r="BY622" s="1"/>
  <c r="BA623"/>
  <c r="BY623" s="1"/>
  <c r="BA625"/>
  <c r="BY625" s="1"/>
  <c r="BA626"/>
  <c r="BY626" s="1"/>
  <c r="BA627"/>
  <c r="BY627" s="1"/>
  <c r="BA628"/>
  <c r="BY628" s="1"/>
  <c r="BA630"/>
  <c r="BY630" s="1"/>
  <c r="BA631"/>
  <c r="BY631" s="1"/>
  <c r="BA633"/>
  <c r="BY633" s="1"/>
  <c r="BA634"/>
  <c r="BY634" s="1"/>
  <c r="BA635"/>
  <c r="BY635" s="1"/>
  <c r="BA637"/>
  <c r="BY637" s="1"/>
  <c r="BA638"/>
  <c r="BY638" s="1"/>
  <c r="BA639"/>
  <c r="BY639" s="1"/>
  <c r="BA641"/>
  <c r="BY641" s="1"/>
  <c r="BA642"/>
  <c r="BY642" s="1"/>
  <c r="BA644"/>
  <c r="BY644" s="1"/>
  <c r="BA645"/>
  <c r="BY645" s="1"/>
  <c r="BA646"/>
  <c r="BY646" s="1"/>
  <c r="BA647"/>
  <c r="BY647" s="1"/>
  <c r="BA648"/>
  <c r="BY648" s="1"/>
  <c r="BA649"/>
  <c r="BY649" s="1"/>
  <c r="BA651"/>
  <c r="BY651" s="1"/>
  <c r="BA652"/>
  <c r="BY652" s="1"/>
  <c r="BA654"/>
  <c r="BY654" s="1"/>
  <c r="BA655"/>
  <c r="BY655" s="1"/>
  <c r="BA657"/>
  <c r="BY657" s="1"/>
  <c r="BA658"/>
  <c r="BY658" s="1"/>
  <c r="BA660"/>
  <c r="BY660" s="1"/>
  <c r="BA661"/>
  <c r="BY661" s="1"/>
  <c r="BA662"/>
  <c r="BY662" s="1"/>
  <c r="BA664"/>
  <c r="BY664" s="1"/>
  <c r="BA665"/>
  <c r="BY665" s="1"/>
  <c r="BA666"/>
  <c r="BY666" s="1"/>
  <c r="BA667"/>
  <c r="BY667" s="1"/>
  <c r="BA668"/>
  <c r="BY668" s="1"/>
  <c r="BA669"/>
  <c r="BY669" s="1"/>
  <c r="BA671"/>
  <c r="BY671" s="1"/>
  <c r="BA672"/>
  <c r="BY672" s="1"/>
  <c r="BA673"/>
  <c r="BY673" s="1"/>
  <c r="BA674"/>
  <c r="BY674" s="1"/>
  <c r="BA676"/>
  <c r="BY676" s="1"/>
  <c r="BA677"/>
  <c r="BY677" s="1"/>
  <c r="BA679"/>
  <c r="BY679" s="1"/>
  <c r="BA680"/>
  <c r="BY680" s="1"/>
  <c r="BA681"/>
  <c r="BY681" s="1"/>
  <c r="BA682"/>
  <c r="BY682" s="1"/>
  <c r="BA683"/>
  <c r="BY683" s="1"/>
  <c r="BA684"/>
  <c r="BY684" s="1"/>
  <c r="BA685"/>
  <c r="BY685" s="1"/>
  <c r="BA686"/>
  <c r="BY686" s="1"/>
  <c r="BA687"/>
  <c r="BY687" s="1"/>
  <c r="BA689"/>
  <c r="BY689" s="1"/>
  <c r="BA690"/>
  <c r="BY690" s="1"/>
  <c r="BA17"/>
  <c r="BY17" s="1"/>
  <c r="AZ18"/>
  <c r="BX18" s="1"/>
  <c r="AZ19"/>
  <c r="BX19" s="1"/>
  <c r="AZ20"/>
  <c r="BX20" s="1"/>
  <c r="AZ21"/>
  <c r="BX21" s="1"/>
  <c r="AZ22"/>
  <c r="BX22" s="1"/>
  <c r="AZ23"/>
  <c r="BX23" s="1"/>
  <c r="AZ24"/>
  <c r="BX24" s="1"/>
  <c r="AZ25"/>
  <c r="BX25" s="1"/>
  <c r="AZ26"/>
  <c r="BX26" s="1"/>
  <c r="AZ27"/>
  <c r="BX27" s="1"/>
  <c r="AZ28"/>
  <c r="BX28" s="1"/>
  <c r="AZ29"/>
  <c r="BX29" s="1"/>
  <c r="AZ30"/>
  <c r="BX30" s="1"/>
  <c r="AZ31"/>
  <c r="BX31" s="1"/>
  <c r="AZ32"/>
  <c r="BX32" s="1"/>
  <c r="AZ33"/>
  <c r="BX33" s="1"/>
  <c r="AZ34"/>
  <c r="BX34" s="1"/>
  <c r="AZ35"/>
  <c r="BX35" s="1"/>
  <c r="AZ36"/>
  <c r="BX36" s="1"/>
  <c r="AZ37"/>
  <c r="BX37" s="1"/>
  <c r="AZ38"/>
  <c r="BX38" s="1"/>
  <c r="AZ39"/>
  <c r="BX39" s="1"/>
  <c r="AZ40"/>
  <c r="BX40" s="1"/>
  <c r="AZ41"/>
  <c r="BX41" s="1"/>
  <c r="AZ42"/>
  <c r="BX42" s="1"/>
  <c r="AZ43"/>
  <c r="BX43" s="1"/>
  <c r="AZ44"/>
  <c r="BX44" s="1"/>
  <c r="AZ45"/>
  <c r="BX45" s="1"/>
  <c r="AZ46"/>
  <c r="BX46" s="1"/>
  <c r="AZ47"/>
  <c r="BX47" s="1"/>
  <c r="AZ48"/>
  <c r="BX48" s="1"/>
  <c r="AZ49"/>
  <c r="BX49" s="1"/>
  <c r="AZ50"/>
  <c r="BX50" s="1"/>
  <c r="AZ51"/>
  <c r="BX51" s="1"/>
  <c r="AZ52"/>
  <c r="BX52" s="1"/>
  <c r="AZ53"/>
  <c r="BX53" s="1"/>
  <c r="AZ54"/>
  <c r="BX54" s="1"/>
  <c r="AZ55"/>
  <c r="BX55" s="1"/>
  <c r="AZ56"/>
  <c r="BX56" s="1"/>
  <c r="AZ57"/>
  <c r="BX57" s="1"/>
  <c r="AZ58"/>
  <c r="BX58" s="1"/>
  <c r="AZ59"/>
  <c r="BX59" s="1"/>
  <c r="AZ60"/>
  <c r="BX60" s="1"/>
  <c r="AZ61"/>
  <c r="BX61" s="1"/>
  <c r="AZ62"/>
  <c r="BX62" s="1"/>
  <c r="AZ63"/>
  <c r="BX63" s="1"/>
  <c r="AZ64"/>
  <c r="BX64" s="1"/>
  <c r="AZ65"/>
  <c r="BX65" s="1"/>
  <c r="AZ66"/>
  <c r="BX66" s="1"/>
  <c r="AZ67"/>
  <c r="BX67" s="1"/>
  <c r="AZ68"/>
  <c r="BX68" s="1"/>
  <c r="AZ69"/>
  <c r="BX69" s="1"/>
  <c r="AZ70"/>
  <c r="BX70" s="1"/>
  <c r="AZ71"/>
  <c r="BX71" s="1"/>
  <c r="AZ72"/>
  <c r="BX72" s="1"/>
  <c r="AZ73"/>
  <c r="BX73" s="1"/>
  <c r="AZ74"/>
  <c r="BX74" s="1"/>
  <c r="AZ75"/>
  <c r="BX75" s="1"/>
  <c r="AZ76"/>
  <c r="BX76" s="1"/>
  <c r="AZ77"/>
  <c r="BX77" s="1"/>
  <c r="AZ78"/>
  <c r="BX78" s="1"/>
  <c r="AZ79"/>
  <c r="BX79" s="1"/>
  <c r="AZ80"/>
  <c r="BX80" s="1"/>
  <c r="AZ81"/>
  <c r="BX81" s="1"/>
  <c r="AZ82"/>
  <c r="BX82" s="1"/>
  <c r="AZ83"/>
  <c r="BX83" s="1"/>
  <c r="AZ84"/>
  <c r="BX84" s="1"/>
  <c r="AZ85"/>
  <c r="BX85" s="1"/>
  <c r="AZ86"/>
  <c r="BX86" s="1"/>
  <c r="AZ87"/>
  <c r="BX87" s="1"/>
  <c r="AZ88"/>
  <c r="BX88" s="1"/>
  <c r="AZ89"/>
  <c r="BX89" s="1"/>
  <c r="AZ90"/>
  <c r="BX90" s="1"/>
  <c r="AZ91"/>
  <c r="BX91" s="1"/>
  <c r="AZ92"/>
  <c r="BX92" s="1"/>
  <c r="AZ93"/>
  <c r="BX93" s="1"/>
  <c r="AZ94"/>
  <c r="BX94" s="1"/>
  <c r="AZ95"/>
  <c r="BX95" s="1"/>
  <c r="AZ96"/>
  <c r="BX96" s="1"/>
  <c r="AZ97"/>
  <c r="BX97" s="1"/>
  <c r="AZ98"/>
  <c r="BX98" s="1"/>
  <c r="AZ99"/>
  <c r="BX99" s="1"/>
  <c r="AZ100"/>
  <c r="BX100" s="1"/>
  <c r="AZ101"/>
  <c r="BX101" s="1"/>
  <c r="AZ102"/>
  <c r="BX102" s="1"/>
  <c r="AZ103"/>
  <c r="BX103" s="1"/>
  <c r="AZ104"/>
  <c r="BX104" s="1"/>
  <c r="AZ105"/>
  <c r="BX105" s="1"/>
  <c r="AZ106"/>
  <c r="BX106" s="1"/>
  <c r="AZ107"/>
  <c r="BX107" s="1"/>
  <c r="AZ108"/>
  <c r="BX108" s="1"/>
  <c r="AZ109"/>
  <c r="BX109" s="1"/>
  <c r="AZ110"/>
  <c r="BX110" s="1"/>
  <c r="AZ111"/>
  <c r="BX111" s="1"/>
  <c r="AZ112"/>
  <c r="BX112" s="1"/>
  <c r="AZ113"/>
  <c r="BX113" s="1"/>
  <c r="AZ114"/>
  <c r="BX114" s="1"/>
  <c r="AZ115"/>
  <c r="BX115" s="1"/>
  <c r="AZ116"/>
  <c r="BX116" s="1"/>
  <c r="AZ117"/>
  <c r="BX117" s="1"/>
  <c r="AZ118"/>
  <c r="BX118" s="1"/>
  <c r="AZ119"/>
  <c r="BX119" s="1"/>
  <c r="AZ120"/>
  <c r="BX120" s="1"/>
  <c r="AZ121"/>
  <c r="BX121" s="1"/>
  <c r="AZ122"/>
  <c r="BX122" s="1"/>
  <c r="AZ123"/>
  <c r="BX123" s="1"/>
  <c r="AZ124"/>
  <c r="BX124" s="1"/>
  <c r="AZ125"/>
  <c r="BX125" s="1"/>
  <c r="AZ126"/>
  <c r="BX126" s="1"/>
  <c r="AZ127"/>
  <c r="BX127" s="1"/>
  <c r="AZ128"/>
  <c r="BX128" s="1"/>
  <c r="AZ129"/>
  <c r="BX129" s="1"/>
  <c r="AZ130"/>
  <c r="BX130" s="1"/>
  <c r="AZ131"/>
  <c r="BX131" s="1"/>
  <c r="AZ132"/>
  <c r="BX132" s="1"/>
  <c r="AZ133"/>
  <c r="BX133" s="1"/>
  <c r="AZ134"/>
  <c r="BX134" s="1"/>
  <c r="AZ135"/>
  <c r="BX135" s="1"/>
  <c r="AZ136"/>
  <c r="BX136" s="1"/>
  <c r="AZ137"/>
  <c r="BX137" s="1"/>
  <c r="AZ138"/>
  <c r="BX138" s="1"/>
  <c r="AZ139"/>
  <c r="BX139" s="1"/>
  <c r="AZ140"/>
  <c r="BX140" s="1"/>
  <c r="AZ141"/>
  <c r="BX141" s="1"/>
  <c r="AZ142"/>
  <c r="BX142" s="1"/>
  <c r="AZ143"/>
  <c r="BX143" s="1"/>
  <c r="AZ144"/>
  <c r="BX144" s="1"/>
  <c r="AZ145"/>
  <c r="BX145" s="1"/>
  <c r="AZ146"/>
  <c r="BX146" s="1"/>
  <c r="AZ147"/>
  <c r="BX147" s="1"/>
  <c r="AZ148"/>
  <c r="BX148" s="1"/>
  <c r="AZ149"/>
  <c r="BX149" s="1"/>
  <c r="AZ150"/>
  <c r="BX150" s="1"/>
  <c r="AZ151"/>
  <c r="BX151" s="1"/>
  <c r="AZ152"/>
  <c r="BX152" s="1"/>
  <c r="AZ153"/>
  <c r="BX153" s="1"/>
  <c r="AZ154"/>
  <c r="BX154" s="1"/>
  <c r="AZ155"/>
  <c r="BX155" s="1"/>
  <c r="AZ156"/>
  <c r="BX156" s="1"/>
  <c r="AZ157"/>
  <c r="BX157" s="1"/>
  <c r="AZ158"/>
  <c r="BX158" s="1"/>
  <c r="AZ160"/>
  <c r="BX160" s="1"/>
  <c r="AZ161"/>
  <c r="BX161" s="1"/>
  <c r="AZ162"/>
  <c r="BX162" s="1"/>
  <c r="AZ163"/>
  <c r="BX163" s="1"/>
  <c r="AZ164"/>
  <c r="BX164" s="1"/>
  <c r="AZ165"/>
  <c r="BX165" s="1"/>
  <c r="AZ166"/>
  <c r="BX166" s="1"/>
  <c r="AZ167"/>
  <c r="BX167" s="1"/>
  <c r="AZ169"/>
  <c r="BX169" s="1"/>
  <c r="AZ170"/>
  <c r="BX170" s="1"/>
  <c r="AZ171"/>
  <c r="BX171" s="1"/>
  <c r="AZ172"/>
  <c r="BX172" s="1"/>
  <c r="AZ173"/>
  <c r="BX173" s="1"/>
  <c r="AZ174"/>
  <c r="BX174" s="1"/>
  <c r="AZ175"/>
  <c r="BX175" s="1"/>
  <c r="AZ176"/>
  <c r="BX176" s="1"/>
  <c r="AZ177"/>
  <c r="BX177" s="1"/>
  <c r="AZ178"/>
  <c r="BX178" s="1"/>
  <c r="AZ179"/>
  <c r="BX179" s="1"/>
  <c r="AZ180"/>
  <c r="BX180" s="1"/>
  <c r="AZ181"/>
  <c r="BX181" s="1"/>
  <c r="AZ182"/>
  <c r="BX182" s="1"/>
  <c r="AZ184"/>
  <c r="BX184" s="1"/>
  <c r="AZ185"/>
  <c r="BX185" s="1"/>
  <c r="AZ186"/>
  <c r="BX186" s="1"/>
  <c r="AZ187"/>
  <c r="BX187" s="1"/>
  <c r="AZ189"/>
  <c r="BX189" s="1"/>
  <c r="AZ190"/>
  <c r="BX190" s="1"/>
  <c r="AZ191"/>
  <c r="BX191" s="1"/>
  <c r="AZ192"/>
  <c r="BX192" s="1"/>
  <c r="AZ193"/>
  <c r="BX193" s="1"/>
  <c r="AZ194"/>
  <c r="BX194" s="1"/>
  <c r="AZ195"/>
  <c r="BX195" s="1"/>
  <c r="AZ196"/>
  <c r="BX196" s="1"/>
  <c r="AZ198"/>
  <c r="BX198" s="1"/>
  <c r="AZ199"/>
  <c r="BX199" s="1"/>
  <c r="AZ200"/>
  <c r="BX200" s="1"/>
  <c r="AZ201"/>
  <c r="BX201" s="1"/>
  <c r="AZ203"/>
  <c r="BX203" s="1"/>
  <c r="AZ204"/>
  <c r="BX204" s="1"/>
  <c r="AZ205"/>
  <c r="BX205" s="1"/>
  <c r="AZ206"/>
  <c r="BX206" s="1"/>
  <c r="AZ207"/>
  <c r="BX207" s="1"/>
  <c r="AZ209"/>
  <c r="BX209" s="1"/>
  <c r="AZ210"/>
  <c r="BX210" s="1"/>
  <c r="AZ211"/>
  <c r="BX211" s="1"/>
  <c r="AZ212"/>
  <c r="BX212" s="1"/>
  <c r="AZ213"/>
  <c r="BX213" s="1"/>
  <c r="AZ214"/>
  <c r="BX214" s="1"/>
  <c r="AZ215"/>
  <c r="BX215" s="1"/>
  <c r="AZ216"/>
  <c r="BX216" s="1"/>
  <c r="AZ217"/>
  <c r="BX217" s="1"/>
  <c r="AZ218"/>
  <c r="BX218" s="1"/>
  <c r="AZ219"/>
  <c r="BX219" s="1"/>
  <c r="AZ220"/>
  <c r="BX220" s="1"/>
  <c r="AZ221"/>
  <c r="BX221" s="1"/>
  <c r="AZ222"/>
  <c r="BX222" s="1"/>
  <c r="AZ223"/>
  <c r="BX223" s="1"/>
  <c r="AZ224"/>
  <c r="BX224" s="1"/>
  <c r="AZ226"/>
  <c r="BX226" s="1"/>
  <c r="AZ227"/>
  <c r="BX227" s="1"/>
  <c r="AZ228"/>
  <c r="BX228" s="1"/>
  <c r="AZ230"/>
  <c r="BX230" s="1"/>
  <c r="AZ231"/>
  <c r="BX231" s="1"/>
  <c r="AZ232"/>
  <c r="BX232" s="1"/>
  <c r="AZ234"/>
  <c r="BX234" s="1"/>
  <c r="AZ235"/>
  <c r="BX235" s="1"/>
  <c r="AZ237"/>
  <c r="BX237" s="1"/>
  <c r="AZ238"/>
  <c r="BX238" s="1"/>
  <c r="AZ240"/>
  <c r="BX240" s="1"/>
  <c r="AZ241"/>
  <c r="BX241" s="1"/>
  <c r="AZ243"/>
  <c r="BX243" s="1"/>
  <c r="AZ244"/>
  <c r="BX244" s="1"/>
  <c r="AZ246"/>
  <c r="BX246" s="1"/>
  <c r="AZ247"/>
  <c r="BX247" s="1"/>
  <c r="AZ248"/>
  <c r="BX248" s="1"/>
  <c r="AZ249"/>
  <c r="BX249" s="1"/>
  <c r="AZ250"/>
  <c r="BX250" s="1"/>
  <c r="AZ251"/>
  <c r="BX251" s="1"/>
  <c r="AZ252"/>
  <c r="BX252" s="1"/>
  <c r="AZ253"/>
  <c r="BX253" s="1"/>
  <c r="AZ254"/>
  <c r="BX254" s="1"/>
  <c r="AZ255"/>
  <c r="BX255" s="1"/>
  <c r="AZ256"/>
  <c r="BX256" s="1"/>
  <c r="AZ257"/>
  <c r="BX257" s="1"/>
  <c r="AZ259"/>
  <c r="BX259" s="1"/>
  <c r="AZ260"/>
  <c r="BX260" s="1"/>
  <c r="AZ262"/>
  <c r="BX262" s="1"/>
  <c r="AZ263"/>
  <c r="BX263" s="1"/>
  <c r="AZ265"/>
  <c r="BX265" s="1"/>
  <c r="AZ266"/>
  <c r="BX266" s="1"/>
  <c r="AZ267"/>
  <c r="BX267" s="1"/>
  <c r="AZ268"/>
  <c r="BX268" s="1"/>
  <c r="AZ269"/>
  <c r="BX269" s="1"/>
  <c r="AZ271"/>
  <c r="BX271" s="1"/>
  <c r="AZ272"/>
  <c r="BX272" s="1"/>
  <c r="AZ274"/>
  <c r="BX274" s="1"/>
  <c r="AZ275"/>
  <c r="BX275" s="1"/>
  <c r="AZ276"/>
  <c r="BX276" s="1"/>
  <c r="AZ277"/>
  <c r="BX277" s="1"/>
  <c r="AZ278"/>
  <c r="BX278" s="1"/>
  <c r="AZ279"/>
  <c r="BX279" s="1"/>
  <c r="AZ280"/>
  <c r="BX280" s="1"/>
  <c r="AZ282"/>
  <c r="BX282" s="1"/>
  <c r="AZ283"/>
  <c r="BX283" s="1"/>
  <c r="AZ284"/>
  <c r="BX284" s="1"/>
  <c r="AZ285"/>
  <c r="BX285" s="1"/>
  <c r="AZ287"/>
  <c r="BX287" s="1"/>
  <c r="AZ288"/>
  <c r="BX288" s="1"/>
  <c r="AZ290"/>
  <c r="BX290" s="1"/>
  <c r="AZ291"/>
  <c r="BX291" s="1"/>
  <c r="AZ293"/>
  <c r="BX293" s="1"/>
  <c r="AZ294"/>
  <c r="BX294" s="1"/>
  <c r="AZ295"/>
  <c r="BX295" s="1"/>
  <c r="AZ296"/>
  <c r="BX296" s="1"/>
  <c r="AZ297"/>
  <c r="BX297" s="1"/>
  <c r="AZ298"/>
  <c r="BX298" s="1"/>
  <c r="AZ300"/>
  <c r="BX300" s="1"/>
  <c r="AZ301"/>
  <c r="BX301" s="1"/>
  <c r="AZ303"/>
  <c r="BX303" s="1"/>
  <c r="AZ304"/>
  <c r="BX304" s="1"/>
  <c r="AZ305"/>
  <c r="BX305" s="1"/>
  <c r="AZ307"/>
  <c r="BX307" s="1"/>
  <c r="AZ308"/>
  <c r="BX308" s="1"/>
  <c r="AZ309"/>
  <c r="BX309" s="1"/>
  <c r="AZ311"/>
  <c r="BX311" s="1"/>
  <c r="AZ312"/>
  <c r="BX312" s="1"/>
  <c r="AZ313"/>
  <c r="BX313" s="1"/>
  <c r="AZ315"/>
  <c r="BX315" s="1"/>
  <c r="AZ316"/>
  <c r="BX316" s="1"/>
  <c r="AZ317"/>
  <c r="BX317" s="1"/>
  <c r="AZ318"/>
  <c r="BX318" s="1"/>
  <c r="AZ320"/>
  <c r="BX320" s="1"/>
  <c r="AZ321"/>
  <c r="BX321" s="1"/>
  <c r="AZ323"/>
  <c r="BX323" s="1"/>
  <c r="AZ324"/>
  <c r="BX324" s="1"/>
  <c r="AZ326"/>
  <c r="BX326" s="1"/>
  <c r="AZ327"/>
  <c r="BX327" s="1"/>
  <c r="AZ329"/>
  <c r="BX329" s="1"/>
  <c r="AZ330"/>
  <c r="BX330" s="1"/>
  <c r="AZ331"/>
  <c r="BX331" s="1"/>
  <c r="AZ332"/>
  <c r="BX332" s="1"/>
  <c r="AZ334"/>
  <c r="BX334" s="1"/>
  <c r="AZ335"/>
  <c r="BX335" s="1"/>
  <c r="AZ336"/>
  <c r="BX336" s="1"/>
  <c r="AZ337"/>
  <c r="BX337" s="1"/>
  <c r="AZ338"/>
  <c r="BX338" s="1"/>
  <c r="AZ339"/>
  <c r="BX339" s="1"/>
  <c r="AZ340"/>
  <c r="BX340" s="1"/>
  <c r="AZ341"/>
  <c r="BX341" s="1"/>
  <c r="AZ343"/>
  <c r="BX343" s="1"/>
  <c r="AZ344"/>
  <c r="BX344" s="1"/>
  <c r="AZ346"/>
  <c r="BX346" s="1"/>
  <c r="AZ347"/>
  <c r="BX347" s="1"/>
  <c r="AZ348"/>
  <c r="BX348" s="1"/>
  <c r="AZ349"/>
  <c r="BX349" s="1"/>
  <c r="AZ350"/>
  <c r="BX350" s="1"/>
  <c r="AZ351"/>
  <c r="BX351" s="1"/>
  <c r="AZ352"/>
  <c r="BX352" s="1"/>
  <c r="AZ353"/>
  <c r="BX353" s="1"/>
  <c r="AZ354"/>
  <c r="BX354" s="1"/>
  <c r="AZ355"/>
  <c r="BX355" s="1"/>
  <c r="AZ356"/>
  <c r="BX356" s="1"/>
  <c r="AZ358"/>
  <c r="BX358" s="1"/>
  <c r="AZ360"/>
  <c r="BX360" s="1"/>
  <c r="AZ361"/>
  <c r="BX361" s="1"/>
  <c r="AZ362"/>
  <c r="BX362" s="1"/>
  <c r="AZ363"/>
  <c r="BX363" s="1"/>
  <c r="AZ364"/>
  <c r="BX364" s="1"/>
  <c r="AZ365"/>
  <c r="BX365" s="1"/>
  <c r="AZ366"/>
  <c r="BX366" s="1"/>
  <c r="AZ367"/>
  <c r="BX367" s="1"/>
  <c r="AZ368"/>
  <c r="BX368" s="1"/>
  <c r="AZ369"/>
  <c r="BX369" s="1"/>
  <c r="AZ370"/>
  <c r="BX370" s="1"/>
  <c r="AZ371"/>
  <c r="BX371" s="1"/>
  <c r="AZ372"/>
  <c r="BX372" s="1"/>
  <c r="AZ373"/>
  <c r="BX373" s="1"/>
  <c r="AZ374"/>
  <c r="BX374" s="1"/>
  <c r="AZ375"/>
  <c r="BX375" s="1"/>
  <c r="AZ376"/>
  <c r="BX376" s="1"/>
  <c r="AZ377"/>
  <c r="BX377" s="1"/>
  <c r="AZ378"/>
  <c r="BX378" s="1"/>
  <c r="AZ379"/>
  <c r="BX379" s="1"/>
  <c r="AZ380"/>
  <c r="BX380" s="1"/>
  <c r="AZ381"/>
  <c r="BX381" s="1"/>
  <c r="AZ382"/>
  <c r="BX382" s="1"/>
  <c r="AZ383"/>
  <c r="BX383" s="1"/>
  <c r="AZ384"/>
  <c r="BX384" s="1"/>
  <c r="AZ385"/>
  <c r="BX385" s="1"/>
  <c r="AZ386"/>
  <c r="BX386" s="1"/>
  <c r="AZ387"/>
  <c r="BX387" s="1"/>
  <c r="AZ388"/>
  <c r="BX388" s="1"/>
  <c r="AZ389"/>
  <c r="BX389" s="1"/>
  <c r="AZ390"/>
  <c r="BX390" s="1"/>
  <c r="AZ391"/>
  <c r="BX391" s="1"/>
  <c r="AZ392"/>
  <c r="BX392" s="1"/>
  <c r="AZ393"/>
  <c r="BX393" s="1"/>
  <c r="AZ394"/>
  <c r="BX394" s="1"/>
  <c r="AZ395"/>
  <c r="BX395" s="1"/>
  <c r="AZ396"/>
  <c r="BX396" s="1"/>
  <c r="AZ397"/>
  <c r="BX397" s="1"/>
  <c r="AZ398"/>
  <c r="BX398" s="1"/>
  <c r="AZ399"/>
  <c r="BX399" s="1"/>
  <c r="AZ400"/>
  <c r="BX400" s="1"/>
  <c r="AZ401"/>
  <c r="BX401" s="1"/>
  <c r="AZ402"/>
  <c r="BX402" s="1"/>
  <c r="AZ403"/>
  <c r="BX403" s="1"/>
  <c r="AZ404"/>
  <c r="BX404" s="1"/>
  <c r="AZ405"/>
  <c r="BX405" s="1"/>
  <c r="AZ406"/>
  <c r="BX406" s="1"/>
  <c r="AZ407"/>
  <c r="BX407" s="1"/>
  <c r="AZ408"/>
  <c r="BX408" s="1"/>
  <c r="AZ409"/>
  <c r="BX409" s="1"/>
  <c r="AZ410"/>
  <c r="BX410" s="1"/>
  <c r="AZ411"/>
  <c r="BX411" s="1"/>
  <c r="AZ412"/>
  <c r="BX412" s="1"/>
  <c r="AZ413"/>
  <c r="BX413" s="1"/>
  <c r="AZ414"/>
  <c r="BX414" s="1"/>
  <c r="AZ415"/>
  <c r="BX415" s="1"/>
  <c r="AZ416"/>
  <c r="BX416" s="1"/>
  <c r="AZ417"/>
  <c r="BX417" s="1"/>
  <c r="AZ418"/>
  <c r="BX418" s="1"/>
  <c r="AZ419"/>
  <c r="BX419" s="1"/>
  <c r="AZ420"/>
  <c r="BX420" s="1"/>
  <c r="AZ421"/>
  <c r="BX421" s="1"/>
  <c r="AZ422"/>
  <c r="BX422" s="1"/>
  <c r="AZ423"/>
  <c r="BX423" s="1"/>
  <c r="AZ424"/>
  <c r="BX424" s="1"/>
  <c r="AZ425"/>
  <c r="BX425" s="1"/>
  <c r="AZ426"/>
  <c r="BX426" s="1"/>
  <c r="AZ427"/>
  <c r="BX427" s="1"/>
  <c r="AZ428"/>
  <c r="BX428" s="1"/>
  <c r="AZ429"/>
  <c r="BX429" s="1"/>
  <c r="AZ430"/>
  <c r="BX430" s="1"/>
  <c r="AZ431"/>
  <c r="BX431" s="1"/>
  <c r="AZ432"/>
  <c r="BX432" s="1"/>
  <c r="AZ433"/>
  <c r="BX433" s="1"/>
  <c r="AZ434"/>
  <c r="BX434" s="1"/>
  <c r="AZ435"/>
  <c r="BX435" s="1"/>
  <c r="AZ436"/>
  <c r="BX436" s="1"/>
  <c r="AZ437"/>
  <c r="BX437" s="1"/>
  <c r="AZ438"/>
  <c r="BX438" s="1"/>
  <c r="AZ439"/>
  <c r="BX439" s="1"/>
  <c r="AZ440"/>
  <c r="BX440" s="1"/>
  <c r="AZ441"/>
  <c r="BX441" s="1"/>
  <c r="AZ442"/>
  <c r="BX442" s="1"/>
  <c r="AZ443"/>
  <c r="BX443" s="1"/>
  <c r="AZ444"/>
  <c r="BX444" s="1"/>
  <c r="AZ445"/>
  <c r="BX445" s="1"/>
  <c r="AZ446"/>
  <c r="BX446" s="1"/>
  <c r="AZ447"/>
  <c r="BX447" s="1"/>
  <c r="AZ448"/>
  <c r="BX448" s="1"/>
  <c r="AZ449"/>
  <c r="BX449" s="1"/>
  <c r="AZ450"/>
  <c r="BX450" s="1"/>
  <c r="AZ451"/>
  <c r="BX451" s="1"/>
  <c r="AZ452"/>
  <c r="BX452" s="1"/>
  <c r="AZ453"/>
  <c r="BX453" s="1"/>
  <c r="AZ454"/>
  <c r="BX454" s="1"/>
  <c r="AZ455"/>
  <c r="BX455" s="1"/>
  <c r="AZ456"/>
  <c r="BX456" s="1"/>
  <c r="AZ457"/>
  <c r="BX457" s="1"/>
  <c r="AZ458"/>
  <c r="BX458" s="1"/>
  <c r="AZ459"/>
  <c r="BX459" s="1"/>
  <c r="AZ460"/>
  <c r="BX460" s="1"/>
  <c r="AZ461"/>
  <c r="BX461" s="1"/>
  <c r="AZ462"/>
  <c r="BX462" s="1"/>
  <c r="AZ463"/>
  <c r="BX463" s="1"/>
  <c r="AZ464"/>
  <c r="BX464" s="1"/>
  <c r="AZ465"/>
  <c r="BX465" s="1"/>
  <c r="AZ466"/>
  <c r="BX466" s="1"/>
  <c r="AZ467"/>
  <c r="BX467" s="1"/>
  <c r="AZ468"/>
  <c r="BX468" s="1"/>
  <c r="AZ469"/>
  <c r="BX469" s="1"/>
  <c r="AZ470"/>
  <c r="BX470" s="1"/>
  <c r="AZ471"/>
  <c r="BX471" s="1"/>
  <c r="AZ472"/>
  <c r="BX472" s="1"/>
  <c r="AZ473"/>
  <c r="BX473" s="1"/>
  <c r="AZ474"/>
  <c r="BX474" s="1"/>
  <c r="AZ475"/>
  <c r="BX475" s="1"/>
  <c r="AZ476"/>
  <c r="BX476" s="1"/>
  <c r="AZ477"/>
  <c r="BX477" s="1"/>
  <c r="AZ478"/>
  <c r="BX478" s="1"/>
  <c r="AZ479"/>
  <c r="BX479" s="1"/>
  <c r="AZ480"/>
  <c r="BX480" s="1"/>
  <c r="AZ481"/>
  <c r="BX481" s="1"/>
  <c r="AZ482"/>
  <c r="BX482" s="1"/>
  <c r="AZ483"/>
  <c r="BX483" s="1"/>
  <c r="AZ484"/>
  <c r="BX484" s="1"/>
  <c r="AZ485"/>
  <c r="BX485" s="1"/>
  <c r="AZ486"/>
  <c r="BX486" s="1"/>
  <c r="AZ487"/>
  <c r="BX487" s="1"/>
  <c r="AZ488"/>
  <c r="BX488" s="1"/>
  <c r="AZ489"/>
  <c r="BX489" s="1"/>
  <c r="AZ490"/>
  <c r="BX490" s="1"/>
  <c r="AZ491"/>
  <c r="BX491" s="1"/>
  <c r="AZ492"/>
  <c r="BX492" s="1"/>
  <c r="AZ494"/>
  <c r="BX494" s="1"/>
  <c r="AZ495"/>
  <c r="BX495" s="1"/>
  <c r="AZ496"/>
  <c r="BX496" s="1"/>
  <c r="AZ497"/>
  <c r="BX497" s="1"/>
  <c r="AZ498"/>
  <c r="BX498" s="1"/>
  <c r="AZ499"/>
  <c r="BX499" s="1"/>
  <c r="AZ500"/>
  <c r="BX500" s="1"/>
  <c r="AZ501"/>
  <c r="BX501" s="1"/>
  <c r="AZ503"/>
  <c r="BX503" s="1"/>
  <c r="AZ504"/>
  <c r="BX504" s="1"/>
  <c r="AZ505"/>
  <c r="BX505" s="1"/>
  <c r="AZ506"/>
  <c r="BX506" s="1"/>
  <c r="AZ507"/>
  <c r="BX507" s="1"/>
  <c r="AZ508"/>
  <c r="BX508" s="1"/>
  <c r="AZ509"/>
  <c r="BX509" s="1"/>
  <c r="AZ510"/>
  <c r="BX510" s="1"/>
  <c r="AZ511"/>
  <c r="BX511" s="1"/>
  <c r="AZ512"/>
  <c r="BX512" s="1"/>
  <c r="AZ513"/>
  <c r="BX513" s="1"/>
  <c r="AZ514"/>
  <c r="BX514" s="1"/>
  <c r="AZ515"/>
  <c r="BX515" s="1"/>
  <c r="AZ517"/>
  <c r="BX517" s="1"/>
  <c r="AZ518"/>
  <c r="BX518" s="1"/>
  <c r="AZ519"/>
  <c r="BX519" s="1"/>
  <c r="AZ520"/>
  <c r="BX520" s="1"/>
  <c r="AZ522"/>
  <c r="BX522" s="1"/>
  <c r="AZ523"/>
  <c r="BX523" s="1"/>
  <c r="AZ524"/>
  <c r="BX524" s="1"/>
  <c r="AZ525"/>
  <c r="BX525" s="1"/>
  <c r="AZ526"/>
  <c r="BX526" s="1"/>
  <c r="AZ527"/>
  <c r="BX527" s="1"/>
  <c r="AZ529"/>
  <c r="BX529" s="1"/>
  <c r="AZ530"/>
  <c r="BX530" s="1"/>
  <c r="AZ531"/>
  <c r="BX531" s="1"/>
  <c r="AZ533"/>
  <c r="BX533" s="1"/>
  <c r="AZ534"/>
  <c r="BX534" s="1"/>
  <c r="AZ535"/>
  <c r="BX535" s="1"/>
  <c r="AZ536"/>
  <c r="BX536" s="1"/>
  <c r="AZ537"/>
  <c r="BX537" s="1"/>
  <c r="AZ538"/>
  <c r="BX538" s="1"/>
  <c r="AZ539"/>
  <c r="BX539" s="1"/>
  <c r="AZ540"/>
  <c r="BX540" s="1"/>
  <c r="AZ541"/>
  <c r="BX541" s="1"/>
  <c r="AZ542"/>
  <c r="BX542" s="1"/>
  <c r="AZ543"/>
  <c r="BX543" s="1"/>
  <c r="AZ544"/>
  <c r="BX544" s="1"/>
  <c r="AZ545"/>
  <c r="BX545" s="1"/>
  <c r="AZ546"/>
  <c r="BX546" s="1"/>
  <c r="AZ548"/>
  <c r="BX548" s="1"/>
  <c r="AZ549"/>
  <c r="BX549" s="1"/>
  <c r="AZ551"/>
  <c r="BX551" s="1"/>
  <c r="AZ552"/>
  <c r="BX552" s="1"/>
  <c r="AZ553"/>
  <c r="BX553" s="1"/>
  <c r="AZ555"/>
  <c r="BX555" s="1"/>
  <c r="AZ556"/>
  <c r="BX556" s="1"/>
  <c r="AZ557"/>
  <c r="BX557" s="1"/>
  <c r="AZ559"/>
  <c r="BX559" s="1"/>
  <c r="AZ560"/>
  <c r="BX560" s="1"/>
  <c r="AZ561"/>
  <c r="BX561" s="1"/>
  <c r="AZ562"/>
  <c r="BX562" s="1"/>
  <c r="AZ563"/>
  <c r="BX563" s="1"/>
  <c r="AZ565"/>
  <c r="BX565" s="1"/>
  <c r="AZ566"/>
  <c r="BX566" s="1"/>
  <c r="AZ567"/>
  <c r="BX567" s="1"/>
  <c r="AZ569"/>
  <c r="BX569" s="1"/>
  <c r="AZ570"/>
  <c r="BX570" s="1"/>
  <c r="AZ572"/>
  <c r="BX572" s="1"/>
  <c r="AZ573"/>
  <c r="BX573" s="1"/>
  <c r="AZ575"/>
  <c r="BX575" s="1"/>
  <c r="AZ576"/>
  <c r="BX576" s="1"/>
  <c r="AZ577"/>
  <c r="BX577" s="1"/>
  <c r="AZ578"/>
  <c r="BX578" s="1"/>
  <c r="AZ579"/>
  <c r="BX579" s="1"/>
  <c r="AZ580"/>
  <c r="BX580" s="1"/>
  <c r="AZ581"/>
  <c r="BX581" s="1"/>
  <c r="AZ582"/>
  <c r="BX582" s="1"/>
  <c r="AZ583"/>
  <c r="BX583" s="1"/>
  <c r="AZ584"/>
  <c r="BX584" s="1"/>
  <c r="AZ586"/>
  <c r="BX586" s="1"/>
  <c r="AZ587"/>
  <c r="BX587" s="1"/>
  <c r="AZ589"/>
  <c r="BX589" s="1"/>
  <c r="AZ590"/>
  <c r="BX590" s="1"/>
  <c r="AZ592"/>
  <c r="BX592" s="1"/>
  <c r="AZ593"/>
  <c r="BX593" s="1"/>
  <c r="AZ595"/>
  <c r="BX595" s="1"/>
  <c r="AZ596"/>
  <c r="BX596" s="1"/>
  <c r="AZ597"/>
  <c r="BX597" s="1"/>
  <c r="AZ598"/>
  <c r="BX598" s="1"/>
  <c r="AZ599"/>
  <c r="BX599" s="1"/>
  <c r="AZ600"/>
  <c r="BX600" s="1"/>
  <c r="AZ601"/>
  <c r="BX601" s="1"/>
  <c r="AZ603"/>
  <c r="BX603" s="1"/>
  <c r="AZ604"/>
  <c r="BX604" s="1"/>
  <c r="AZ606"/>
  <c r="BX606" s="1"/>
  <c r="AZ607"/>
  <c r="BX607" s="1"/>
  <c r="AZ608"/>
  <c r="BX608" s="1"/>
  <c r="AZ609"/>
  <c r="BX609" s="1"/>
  <c r="AZ610"/>
  <c r="BX610" s="1"/>
  <c r="AZ611"/>
  <c r="BX611" s="1"/>
  <c r="AZ612"/>
  <c r="BX612" s="1"/>
  <c r="AZ614"/>
  <c r="BX614" s="1"/>
  <c r="AZ615"/>
  <c r="BX615" s="1"/>
  <c r="AZ616"/>
  <c r="BX616" s="1"/>
  <c r="AZ618"/>
  <c r="BX618" s="1"/>
  <c r="AZ619"/>
  <c r="BX619" s="1"/>
  <c r="AZ621"/>
  <c r="BX621" s="1"/>
  <c r="AZ622"/>
  <c r="BX622" s="1"/>
  <c r="AZ623"/>
  <c r="BX623" s="1"/>
  <c r="AZ625"/>
  <c r="BX625" s="1"/>
  <c r="AZ626"/>
  <c r="BX626" s="1"/>
  <c r="AZ627"/>
  <c r="BX627" s="1"/>
  <c r="AZ628"/>
  <c r="BX628" s="1"/>
  <c r="AZ630"/>
  <c r="BX630" s="1"/>
  <c r="AZ631"/>
  <c r="BX631" s="1"/>
  <c r="AZ633"/>
  <c r="BX633" s="1"/>
  <c r="AZ634"/>
  <c r="BX634" s="1"/>
  <c r="AZ635"/>
  <c r="BX635" s="1"/>
  <c r="AZ637"/>
  <c r="BX637" s="1"/>
  <c r="AZ638"/>
  <c r="BX638" s="1"/>
  <c r="AZ639"/>
  <c r="BX639" s="1"/>
  <c r="AZ641"/>
  <c r="BX641" s="1"/>
  <c r="AZ642"/>
  <c r="BX642" s="1"/>
  <c r="AZ644"/>
  <c r="BX644" s="1"/>
  <c r="AZ645"/>
  <c r="BX645" s="1"/>
  <c r="AZ646"/>
  <c r="BX646" s="1"/>
  <c r="AZ647"/>
  <c r="BX647" s="1"/>
  <c r="AZ648"/>
  <c r="BX648" s="1"/>
  <c r="AZ649"/>
  <c r="BX649" s="1"/>
  <c r="AZ651"/>
  <c r="BX651" s="1"/>
  <c r="AZ652"/>
  <c r="BX652" s="1"/>
  <c r="AZ654"/>
  <c r="BX654" s="1"/>
  <c r="AZ655"/>
  <c r="BX655" s="1"/>
  <c r="AZ657"/>
  <c r="BX657" s="1"/>
  <c r="AZ658"/>
  <c r="BX658" s="1"/>
  <c r="AZ660"/>
  <c r="BX660" s="1"/>
  <c r="AZ661"/>
  <c r="BX661" s="1"/>
  <c r="AZ662"/>
  <c r="BX662" s="1"/>
  <c r="AZ664"/>
  <c r="BX664" s="1"/>
  <c r="AZ665"/>
  <c r="BX665" s="1"/>
  <c r="AZ666"/>
  <c r="BX666" s="1"/>
  <c r="AZ667"/>
  <c r="BX667" s="1"/>
  <c r="AZ668"/>
  <c r="BX668" s="1"/>
  <c r="AZ669"/>
  <c r="BX669" s="1"/>
  <c r="AZ671"/>
  <c r="BX671" s="1"/>
  <c r="AZ672"/>
  <c r="BX672" s="1"/>
  <c r="AZ673"/>
  <c r="BX673" s="1"/>
  <c r="AZ674"/>
  <c r="BX674" s="1"/>
  <c r="AZ676"/>
  <c r="BX676" s="1"/>
  <c r="AZ677"/>
  <c r="BX677" s="1"/>
  <c r="AZ679"/>
  <c r="BX679" s="1"/>
  <c r="AZ680"/>
  <c r="BX680" s="1"/>
  <c r="AZ681"/>
  <c r="BX681" s="1"/>
  <c r="AZ682"/>
  <c r="BX682" s="1"/>
  <c r="AZ683"/>
  <c r="BX683" s="1"/>
  <c r="AZ684"/>
  <c r="BX684" s="1"/>
  <c r="AZ685"/>
  <c r="BX685" s="1"/>
  <c r="AZ686"/>
  <c r="BX686" s="1"/>
  <c r="AZ687"/>
  <c r="BX687" s="1"/>
  <c r="AZ689"/>
  <c r="BX689" s="1"/>
  <c r="AZ690"/>
  <c r="BX690" s="1"/>
  <c r="AZ17"/>
  <c r="BX17" s="1"/>
  <c r="AY18"/>
  <c r="BW18" s="1"/>
  <c r="AY19"/>
  <c r="BW19" s="1"/>
  <c r="AY20"/>
  <c r="BW20" s="1"/>
  <c r="AY21"/>
  <c r="BW21" s="1"/>
  <c r="AY22"/>
  <c r="BW22" s="1"/>
  <c r="AY23"/>
  <c r="BW23" s="1"/>
  <c r="AY24"/>
  <c r="BW24" s="1"/>
  <c r="AY25"/>
  <c r="BW25" s="1"/>
  <c r="AY26"/>
  <c r="BW26" s="1"/>
  <c r="AY27"/>
  <c r="BW27" s="1"/>
  <c r="AY28"/>
  <c r="BW28" s="1"/>
  <c r="AY29"/>
  <c r="BW29" s="1"/>
  <c r="AY30"/>
  <c r="BW30" s="1"/>
  <c r="AY31"/>
  <c r="BW31" s="1"/>
  <c r="AY32"/>
  <c r="BW32" s="1"/>
  <c r="AY33"/>
  <c r="BW33" s="1"/>
  <c r="AY34"/>
  <c r="BW34" s="1"/>
  <c r="AY35"/>
  <c r="BW35" s="1"/>
  <c r="AY36"/>
  <c r="BW36" s="1"/>
  <c r="AY37"/>
  <c r="BW37" s="1"/>
  <c r="AY38"/>
  <c r="BW38" s="1"/>
  <c r="AY39"/>
  <c r="BW39" s="1"/>
  <c r="AY40"/>
  <c r="BW40" s="1"/>
  <c r="AY41"/>
  <c r="BW41" s="1"/>
  <c r="AY42"/>
  <c r="BW42" s="1"/>
  <c r="AY43"/>
  <c r="BW43" s="1"/>
  <c r="AY44"/>
  <c r="BW44" s="1"/>
  <c r="AY45"/>
  <c r="BW45" s="1"/>
  <c r="AY46"/>
  <c r="BW46" s="1"/>
  <c r="AY47"/>
  <c r="BW47" s="1"/>
  <c r="AY48"/>
  <c r="BW48" s="1"/>
  <c r="AY49"/>
  <c r="BW49" s="1"/>
  <c r="AY50"/>
  <c r="BW50" s="1"/>
  <c r="AY51"/>
  <c r="BW51" s="1"/>
  <c r="AY52"/>
  <c r="BW52" s="1"/>
  <c r="AY53"/>
  <c r="BW53" s="1"/>
  <c r="AY54"/>
  <c r="BW54" s="1"/>
  <c r="AY55"/>
  <c r="BW55" s="1"/>
  <c r="AY56"/>
  <c r="BW56" s="1"/>
  <c r="AY57"/>
  <c r="BW57" s="1"/>
  <c r="AY58"/>
  <c r="BW58" s="1"/>
  <c r="AY59"/>
  <c r="BW59" s="1"/>
  <c r="AY60"/>
  <c r="BW60" s="1"/>
  <c r="AY61"/>
  <c r="BW61" s="1"/>
  <c r="AY62"/>
  <c r="BW62" s="1"/>
  <c r="AY63"/>
  <c r="BW63" s="1"/>
  <c r="AY64"/>
  <c r="BW64" s="1"/>
  <c r="AY65"/>
  <c r="BW65" s="1"/>
  <c r="AY66"/>
  <c r="BW66" s="1"/>
  <c r="AY67"/>
  <c r="BW67" s="1"/>
  <c r="AY68"/>
  <c r="BW68" s="1"/>
  <c r="AY69"/>
  <c r="BW69" s="1"/>
  <c r="AY70"/>
  <c r="BW70" s="1"/>
  <c r="AY71"/>
  <c r="BW71" s="1"/>
  <c r="AY72"/>
  <c r="BW72" s="1"/>
  <c r="AY73"/>
  <c r="BW73" s="1"/>
  <c r="AY74"/>
  <c r="BW74" s="1"/>
  <c r="AY75"/>
  <c r="BW75" s="1"/>
  <c r="AY76"/>
  <c r="BW76" s="1"/>
  <c r="AY77"/>
  <c r="BW77" s="1"/>
  <c r="AY78"/>
  <c r="BW78" s="1"/>
  <c r="AY79"/>
  <c r="BW79" s="1"/>
  <c r="AY80"/>
  <c r="BW80" s="1"/>
  <c r="AY81"/>
  <c r="BW81" s="1"/>
  <c r="AY82"/>
  <c r="BW82" s="1"/>
  <c r="AY83"/>
  <c r="BW83" s="1"/>
  <c r="AY84"/>
  <c r="BW84" s="1"/>
  <c r="AY85"/>
  <c r="BW85" s="1"/>
  <c r="AY86"/>
  <c r="BW86" s="1"/>
  <c r="AY87"/>
  <c r="BW87" s="1"/>
  <c r="AY88"/>
  <c r="BW88" s="1"/>
  <c r="AY89"/>
  <c r="BW89" s="1"/>
  <c r="AY90"/>
  <c r="BW90" s="1"/>
  <c r="AY91"/>
  <c r="BW91" s="1"/>
  <c r="AY92"/>
  <c r="BW92" s="1"/>
  <c r="AY93"/>
  <c r="BW93" s="1"/>
  <c r="AY94"/>
  <c r="BW94" s="1"/>
  <c r="AY95"/>
  <c r="BW95" s="1"/>
  <c r="AY96"/>
  <c r="BW96" s="1"/>
  <c r="AY97"/>
  <c r="BW97" s="1"/>
  <c r="AY98"/>
  <c r="BW98" s="1"/>
  <c r="AY99"/>
  <c r="BW99" s="1"/>
  <c r="AY100"/>
  <c r="BW100" s="1"/>
  <c r="AY101"/>
  <c r="BW101" s="1"/>
  <c r="AY102"/>
  <c r="BW102" s="1"/>
  <c r="AY103"/>
  <c r="BW103" s="1"/>
  <c r="AY104"/>
  <c r="BW104" s="1"/>
  <c r="AY105"/>
  <c r="BW105" s="1"/>
  <c r="AY106"/>
  <c r="BW106" s="1"/>
  <c r="AY107"/>
  <c r="BW107" s="1"/>
  <c r="AY108"/>
  <c r="BW108" s="1"/>
  <c r="AY109"/>
  <c r="BW109" s="1"/>
  <c r="AY110"/>
  <c r="BW110" s="1"/>
  <c r="AY111"/>
  <c r="BW111" s="1"/>
  <c r="AY112"/>
  <c r="BW112" s="1"/>
  <c r="AY113"/>
  <c r="BW113" s="1"/>
  <c r="AY114"/>
  <c r="BW114" s="1"/>
  <c r="AY115"/>
  <c r="BW115" s="1"/>
  <c r="AY116"/>
  <c r="BW116" s="1"/>
  <c r="AY117"/>
  <c r="BW117" s="1"/>
  <c r="AY118"/>
  <c r="BW118" s="1"/>
  <c r="AY119"/>
  <c r="BW119" s="1"/>
  <c r="AY120"/>
  <c r="BW120" s="1"/>
  <c r="AY121"/>
  <c r="BW121" s="1"/>
  <c r="AY123"/>
  <c r="BW123" s="1"/>
  <c r="AY124"/>
  <c r="BW124" s="1"/>
  <c r="AY125"/>
  <c r="BW125" s="1"/>
  <c r="AY126"/>
  <c r="BW126" s="1"/>
  <c r="AY127"/>
  <c r="BW127" s="1"/>
  <c r="AY128"/>
  <c r="BW128" s="1"/>
  <c r="AY129"/>
  <c r="BW129" s="1"/>
  <c r="AY130"/>
  <c r="BW130" s="1"/>
  <c r="AY131"/>
  <c r="BW131" s="1"/>
  <c r="AY132"/>
  <c r="BW132" s="1"/>
  <c r="AY133"/>
  <c r="BW133" s="1"/>
  <c r="AY134"/>
  <c r="BW134" s="1"/>
  <c r="AY135"/>
  <c r="BW135" s="1"/>
  <c r="AY136"/>
  <c r="BW136" s="1"/>
  <c r="AY137"/>
  <c r="BW137" s="1"/>
  <c r="AY138"/>
  <c r="BW138" s="1"/>
  <c r="AY140"/>
  <c r="BW140" s="1"/>
  <c r="AY141"/>
  <c r="BW141" s="1"/>
  <c r="AY142"/>
  <c r="BW142" s="1"/>
  <c r="AY146"/>
  <c r="BW146" s="1"/>
  <c r="AY147"/>
  <c r="BW147" s="1"/>
  <c r="AY148"/>
  <c r="BW148" s="1"/>
  <c r="AY149"/>
  <c r="BW149" s="1"/>
  <c r="AY150"/>
  <c r="BW150" s="1"/>
  <c r="AY151"/>
  <c r="BW151" s="1"/>
  <c r="AY152"/>
  <c r="BW152" s="1"/>
  <c r="AY153"/>
  <c r="BW153" s="1"/>
  <c r="AY154"/>
  <c r="BW154" s="1"/>
  <c r="AY155"/>
  <c r="BW155" s="1"/>
  <c r="AY156"/>
  <c r="BW156" s="1"/>
  <c r="AY157"/>
  <c r="BW157" s="1"/>
  <c r="AY158"/>
  <c r="BW158" s="1"/>
  <c r="AY160"/>
  <c r="BW160" s="1"/>
  <c r="AY161"/>
  <c r="BW161" s="1"/>
  <c r="AY163"/>
  <c r="BW163" s="1"/>
  <c r="AY164"/>
  <c r="BW164" s="1"/>
  <c r="AY165"/>
  <c r="BW165" s="1"/>
  <c r="AY166"/>
  <c r="BW166" s="1"/>
  <c r="AY167"/>
  <c r="BW167" s="1"/>
  <c r="AY169"/>
  <c r="BW169" s="1"/>
  <c r="AY170"/>
  <c r="BW170" s="1"/>
  <c r="AY171"/>
  <c r="BW171" s="1"/>
  <c r="AY172"/>
  <c r="BW172" s="1"/>
  <c r="AY173"/>
  <c r="BW173" s="1"/>
  <c r="AY174"/>
  <c r="BW174" s="1"/>
  <c r="AY175"/>
  <c r="BW175" s="1"/>
  <c r="AY176"/>
  <c r="BW176" s="1"/>
  <c r="AY177"/>
  <c r="BW177" s="1"/>
  <c r="AY178"/>
  <c r="BW178" s="1"/>
  <c r="AY179"/>
  <c r="BW179" s="1"/>
  <c r="AY180"/>
  <c r="BW180" s="1"/>
  <c r="AY181"/>
  <c r="BW181" s="1"/>
  <c r="AY182"/>
  <c r="BW182" s="1"/>
  <c r="AY184"/>
  <c r="BW184" s="1"/>
  <c r="AY185"/>
  <c r="BW185" s="1"/>
  <c r="AY186"/>
  <c r="BW186" s="1"/>
  <c r="AY187"/>
  <c r="BW187" s="1"/>
  <c r="AY189"/>
  <c r="BW189" s="1"/>
  <c r="AY190"/>
  <c r="BW190" s="1"/>
  <c r="AY191"/>
  <c r="BW191" s="1"/>
  <c r="AY192"/>
  <c r="BW192" s="1"/>
  <c r="AY193"/>
  <c r="BW193" s="1"/>
  <c r="AY194"/>
  <c r="BW194" s="1"/>
  <c r="AY195"/>
  <c r="BW195" s="1"/>
  <c r="AY196"/>
  <c r="BW196" s="1"/>
  <c r="AY198"/>
  <c r="BW198" s="1"/>
  <c r="AY199"/>
  <c r="BW199" s="1"/>
  <c r="AY200"/>
  <c r="BW200" s="1"/>
  <c r="AY201"/>
  <c r="BW201" s="1"/>
  <c r="AY203"/>
  <c r="BW203" s="1"/>
  <c r="AY204"/>
  <c r="BW204" s="1"/>
  <c r="AY205"/>
  <c r="BW205" s="1"/>
  <c r="AY206"/>
  <c r="BW206" s="1"/>
  <c r="AY207"/>
  <c r="BW207" s="1"/>
  <c r="AY209"/>
  <c r="BW209" s="1"/>
  <c r="AY210"/>
  <c r="BW210" s="1"/>
  <c r="AY211"/>
  <c r="BW211" s="1"/>
  <c r="AY212"/>
  <c r="BW212" s="1"/>
  <c r="AY213"/>
  <c r="BW213" s="1"/>
  <c r="AY214"/>
  <c r="BW214" s="1"/>
  <c r="AY215"/>
  <c r="BW215" s="1"/>
  <c r="AY216"/>
  <c r="BW216" s="1"/>
  <c r="AY217"/>
  <c r="BW217" s="1"/>
  <c r="AY218"/>
  <c r="BW218" s="1"/>
  <c r="AY219"/>
  <c r="BW219" s="1"/>
  <c r="AY220"/>
  <c r="BW220" s="1"/>
  <c r="AY221"/>
  <c r="BW221" s="1"/>
  <c r="AY222"/>
  <c r="BW222" s="1"/>
  <c r="AY223"/>
  <c r="BW223" s="1"/>
  <c r="AY224"/>
  <c r="BW224" s="1"/>
  <c r="AY226"/>
  <c r="BW226" s="1"/>
  <c r="AY227"/>
  <c r="BW227" s="1"/>
  <c r="AY228"/>
  <c r="BW228" s="1"/>
  <c r="AY230"/>
  <c r="BW230" s="1"/>
  <c r="AY231"/>
  <c r="BW231" s="1"/>
  <c r="AY232"/>
  <c r="BW232" s="1"/>
  <c r="AY234"/>
  <c r="BW234" s="1"/>
  <c r="AY235"/>
  <c r="BW235" s="1"/>
  <c r="AY237"/>
  <c r="BW237" s="1"/>
  <c r="AY238"/>
  <c r="BW238" s="1"/>
  <c r="AY240"/>
  <c r="BW240" s="1"/>
  <c r="AY241"/>
  <c r="BW241" s="1"/>
  <c r="AY243"/>
  <c r="BW243" s="1"/>
  <c r="AY244"/>
  <c r="BW244" s="1"/>
  <c r="AY246"/>
  <c r="BW246" s="1"/>
  <c r="AY247"/>
  <c r="BW247" s="1"/>
  <c r="AY248"/>
  <c r="BW248" s="1"/>
  <c r="AY249"/>
  <c r="BW249" s="1"/>
  <c r="AY250"/>
  <c r="BW250" s="1"/>
  <c r="AY251"/>
  <c r="BW251" s="1"/>
  <c r="AY252"/>
  <c r="BW252" s="1"/>
  <c r="AY253"/>
  <c r="BW253" s="1"/>
  <c r="AY254"/>
  <c r="BW254" s="1"/>
  <c r="AY255"/>
  <c r="BW255" s="1"/>
  <c r="AY256"/>
  <c r="BW256" s="1"/>
  <c r="AY257"/>
  <c r="BW257" s="1"/>
  <c r="AY259"/>
  <c r="BW259" s="1"/>
  <c r="AY260"/>
  <c r="BW260" s="1"/>
  <c r="AY262"/>
  <c r="BW262" s="1"/>
  <c r="AY263"/>
  <c r="BW263" s="1"/>
  <c r="AY265"/>
  <c r="BW265" s="1"/>
  <c r="AY266"/>
  <c r="BW266" s="1"/>
  <c r="AY267"/>
  <c r="BW267" s="1"/>
  <c r="AY268"/>
  <c r="BW268" s="1"/>
  <c r="AY269"/>
  <c r="BW269" s="1"/>
  <c r="AY271"/>
  <c r="BW271" s="1"/>
  <c r="AY272"/>
  <c r="BW272" s="1"/>
  <c r="AY274"/>
  <c r="BW274" s="1"/>
  <c r="AY275"/>
  <c r="BW275" s="1"/>
  <c r="AY276"/>
  <c r="BW276" s="1"/>
  <c r="AY277"/>
  <c r="BW277" s="1"/>
  <c r="AY278"/>
  <c r="BW278" s="1"/>
  <c r="AY279"/>
  <c r="BW279" s="1"/>
  <c r="AY280"/>
  <c r="BW280" s="1"/>
  <c r="AY282"/>
  <c r="BW282" s="1"/>
  <c r="AY283"/>
  <c r="BW283" s="1"/>
  <c r="AY284"/>
  <c r="BW284" s="1"/>
  <c r="AY285"/>
  <c r="BW285" s="1"/>
  <c r="AY287"/>
  <c r="BW287" s="1"/>
  <c r="AY288"/>
  <c r="BW288" s="1"/>
  <c r="AY290"/>
  <c r="BW290" s="1"/>
  <c r="AY291"/>
  <c r="BW291" s="1"/>
  <c r="AY293"/>
  <c r="BW293" s="1"/>
  <c r="AY294"/>
  <c r="BW294" s="1"/>
  <c r="AY295"/>
  <c r="BW295" s="1"/>
  <c r="AY296"/>
  <c r="BW296" s="1"/>
  <c r="AY297"/>
  <c r="BW297" s="1"/>
  <c r="AY298"/>
  <c r="BW298" s="1"/>
  <c r="AY300"/>
  <c r="BW300" s="1"/>
  <c r="AY301"/>
  <c r="BW301" s="1"/>
  <c r="AY303"/>
  <c r="BW303" s="1"/>
  <c r="AY304"/>
  <c r="BW304" s="1"/>
  <c r="AY305"/>
  <c r="BW305" s="1"/>
  <c r="AY307"/>
  <c r="BW307" s="1"/>
  <c r="AY308"/>
  <c r="BW308" s="1"/>
  <c r="AY309"/>
  <c r="BW309" s="1"/>
  <c r="AY311"/>
  <c r="BW311" s="1"/>
  <c r="AY312"/>
  <c r="BW312" s="1"/>
  <c r="AY313"/>
  <c r="BW313" s="1"/>
  <c r="AY315"/>
  <c r="BW315" s="1"/>
  <c r="AY316"/>
  <c r="BW316" s="1"/>
  <c r="AY317"/>
  <c r="BW317" s="1"/>
  <c r="AY318"/>
  <c r="BW318" s="1"/>
  <c r="AY320"/>
  <c r="BW320" s="1"/>
  <c r="AY321"/>
  <c r="BW321" s="1"/>
  <c r="AY323"/>
  <c r="BW323" s="1"/>
  <c r="AY324"/>
  <c r="BW324" s="1"/>
  <c r="AY326"/>
  <c r="BW326" s="1"/>
  <c r="AY327"/>
  <c r="BW327" s="1"/>
  <c r="AY329"/>
  <c r="BW329" s="1"/>
  <c r="AY330"/>
  <c r="BW330" s="1"/>
  <c r="AY331"/>
  <c r="BW331" s="1"/>
  <c r="AY332"/>
  <c r="BW332" s="1"/>
  <c r="AY334"/>
  <c r="BW334" s="1"/>
  <c r="AY335"/>
  <c r="BW335" s="1"/>
  <c r="AY336"/>
  <c r="BW336" s="1"/>
  <c r="AY337"/>
  <c r="BW337" s="1"/>
  <c r="AY338"/>
  <c r="BW338" s="1"/>
  <c r="AY339"/>
  <c r="BW339" s="1"/>
  <c r="AY340"/>
  <c r="BW340" s="1"/>
  <c r="AY341"/>
  <c r="BW341" s="1"/>
  <c r="AY343"/>
  <c r="BW343" s="1"/>
  <c r="AY344"/>
  <c r="BW344" s="1"/>
  <c r="AY346"/>
  <c r="BW346" s="1"/>
  <c r="AY347"/>
  <c r="BW347" s="1"/>
  <c r="AY348"/>
  <c r="BW348" s="1"/>
  <c r="AY349"/>
  <c r="BW349" s="1"/>
  <c r="AY350"/>
  <c r="BW350" s="1"/>
  <c r="AY351"/>
  <c r="BW351" s="1"/>
  <c r="AY352"/>
  <c r="BW352" s="1"/>
  <c r="AY353"/>
  <c r="BW353" s="1"/>
  <c r="AY354"/>
  <c r="BW354" s="1"/>
  <c r="AY355"/>
  <c r="BW355" s="1"/>
  <c r="AY356"/>
  <c r="BW356" s="1"/>
  <c r="AY358"/>
  <c r="BW358" s="1"/>
  <c r="AY360"/>
  <c r="BW360" s="1"/>
  <c r="AY361"/>
  <c r="BW361" s="1"/>
  <c r="AY362"/>
  <c r="BW362" s="1"/>
  <c r="AY363"/>
  <c r="BW363" s="1"/>
  <c r="AY364"/>
  <c r="BW364" s="1"/>
  <c r="AY365"/>
  <c r="BW365" s="1"/>
  <c r="AY366"/>
  <c r="BW366" s="1"/>
  <c r="AY367"/>
  <c r="BW367" s="1"/>
  <c r="AY368"/>
  <c r="BW368" s="1"/>
  <c r="AY369"/>
  <c r="BW369" s="1"/>
  <c r="AY370"/>
  <c r="BW370" s="1"/>
  <c r="AY371"/>
  <c r="BW371" s="1"/>
  <c r="AY372"/>
  <c r="BW372" s="1"/>
  <c r="AY373"/>
  <c r="BW373" s="1"/>
  <c r="AY374"/>
  <c r="BW374" s="1"/>
  <c r="AY375"/>
  <c r="BW375" s="1"/>
  <c r="AY376"/>
  <c r="BW376" s="1"/>
  <c r="AY377"/>
  <c r="BW377" s="1"/>
  <c r="AY378"/>
  <c r="BW378" s="1"/>
  <c r="AY379"/>
  <c r="BW379" s="1"/>
  <c r="AY380"/>
  <c r="BW380" s="1"/>
  <c r="AY381"/>
  <c r="BW381" s="1"/>
  <c r="AY382"/>
  <c r="BW382" s="1"/>
  <c r="AY383"/>
  <c r="BW383" s="1"/>
  <c r="AY384"/>
  <c r="BW384" s="1"/>
  <c r="AY385"/>
  <c r="BW385" s="1"/>
  <c r="AY386"/>
  <c r="BW386" s="1"/>
  <c r="AY387"/>
  <c r="BW387" s="1"/>
  <c r="AY388"/>
  <c r="BW388" s="1"/>
  <c r="AY389"/>
  <c r="BW389" s="1"/>
  <c r="AY390"/>
  <c r="BW390" s="1"/>
  <c r="AY391"/>
  <c r="BW391" s="1"/>
  <c r="AY392"/>
  <c r="BW392" s="1"/>
  <c r="AY393"/>
  <c r="BW393" s="1"/>
  <c r="AY394"/>
  <c r="BW394" s="1"/>
  <c r="AY395"/>
  <c r="BW395" s="1"/>
  <c r="AY396"/>
  <c r="BW396" s="1"/>
  <c r="AY397"/>
  <c r="BW397" s="1"/>
  <c r="AY398"/>
  <c r="BW398" s="1"/>
  <c r="AY399"/>
  <c r="BW399" s="1"/>
  <c r="AY400"/>
  <c r="BW400" s="1"/>
  <c r="AY401"/>
  <c r="BW401" s="1"/>
  <c r="AY402"/>
  <c r="BW402" s="1"/>
  <c r="AY403"/>
  <c r="BW403" s="1"/>
  <c r="AY404"/>
  <c r="BW404" s="1"/>
  <c r="AY405"/>
  <c r="BW405" s="1"/>
  <c r="AY406"/>
  <c r="BW406" s="1"/>
  <c r="AY407"/>
  <c r="BW407" s="1"/>
  <c r="AY408"/>
  <c r="BW408" s="1"/>
  <c r="AY409"/>
  <c r="BW409" s="1"/>
  <c r="AY410"/>
  <c r="BW410" s="1"/>
  <c r="AY411"/>
  <c r="BW411" s="1"/>
  <c r="AY412"/>
  <c r="BW412" s="1"/>
  <c r="AY413"/>
  <c r="BW413" s="1"/>
  <c r="AY414"/>
  <c r="BW414" s="1"/>
  <c r="AY415"/>
  <c r="BW415" s="1"/>
  <c r="AY416"/>
  <c r="BW416" s="1"/>
  <c r="AY417"/>
  <c r="BW417" s="1"/>
  <c r="AY418"/>
  <c r="BW418" s="1"/>
  <c r="AY419"/>
  <c r="BW419" s="1"/>
  <c r="AY420"/>
  <c r="BW420" s="1"/>
  <c r="AY421"/>
  <c r="BW421" s="1"/>
  <c r="AY422"/>
  <c r="BW422" s="1"/>
  <c r="AY423"/>
  <c r="BW423" s="1"/>
  <c r="AY424"/>
  <c r="BW424" s="1"/>
  <c r="AY425"/>
  <c r="BW425" s="1"/>
  <c r="AY426"/>
  <c r="BW426" s="1"/>
  <c r="AY427"/>
  <c r="BW427" s="1"/>
  <c r="AY428"/>
  <c r="BW428" s="1"/>
  <c r="AY429"/>
  <c r="BW429" s="1"/>
  <c r="AY430"/>
  <c r="BW430" s="1"/>
  <c r="AY431"/>
  <c r="BW431" s="1"/>
  <c r="AY432"/>
  <c r="BW432" s="1"/>
  <c r="AY433"/>
  <c r="BW433" s="1"/>
  <c r="AY434"/>
  <c r="BW434" s="1"/>
  <c r="AY435"/>
  <c r="BW435" s="1"/>
  <c r="AY436"/>
  <c r="BW436" s="1"/>
  <c r="AY437"/>
  <c r="BW437" s="1"/>
  <c r="AY438"/>
  <c r="BW438" s="1"/>
  <c r="AY439"/>
  <c r="BW439" s="1"/>
  <c r="AY440"/>
  <c r="BW440" s="1"/>
  <c r="AY441"/>
  <c r="BW441" s="1"/>
  <c r="AY442"/>
  <c r="BW442" s="1"/>
  <c r="AY443"/>
  <c r="BW443" s="1"/>
  <c r="AY444"/>
  <c r="BW444" s="1"/>
  <c r="AY445"/>
  <c r="BW445" s="1"/>
  <c r="AY446"/>
  <c r="BW446" s="1"/>
  <c r="AY447"/>
  <c r="BW447" s="1"/>
  <c r="AY448"/>
  <c r="BW448" s="1"/>
  <c r="AY449"/>
  <c r="BW449" s="1"/>
  <c r="AY450"/>
  <c r="BW450" s="1"/>
  <c r="AY451"/>
  <c r="BW451" s="1"/>
  <c r="AY452"/>
  <c r="BW452" s="1"/>
  <c r="AY453"/>
  <c r="BW453" s="1"/>
  <c r="AY454"/>
  <c r="BW454" s="1"/>
  <c r="AY455"/>
  <c r="BW455" s="1"/>
  <c r="AY456"/>
  <c r="BW456" s="1"/>
  <c r="AY457"/>
  <c r="BW457" s="1"/>
  <c r="AY458"/>
  <c r="BW458" s="1"/>
  <c r="AY459"/>
  <c r="BW459" s="1"/>
  <c r="AY460"/>
  <c r="BW460" s="1"/>
  <c r="AY461"/>
  <c r="BW461" s="1"/>
  <c r="AY462"/>
  <c r="BW462" s="1"/>
  <c r="AY463"/>
  <c r="BW463" s="1"/>
  <c r="AY464"/>
  <c r="BW464" s="1"/>
  <c r="AY465"/>
  <c r="BW465" s="1"/>
  <c r="AY466"/>
  <c r="BW466" s="1"/>
  <c r="AY467"/>
  <c r="BW467" s="1"/>
  <c r="AY468"/>
  <c r="BW468" s="1"/>
  <c r="AY469"/>
  <c r="BW469" s="1"/>
  <c r="AY470"/>
  <c r="BW470" s="1"/>
  <c r="AY471"/>
  <c r="BW471" s="1"/>
  <c r="AY472"/>
  <c r="BW472" s="1"/>
  <c r="AY473"/>
  <c r="BW473" s="1"/>
  <c r="AY474"/>
  <c r="BW474" s="1"/>
  <c r="AY475"/>
  <c r="BW475" s="1"/>
  <c r="AY476"/>
  <c r="BW476" s="1"/>
  <c r="AY477"/>
  <c r="BW477" s="1"/>
  <c r="AY478"/>
  <c r="BW478" s="1"/>
  <c r="AY479"/>
  <c r="BW479" s="1"/>
  <c r="AY480"/>
  <c r="BW480" s="1"/>
  <c r="AY481"/>
  <c r="BW481" s="1"/>
  <c r="AY482"/>
  <c r="BW482" s="1"/>
  <c r="AY483"/>
  <c r="BW483" s="1"/>
  <c r="AY484"/>
  <c r="BW484" s="1"/>
  <c r="AY485"/>
  <c r="BW485" s="1"/>
  <c r="AY486"/>
  <c r="BW486" s="1"/>
  <c r="AY487"/>
  <c r="BW487" s="1"/>
  <c r="AY488"/>
  <c r="BW488" s="1"/>
  <c r="AY489"/>
  <c r="BW489" s="1"/>
  <c r="AY490"/>
  <c r="BW490" s="1"/>
  <c r="AY491"/>
  <c r="BW491" s="1"/>
  <c r="AY492"/>
  <c r="BW492" s="1"/>
  <c r="AY494"/>
  <c r="BW494" s="1"/>
  <c r="AY495"/>
  <c r="BW495" s="1"/>
  <c r="AY496"/>
  <c r="BW496" s="1"/>
  <c r="AY497"/>
  <c r="BW497" s="1"/>
  <c r="AY498"/>
  <c r="BW498" s="1"/>
  <c r="AY499"/>
  <c r="BW499" s="1"/>
  <c r="AY500"/>
  <c r="BW500" s="1"/>
  <c r="AY501"/>
  <c r="BW501" s="1"/>
  <c r="AY503"/>
  <c r="BW503" s="1"/>
  <c r="AY504"/>
  <c r="BW504" s="1"/>
  <c r="AY505"/>
  <c r="BW505" s="1"/>
  <c r="AY506"/>
  <c r="BW506" s="1"/>
  <c r="AY507"/>
  <c r="BW507" s="1"/>
  <c r="AY508"/>
  <c r="BW508" s="1"/>
  <c r="AY509"/>
  <c r="BW509" s="1"/>
  <c r="AY510"/>
  <c r="BW510" s="1"/>
  <c r="AY511"/>
  <c r="BW511" s="1"/>
  <c r="AY512"/>
  <c r="BW512" s="1"/>
  <c r="AY513"/>
  <c r="BW513" s="1"/>
  <c r="AY514"/>
  <c r="BW514" s="1"/>
  <c r="AY515"/>
  <c r="BW515" s="1"/>
  <c r="AY517"/>
  <c r="BW517" s="1"/>
  <c r="AY518"/>
  <c r="BW518" s="1"/>
  <c r="AY519"/>
  <c r="BW519" s="1"/>
  <c r="AY520"/>
  <c r="BW520" s="1"/>
  <c r="AY522"/>
  <c r="BW522" s="1"/>
  <c r="AY523"/>
  <c r="BW523" s="1"/>
  <c r="AY524"/>
  <c r="BW524" s="1"/>
  <c r="AY525"/>
  <c r="BW525" s="1"/>
  <c r="AY526"/>
  <c r="BW526" s="1"/>
  <c r="AY527"/>
  <c r="BW527" s="1"/>
  <c r="AY529"/>
  <c r="BW529" s="1"/>
  <c r="AY530"/>
  <c r="BW530" s="1"/>
  <c r="AY531"/>
  <c r="BW531" s="1"/>
  <c r="AY533"/>
  <c r="BW533" s="1"/>
  <c r="AY534"/>
  <c r="BW534" s="1"/>
  <c r="AY535"/>
  <c r="BW535" s="1"/>
  <c r="AY536"/>
  <c r="BW536" s="1"/>
  <c r="AY537"/>
  <c r="BW537" s="1"/>
  <c r="AY538"/>
  <c r="BW538" s="1"/>
  <c r="AY539"/>
  <c r="BW539" s="1"/>
  <c r="AY540"/>
  <c r="BW540" s="1"/>
  <c r="AY541"/>
  <c r="BW541" s="1"/>
  <c r="AY542"/>
  <c r="BW542" s="1"/>
  <c r="AY543"/>
  <c r="BW543" s="1"/>
  <c r="AY544"/>
  <c r="BW544" s="1"/>
  <c r="AY545"/>
  <c r="BW545" s="1"/>
  <c r="AY546"/>
  <c r="BW546" s="1"/>
  <c r="AY548"/>
  <c r="BW548" s="1"/>
  <c r="AY549"/>
  <c r="BW549" s="1"/>
  <c r="AY551"/>
  <c r="BW551" s="1"/>
  <c r="AY552"/>
  <c r="BW552" s="1"/>
  <c r="AY553"/>
  <c r="BW553" s="1"/>
  <c r="AY555"/>
  <c r="BW555" s="1"/>
  <c r="AY556"/>
  <c r="BW556" s="1"/>
  <c r="AY557"/>
  <c r="BW557" s="1"/>
  <c r="AY559"/>
  <c r="BW559" s="1"/>
  <c r="AY560"/>
  <c r="BW560" s="1"/>
  <c r="AY561"/>
  <c r="BW561" s="1"/>
  <c r="AY562"/>
  <c r="BW562" s="1"/>
  <c r="AY563"/>
  <c r="BW563" s="1"/>
  <c r="AY565"/>
  <c r="BW565" s="1"/>
  <c r="AY566"/>
  <c r="BW566" s="1"/>
  <c r="AY567"/>
  <c r="BW567" s="1"/>
  <c r="AY569"/>
  <c r="BW569" s="1"/>
  <c r="AY570"/>
  <c r="BW570" s="1"/>
  <c r="AY572"/>
  <c r="BW572" s="1"/>
  <c r="AY573"/>
  <c r="BW573" s="1"/>
  <c r="AY575"/>
  <c r="BW575" s="1"/>
  <c r="AY576"/>
  <c r="BW576" s="1"/>
  <c r="AY577"/>
  <c r="BW577" s="1"/>
  <c r="AY578"/>
  <c r="BW578" s="1"/>
  <c r="AY579"/>
  <c r="BW579" s="1"/>
  <c r="AY580"/>
  <c r="BW580" s="1"/>
  <c r="AY581"/>
  <c r="BW581" s="1"/>
  <c r="AY582"/>
  <c r="BW582" s="1"/>
  <c r="AY583"/>
  <c r="BW583" s="1"/>
  <c r="AY584"/>
  <c r="BW584" s="1"/>
  <c r="AY586"/>
  <c r="BW586" s="1"/>
  <c r="AY587"/>
  <c r="BW587" s="1"/>
  <c r="AY589"/>
  <c r="BW589" s="1"/>
  <c r="AY590"/>
  <c r="BW590" s="1"/>
  <c r="AY592"/>
  <c r="BW592" s="1"/>
  <c r="AY593"/>
  <c r="BW593" s="1"/>
  <c r="AY595"/>
  <c r="BW595" s="1"/>
  <c r="AY596"/>
  <c r="BW596" s="1"/>
  <c r="AY597"/>
  <c r="BW597" s="1"/>
  <c r="AY598"/>
  <c r="BW598" s="1"/>
  <c r="AY599"/>
  <c r="BW599" s="1"/>
  <c r="AY600"/>
  <c r="BW600" s="1"/>
  <c r="AY601"/>
  <c r="BW601" s="1"/>
  <c r="AY603"/>
  <c r="BW603" s="1"/>
  <c r="AY604"/>
  <c r="BW604" s="1"/>
  <c r="AY606"/>
  <c r="BW606" s="1"/>
  <c r="AY607"/>
  <c r="BW607" s="1"/>
  <c r="AY608"/>
  <c r="BW608" s="1"/>
  <c r="AY609"/>
  <c r="BW609" s="1"/>
  <c r="AY610"/>
  <c r="BW610" s="1"/>
  <c r="AY611"/>
  <c r="BW611" s="1"/>
  <c r="AY612"/>
  <c r="BW612" s="1"/>
  <c r="AY614"/>
  <c r="BW614" s="1"/>
  <c r="AY615"/>
  <c r="BW615" s="1"/>
  <c r="AY616"/>
  <c r="BW616" s="1"/>
  <c r="AY618"/>
  <c r="BW618" s="1"/>
  <c r="AY619"/>
  <c r="BW619" s="1"/>
  <c r="AY621"/>
  <c r="BW621" s="1"/>
  <c r="AY622"/>
  <c r="BW622" s="1"/>
  <c r="AY623"/>
  <c r="BW623" s="1"/>
  <c r="AY625"/>
  <c r="BW625" s="1"/>
  <c r="AY626"/>
  <c r="BW626" s="1"/>
  <c r="AY628"/>
  <c r="BW628" s="1"/>
  <c r="AY630"/>
  <c r="BW630" s="1"/>
  <c r="AY631"/>
  <c r="BW631" s="1"/>
  <c r="AY633"/>
  <c r="BW633" s="1"/>
  <c r="AY634"/>
  <c r="BW634" s="1"/>
  <c r="AY635"/>
  <c r="BW635" s="1"/>
  <c r="AY637"/>
  <c r="BW637" s="1"/>
  <c r="AY638"/>
  <c r="BW638" s="1"/>
  <c r="AY639"/>
  <c r="BW639" s="1"/>
  <c r="AY641"/>
  <c r="BW641" s="1"/>
  <c r="AY642"/>
  <c r="BW642" s="1"/>
  <c r="AY644"/>
  <c r="BW644" s="1"/>
  <c r="AY645"/>
  <c r="BW645" s="1"/>
  <c r="AY646"/>
  <c r="BW646" s="1"/>
  <c r="AY647"/>
  <c r="BW647" s="1"/>
  <c r="AY648"/>
  <c r="BW648" s="1"/>
  <c r="AY649"/>
  <c r="BW649" s="1"/>
  <c r="AY651"/>
  <c r="BW651" s="1"/>
  <c r="AY652"/>
  <c r="BW652" s="1"/>
  <c r="AY654"/>
  <c r="BW654" s="1"/>
  <c r="AY655"/>
  <c r="BW655" s="1"/>
  <c r="AY657"/>
  <c r="BW657" s="1"/>
  <c r="AY658"/>
  <c r="BW658" s="1"/>
  <c r="AY660"/>
  <c r="BW660" s="1"/>
  <c r="AY661"/>
  <c r="BW661" s="1"/>
  <c r="AY662"/>
  <c r="BW662" s="1"/>
  <c r="AY664"/>
  <c r="BW664" s="1"/>
  <c r="AY665"/>
  <c r="BW665" s="1"/>
  <c r="AY666"/>
  <c r="BW666" s="1"/>
  <c r="AY667"/>
  <c r="BW667" s="1"/>
  <c r="AY668"/>
  <c r="BW668" s="1"/>
  <c r="AY669"/>
  <c r="BW669" s="1"/>
  <c r="AY671"/>
  <c r="BW671" s="1"/>
  <c r="AY672"/>
  <c r="BW672" s="1"/>
  <c r="AY673"/>
  <c r="BW673" s="1"/>
  <c r="AY674"/>
  <c r="BW674" s="1"/>
  <c r="AY676"/>
  <c r="BW676" s="1"/>
  <c r="AY677"/>
  <c r="BW677" s="1"/>
  <c r="AY679"/>
  <c r="BW679" s="1"/>
  <c r="AY680"/>
  <c r="BW680" s="1"/>
  <c r="AY681"/>
  <c r="BW681" s="1"/>
  <c r="AY682"/>
  <c r="BW682" s="1"/>
  <c r="AY683"/>
  <c r="BW683" s="1"/>
  <c r="AY684"/>
  <c r="BW684" s="1"/>
  <c r="AY685"/>
  <c r="BW685" s="1"/>
  <c r="AY686"/>
  <c r="BW686" s="1"/>
  <c r="AY687"/>
  <c r="BW687" s="1"/>
  <c r="AY689"/>
  <c r="BW689" s="1"/>
  <c r="AY690"/>
  <c r="BW690" s="1"/>
  <c r="AY17"/>
  <c r="BW17" s="1"/>
  <c r="AX18"/>
  <c r="BV18" s="1"/>
  <c r="AX19"/>
  <c r="BV19" s="1"/>
  <c r="AX20"/>
  <c r="BV20" s="1"/>
  <c r="AX21"/>
  <c r="BV21" s="1"/>
  <c r="AX22"/>
  <c r="BV22" s="1"/>
  <c r="AX23"/>
  <c r="BV23" s="1"/>
  <c r="AX24"/>
  <c r="BV24" s="1"/>
  <c r="AX25"/>
  <c r="BV25" s="1"/>
  <c r="AX26"/>
  <c r="BV26" s="1"/>
  <c r="AX27"/>
  <c r="BV27" s="1"/>
  <c r="AX28"/>
  <c r="BV28" s="1"/>
  <c r="AX29"/>
  <c r="BV29" s="1"/>
  <c r="AX30"/>
  <c r="BV30" s="1"/>
  <c r="AX31"/>
  <c r="BV31" s="1"/>
  <c r="AX32"/>
  <c r="BV32" s="1"/>
  <c r="AX33"/>
  <c r="BV33" s="1"/>
  <c r="AX34"/>
  <c r="BV34" s="1"/>
  <c r="AX35"/>
  <c r="BV35" s="1"/>
  <c r="AX36"/>
  <c r="BV36" s="1"/>
  <c r="AX37"/>
  <c r="BV37" s="1"/>
  <c r="AX38"/>
  <c r="BV38" s="1"/>
  <c r="AX39"/>
  <c r="BV39" s="1"/>
  <c r="AX40"/>
  <c r="BV40" s="1"/>
  <c r="AX41"/>
  <c r="BV41" s="1"/>
  <c r="AX42"/>
  <c r="BV42" s="1"/>
  <c r="AX43"/>
  <c r="BV43" s="1"/>
  <c r="AX44"/>
  <c r="BV44" s="1"/>
  <c r="AX45"/>
  <c r="BV45" s="1"/>
  <c r="AX46"/>
  <c r="BV46" s="1"/>
  <c r="AX47"/>
  <c r="BV47" s="1"/>
  <c r="AX48"/>
  <c r="BV48" s="1"/>
  <c r="AX49"/>
  <c r="BV49" s="1"/>
  <c r="AX50"/>
  <c r="BV50" s="1"/>
  <c r="AX51"/>
  <c r="BV51" s="1"/>
  <c r="AX52"/>
  <c r="BV52" s="1"/>
  <c r="AX53"/>
  <c r="BV53" s="1"/>
  <c r="AX54"/>
  <c r="BV54" s="1"/>
  <c r="AX55"/>
  <c r="BV55" s="1"/>
  <c r="AX56"/>
  <c r="BV56" s="1"/>
  <c r="AX57"/>
  <c r="BV57" s="1"/>
  <c r="AX58"/>
  <c r="BV58" s="1"/>
  <c r="AX59"/>
  <c r="BV59" s="1"/>
  <c r="AX60"/>
  <c r="BV60" s="1"/>
  <c r="AX61"/>
  <c r="BV61" s="1"/>
  <c r="AX62"/>
  <c r="BV62" s="1"/>
  <c r="AX63"/>
  <c r="BV63" s="1"/>
  <c r="AX64"/>
  <c r="BV64" s="1"/>
  <c r="AX65"/>
  <c r="BV65" s="1"/>
  <c r="AX66"/>
  <c r="BV66" s="1"/>
  <c r="AX67"/>
  <c r="BV67" s="1"/>
  <c r="AX68"/>
  <c r="BV68" s="1"/>
  <c r="AX69"/>
  <c r="BV69" s="1"/>
  <c r="AX70"/>
  <c r="BV70" s="1"/>
  <c r="AX71"/>
  <c r="BV71" s="1"/>
  <c r="AX72"/>
  <c r="BV72" s="1"/>
  <c r="AX73"/>
  <c r="BV73" s="1"/>
  <c r="AX74"/>
  <c r="BV74" s="1"/>
  <c r="AX75"/>
  <c r="BV75" s="1"/>
  <c r="AX76"/>
  <c r="BV76" s="1"/>
  <c r="AX77"/>
  <c r="BV77" s="1"/>
  <c r="AX78"/>
  <c r="BV78" s="1"/>
  <c r="AX79"/>
  <c r="BV79" s="1"/>
  <c r="AX80"/>
  <c r="BV80" s="1"/>
  <c r="AX81"/>
  <c r="BV81" s="1"/>
  <c r="AX82"/>
  <c r="BV82" s="1"/>
  <c r="AX83"/>
  <c r="BV83" s="1"/>
  <c r="AX84"/>
  <c r="BV84" s="1"/>
  <c r="AX85"/>
  <c r="BV85" s="1"/>
  <c r="AX86"/>
  <c r="BV86" s="1"/>
  <c r="AX87"/>
  <c r="BV87" s="1"/>
  <c r="AX88"/>
  <c r="BV88" s="1"/>
  <c r="AX89"/>
  <c r="BV89" s="1"/>
  <c r="AX90"/>
  <c r="BV90" s="1"/>
  <c r="AX91"/>
  <c r="BV91" s="1"/>
  <c r="AX92"/>
  <c r="BV92" s="1"/>
  <c r="AX93"/>
  <c r="BV93" s="1"/>
  <c r="AX94"/>
  <c r="BV94" s="1"/>
  <c r="AX95"/>
  <c r="BV95" s="1"/>
  <c r="AX96"/>
  <c r="BV96" s="1"/>
  <c r="AX97"/>
  <c r="BV97" s="1"/>
  <c r="AX98"/>
  <c r="BV98" s="1"/>
  <c r="AX99"/>
  <c r="BV99" s="1"/>
  <c r="AX100"/>
  <c r="BV100" s="1"/>
  <c r="AX101"/>
  <c r="BV101" s="1"/>
  <c r="AX102"/>
  <c r="BV102" s="1"/>
  <c r="AX103"/>
  <c r="BV103" s="1"/>
  <c r="AX104"/>
  <c r="BV104" s="1"/>
  <c r="AX105"/>
  <c r="BV105" s="1"/>
  <c r="AX106"/>
  <c r="BV106" s="1"/>
  <c r="AX107"/>
  <c r="BV107" s="1"/>
  <c r="AX108"/>
  <c r="BV108" s="1"/>
  <c r="AX109"/>
  <c r="BV109" s="1"/>
  <c r="AX110"/>
  <c r="BV110" s="1"/>
  <c r="AX111"/>
  <c r="BV111" s="1"/>
  <c r="AX112"/>
  <c r="BV112" s="1"/>
  <c r="AX113"/>
  <c r="BV113" s="1"/>
  <c r="AX114"/>
  <c r="BV114" s="1"/>
  <c r="AX115"/>
  <c r="BV115" s="1"/>
  <c r="AX116"/>
  <c r="BV116" s="1"/>
  <c r="AX117"/>
  <c r="BV117" s="1"/>
  <c r="AX118"/>
  <c r="BV118" s="1"/>
  <c r="AX119"/>
  <c r="BV119" s="1"/>
  <c r="AX120"/>
  <c r="BV120" s="1"/>
  <c r="AX121"/>
  <c r="BV121" s="1"/>
  <c r="AX122"/>
  <c r="BV122" s="1"/>
  <c r="AX123"/>
  <c r="BV123" s="1"/>
  <c r="AX124"/>
  <c r="BV124" s="1"/>
  <c r="AX125"/>
  <c r="BV125" s="1"/>
  <c r="AX126"/>
  <c r="BV126" s="1"/>
  <c r="AX127"/>
  <c r="BV127" s="1"/>
  <c r="AX128"/>
  <c r="BV128" s="1"/>
  <c r="AX129"/>
  <c r="BV129" s="1"/>
  <c r="AX130"/>
  <c r="BV130" s="1"/>
  <c r="AX131"/>
  <c r="BV131" s="1"/>
  <c r="AX132"/>
  <c r="BV132" s="1"/>
  <c r="AX133"/>
  <c r="BV133" s="1"/>
  <c r="AX134"/>
  <c r="BV134" s="1"/>
  <c r="AX135"/>
  <c r="BV135" s="1"/>
  <c r="AX136"/>
  <c r="BV136" s="1"/>
  <c r="AX137"/>
  <c r="BV137" s="1"/>
  <c r="AX138"/>
  <c r="BV138" s="1"/>
  <c r="AX139"/>
  <c r="BV139" s="1"/>
  <c r="AX140"/>
  <c r="BV140" s="1"/>
  <c r="AX141"/>
  <c r="BV141" s="1"/>
  <c r="AX142"/>
  <c r="BV142" s="1"/>
  <c r="AX143"/>
  <c r="BV143" s="1"/>
  <c r="AX144"/>
  <c r="BV144" s="1"/>
  <c r="AX145"/>
  <c r="BV145" s="1"/>
  <c r="AX146"/>
  <c r="BV146" s="1"/>
  <c r="AX147"/>
  <c r="BV147" s="1"/>
  <c r="AX148"/>
  <c r="BV148" s="1"/>
  <c r="AX149"/>
  <c r="BV149" s="1"/>
  <c r="AX150"/>
  <c r="BV150" s="1"/>
  <c r="AX151"/>
  <c r="BV151" s="1"/>
  <c r="AX152"/>
  <c r="BV152" s="1"/>
  <c r="AX153"/>
  <c r="BV153" s="1"/>
  <c r="AX154"/>
  <c r="BV154" s="1"/>
  <c r="AX155"/>
  <c r="BV155" s="1"/>
  <c r="AX156"/>
  <c r="BV156" s="1"/>
  <c r="AX157"/>
  <c r="BV157" s="1"/>
  <c r="AX158"/>
  <c r="BV158" s="1"/>
  <c r="AX160"/>
  <c r="BV160" s="1"/>
  <c r="AX161"/>
  <c r="BV161" s="1"/>
  <c r="AX162"/>
  <c r="BV162" s="1"/>
  <c r="AX163"/>
  <c r="BV163" s="1"/>
  <c r="AX164"/>
  <c r="BV164" s="1"/>
  <c r="AX165"/>
  <c r="BV165" s="1"/>
  <c r="AX166"/>
  <c r="BV166" s="1"/>
  <c r="AX167"/>
  <c r="BV167" s="1"/>
  <c r="AX169"/>
  <c r="BV169" s="1"/>
  <c r="AX170"/>
  <c r="BV170" s="1"/>
  <c r="AX171"/>
  <c r="BV171" s="1"/>
  <c r="AX172"/>
  <c r="BV172" s="1"/>
  <c r="AX173"/>
  <c r="BV173" s="1"/>
  <c r="AX174"/>
  <c r="BV174" s="1"/>
  <c r="AX175"/>
  <c r="BV175" s="1"/>
  <c r="AX176"/>
  <c r="BV176" s="1"/>
  <c r="AX177"/>
  <c r="BV177" s="1"/>
  <c r="AX178"/>
  <c r="BV178" s="1"/>
  <c r="AX179"/>
  <c r="BV179" s="1"/>
  <c r="AX180"/>
  <c r="BV180" s="1"/>
  <c r="AX181"/>
  <c r="BV181" s="1"/>
  <c r="AX182"/>
  <c r="BV182" s="1"/>
  <c r="AX184"/>
  <c r="BV184" s="1"/>
  <c r="AX185"/>
  <c r="BV185" s="1"/>
  <c r="AX186"/>
  <c r="BV186" s="1"/>
  <c r="AX187"/>
  <c r="BV187" s="1"/>
  <c r="AX189"/>
  <c r="BV189" s="1"/>
  <c r="AX190"/>
  <c r="BV190" s="1"/>
  <c r="AX191"/>
  <c r="BV191" s="1"/>
  <c r="AX192"/>
  <c r="BV192" s="1"/>
  <c r="AX193"/>
  <c r="BV193" s="1"/>
  <c r="AX194"/>
  <c r="BV194" s="1"/>
  <c r="AX195"/>
  <c r="BV195" s="1"/>
  <c r="AX196"/>
  <c r="BV196" s="1"/>
  <c r="AX198"/>
  <c r="BV198" s="1"/>
  <c r="AX199"/>
  <c r="BV199" s="1"/>
  <c r="AX200"/>
  <c r="BV200" s="1"/>
  <c r="AX201"/>
  <c r="BV201" s="1"/>
  <c r="AX203"/>
  <c r="BV203" s="1"/>
  <c r="AX204"/>
  <c r="BV204" s="1"/>
  <c r="AX205"/>
  <c r="BV205" s="1"/>
  <c r="AX206"/>
  <c r="BV206" s="1"/>
  <c r="AX207"/>
  <c r="BV207" s="1"/>
  <c r="AX209"/>
  <c r="BV209" s="1"/>
  <c r="AX210"/>
  <c r="BV210" s="1"/>
  <c r="AX211"/>
  <c r="BV211" s="1"/>
  <c r="AX212"/>
  <c r="BV212" s="1"/>
  <c r="AX213"/>
  <c r="BV213" s="1"/>
  <c r="AX214"/>
  <c r="BV214" s="1"/>
  <c r="AX215"/>
  <c r="BV215" s="1"/>
  <c r="AX216"/>
  <c r="BV216" s="1"/>
  <c r="AX217"/>
  <c r="BV217" s="1"/>
  <c r="AX218"/>
  <c r="BV218" s="1"/>
  <c r="AX219"/>
  <c r="BV219" s="1"/>
  <c r="AX222"/>
  <c r="BV222" s="1"/>
  <c r="AX223"/>
  <c r="BV223" s="1"/>
  <c r="AX224"/>
  <c r="BV224" s="1"/>
  <c r="AX226"/>
  <c r="BV226" s="1"/>
  <c r="AX227"/>
  <c r="BV227" s="1"/>
  <c r="AX228"/>
  <c r="BV228" s="1"/>
  <c r="AX230"/>
  <c r="BV230" s="1"/>
  <c r="AX231"/>
  <c r="BV231" s="1"/>
  <c r="AX232"/>
  <c r="BV232" s="1"/>
  <c r="AX234"/>
  <c r="BV234" s="1"/>
  <c r="AX235"/>
  <c r="BV235" s="1"/>
  <c r="AX237"/>
  <c r="BV237" s="1"/>
  <c r="AX238"/>
  <c r="BV238" s="1"/>
  <c r="AX240"/>
  <c r="BV240" s="1"/>
  <c r="AX241"/>
  <c r="BV241" s="1"/>
  <c r="AX243"/>
  <c r="BV243" s="1"/>
  <c r="AX244"/>
  <c r="BV244" s="1"/>
  <c r="AX246"/>
  <c r="BV246" s="1"/>
  <c r="AX247"/>
  <c r="BV247" s="1"/>
  <c r="AX248"/>
  <c r="BV248" s="1"/>
  <c r="AX249"/>
  <c r="BV249" s="1"/>
  <c r="AX250"/>
  <c r="BV250" s="1"/>
  <c r="AX251"/>
  <c r="BV251" s="1"/>
  <c r="AX252"/>
  <c r="BV252" s="1"/>
  <c r="AX253"/>
  <c r="BV253" s="1"/>
  <c r="AX254"/>
  <c r="BV254" s="1"/>
  <c r="AX255"/>
  <c r="BV255" s="1"/>
  <c r="AX256"/>
  <c r="BV256" s="1"/>
  <c r="AX257"/>
  <c r="BV257" s="1"/>
  <c r="AX259"/>
  <c r="BV259" s="1"/>
  <c r="AX260"/>
  <c r="BV260" s="1"/>
  <c r="AX262"/>
  <c r="BV262" s="1"/>
  <c r="AX263"/>
  <c r="BV263" s="1"/>
  <c r="AX265"/>
  <c r="BV265" s="1"/>
  <c r="AX266"/>
  <c r="BV266" s="1"/>
  <c r="AX267"/>
  <c r="BV267" s="1"/>
  <c r="AX268"/>
  <c r="BV268" s="1"/>
  <c r="AX269"/>
  <c r="BV269" s="1"/>
  <c r="AX271"/>
  <c r="BV271" s="1"/>
  <c r="AX272"/>
  <c r="BV272" s="1"/>
  <c r="AX274"/>
  <c r="BV274" s="1"/>
  <c r="AX275"/>
  <c r="BV275" s="1"/>
  <c r="AX276"/>
  <c r="BV276" s="1"/>
  <c r="AX277"/>
  <c r="BV277" s="1"/>
  <c r="AX278"/>
  <c r="BV278" s="1"/>
  <c r="AX279"/>
  <c r="BV279" s="1"/>
  <c r="AX280"/>
  <c r="BV280" s="1"/>
  <c r="AX282"/>
  <c r="BV282" s="1"/>
  <c r="AX283"/>
  <c r="BV283" s="1"/>
  <c r="AX284"/>
  <c r="BV284" s="1"/>
  <c r="AX285"/>
  <c r="BV285" s="1"/>
  <c r="AX287"/>
  <c r="BV287" s="1"/>
  <c r="AX288"/>
  <c r="BV288" s="1"/>
  <c r="AX290"/>
  <c r="BV290" s="1"/>
  <c r="AX291"/>
  <c r="BV291" s="1"/>
  <c r="AX293"/>
  <c r="BV293" s="1"/>
  <c r="AX294"/>
  <c r="BV294" s="1"/>
  <c r="AX295"/>
  <c r="BV295" s="1"/>
  <c r="AX296"/>
  <c r="BV296" s="1"/>
  <c r="AX297"/>
  <c r="BV297" s="1"/>
  <c r="AX298"/>
  <c r="BV298" s="1"/>
  <c r="AX300"/>
  <c r="BV300" s="1"/>
  <c r="AX301"/>
  <c r="BV301" s="1"/>
  <c r="AX303"/>
  <c r="BV303" s="1"/>
  <c r="AX304"/>
  <c r="BV304" s="1"/>
  <c r="AX305"/>
  <c r="BV305" s="1"/>
  <c r="AX307"/>
  <c r="BV307" s="1"/>
  <c r="AX308"/>
  <c r="BV308" s="1"/>
  <c r="AX309"/>
  <c r="BV309" s="1"/>
  <c r="AX311"/>
  <c r="BV311" s="1"/>
  <c r="AX312"/>
  <c r="BV312" s="1"/>
  <c r="AX313"/>
  <c r="BV313" s="1"/>
  <c r="AX315"/>
  <c r="BV315" s="1"/>
  <c r="AX316"/>
  <c r="BV316" s="1"/>
  <c r="AX317"/>
  <c r="BV317" s="1"/>
  <c r="AX318"/>
  <c r="BV318" s="1"/>
  <c r="AX320"/>
  <c r="BV320" s="1"/>
  <c r="AX321"/>
  <c r="BV321" s="1"/>
  <c r="AX323"/>
  <c r="BV323" s="1"/>
  <c r="AX324"/>
  <c r="BV324" s="1"/>
  <c r="AX326"/>
  <c r="BV326" s="1"/>
  <c r="AX327"/>
  <c r="BV327" s="1"/>
  <c r="AX329"/>
  <c r="BV329" s="1"/>
  <c r="AX330"/>
  <c r="BV330" s="1"/>
  <c r="AX331"/>
  <c r="BV331" s="1"/>
  <c r="AX332"/>
  <c r="BV332" s="1"/>
  <c r="AX334"/>
  <c r="BV334" s="1"/>
  <c r="AX335"/>
  <c r="BV335" s="1"/>
  <c r="AX336"/>
  <c r="BV336" s="1"/>
  <c r="AX337"/>
  <c r="BV337" s="1"/>
  <c r="AX338"/>
  <c r="BV338" s="1"/>
  <c r="AX339"/>
  <c r="BV339" s="1"/>
  <c r="AX340"/>
  <c r="BV340" s="1"/>
  <c r="AX341"/>
  <c r="BV341" s="1"/>
  <c r="AX343"/>
  <c r="BV343" s="1"/>
  <c r="AX344"/>
  <c r="BV344" s="1"/>
  <c r="AX346"/>
  <c r="BV346" s="1"/>
  <c r="AX347"/>
  <c r="BV347" s="1"/>
  <c r="AX348"/>
  <c r="BV348" s="1"/>
  <c r="AX349"/>
  <c r="BV349" s="1"/>
  <c r="AX350"/>
  <c r="BV350" s="1"/>
  <c r="AX351"/>
  <c r="BV351" s="1"/>
  <c r="AX352"/>
  <c r="BV352" s="1"/>
  <c r="AX353"/>
  <c r="BV353" s="1"/>
  <c r="AX354"/>
  <c r="BV354" s="1"/>
  <c r="AX355"/>
  <c r="BV355" s="1"/>
  <c r="AX356"/>
  <c r="BV356" s="1"/>
  <c r="AX358"/>
  <c r="BV358" s="1"/>
  <c r="AX360"/>
  <c r="BV360" s="1"/>
  <c r="AX361"/>
  <c r="BV361" s="1"/>
  <c r="AX362"/>
  <c r="BV362" s="1"/>
  <c r="AX363"/>
  <c r="BV363" s="1"/>
  <c r="AX364"/>
  <c r="BV364" s="1"/>
  <c r="AX365"/>
  <c r="BV365" s="1"/>
  <c r="AX366"/>
  <c r="BV366" s="1"/>
  <c r="AX367"/>
  <c r="BV367" s="1"/>
  <c r="AX368"/>
  <c r="BV368" s="1"/>
  <c r="AX369"/>
  <c r="BV369" s="1"/>
  <c r="AX370"/>
  <c r="BV370" s="1"/>
  <c r="AX371"/>
  <c r="BV371" s="1"/>
  <c r="AX372"/>
  <c r="BV372" s="1"/>
  <c r="AX373"/>
  <c r="BV373" s="1"/>
  <c r="AX374"/>
  <c r="BV374" s="1"/>
  <c r="AX375"/>
  <c r="BV375" s="1"/>
  <c r="AX376"/>
  <c r="BV376" s="1"/>
  <c r="AX377"/>
  <c r="BV377" s="1"/>
  <c r="AX378"/>
  <c r="BV378" s="1"/>
  <c r="AX379"/>
  <c r="BV379" s="1"/>
  <c r="AX380"/>
  <c r="BV380" s="1"/>
  <c r="AX381"/>
  <c r="BV381" s="1"/>
  <c r="AX382"/>
  <c r="BV382" s="1"/>
  <c r="AX383"/>
  <c r="BV383" s="1"/>
  <c r="AX384"/>
  <c r="BV384" s="1"/>
  <c r="AX385"/>
  <c r="BV385" s="1"/>
  <c r="AX386"/>
  <c r="BV386" s="1"/>
  <c r="AX387"/>
  <c r="BV387" s="1"/>
  <c r="AX388"/>
  <c r="BV388" s="1"/>
  <c r="AX389"/>
  <c r="BV389" s="1"/>
  <c r="AX390"/>
  <c r="BV390" s="1"/>
  <c r="AX391"/>
  <c r="BV391" s="1"/>
  <c r="AX392"/>
  <c r="BV392" s="1"/>
  <c r="AX393"/>
  <c r="BV393" s="1"/>
  <c r="AX394"/>
  <c r="BV394" s="1"/>
  <c r="AX395"/>
  <c r="BV395" s="1"/>
  <c r="AX396"/>
  <c r="BV396" s="1"/>
  <c r="AX397"/>
  <c r="BV397" s="1"/>
  <c r="AX398"/>
  <c r="BV398" s="1"/>
  <c r="AX399"/>
  <c r="BV399" s="1"/>
  <c r="AX400"/>
  <c r="BV400" s="1"/>
  <c r="AX401"/>
  <c r="BV401" s="1"/>
  <c r="AX402"/>
  <c r="BV402" s="1"/>
  <c r="AX403"/>
  <c r="BV403" s="1"/>
  <c r="AX404"/>
  <c r="BV404" s="1"/>
  <c r="AX405"/>
  <c r="BV405" s="1"/>
  <c r="AX406"/>
  <c r="BV406" s="1"/>
  <c r="AX407"/>
  <c r="BV407" s="1"/>
  <c r="AX408"/>
  <c r="BV408" s="1"/>
  <c r="AX409"/>
  <c r="BV409" s="1"/>
  <c r="AX410"/>
  <c r="BV410" s="1"/>
  <c r="AX411"/>
  <c r="BV411" s="1"/>
  <c r="AX412"/>
  <c r="BV412" s="1"/>
  <c r="AX413"/>
  <c r="BV413" s="1"/>
  <c r="AX414"/>
  <c r="BV414" s="1"/>
  <c r="AX415"/>
  <c r="BV415" s="1"/>
  <c r="AX416"/>
  <c r="BV416" s="1"/>
  <c r="AX417"/>
  <c r="BV417" s="1"/>
  <c r="AX418"/>
  <c r="BV418" s="1"/>
  <c r="AX419"/>
  <c r="BV419" s="1"/>
  <c r="AX420"/>
  <c r="BV420" s="1"/>
  <c r="AX421"/>
  <c r="BV421" s="1"/>
  <c r="AX422"/>
  <c r="BV422" s="1"/>
  <c r="AX423"/>
  <c r="BV423" s="1"/>
  <c r="AX424"/>
  <c r="BV424" s="1"/>
  <c r="AX425"/>
  <c r="BV425" s="1"/>
  <c r="AX426"/>
  <c r="BV426" s="1"/>
  <c r="AX427"/>
  <c r="BV427" s="1"/>
  <c r="AX428"/>
  <c r="BV428" s="1"/>
  <c r="AX429"/>
  <c r="BV429" s="1"/>
  <c r="AX430"/>
  <c r="BV430" s="1"/>
  <c r="AX431"/>
  <c r="BV431" s="1"/>
  <c r="AX432"/>
  <c r="BV432" s="1"/>
  <c r="AX433"/>
  <c r="BV433" s="1"/>
  <c r="AX434"/>
  <c r="BV434" s="1"/>
  <c r="AX435"/>
  <c r="BV435" s="1"/>
  <c r="AX436"/>
  <c r="BV436" s="1"/>
  <c r="AX437"/>
  <c r="BV437" s="1"/>
  <c r="AX438"/>
  <c r="BV438" s="1"/>
  <c r="AX439"/>
  <c r="BV439" s="1"/>
  <c r="AX440"/>
  <c r="BV440" s="1"/>
  <c r="AX441"/>
  <c r="BV441" s="1"/>
  <c r="AX442"/>
  <c r="BV442" s="1"/>
  <c r="AX443"/>
  <c r="BV443" s="1"/>
  <c r="AX444"/>
  <c r="BV444" s="1"/>
  <c r="AX445"/>
  <c r="BV445" s="1"/>
  <c r="AX446"/>
  <c r="BV446" s="1"/>
  <c r="AX447"/>
  <c r="BV447" s="1"/>
  <c r="AX448"/>
  <c r="BV448" s="1"/>
  <c r="AX449"/>
  <c r="BV449" s="1"/>
  <c r="AX450"/>
  <c r="BV450" s="1"/>
  <c r="AX451"/>
  <c r="BV451" s="1"/>
  <c r="AX452"/>
  <c r="BV452" s="1"/>
  <c r="AX453"/>
  <c r="BV453" s="1"/>
  <c r="AX454"/>
  <c r="BV454" s="1"/>
  <c r="AX455"/>
  <c r="BV455" s="1"/>
  <c r="AX456"/>
  <c r="BV456" s="1"/>
  <c r="AX457"/>
  <c r="BV457" s="1"/>
  <c r="AX458"/>
  <c r="BV458" s="1"/>
  <c r="AX459"/>
  <c r="BV459" s="1"/>
  <c r="AX460"/>
  <c r="BV460" s="1"/>
  <c r="AX461"/>
  <c r="BV461" s="1"/>
  <c r="AX462"/>
  <c r="BV462" s="1"/>
  <c r="AX463"/>
  <c r="BV463" s="1"/>
  <c r="AX464"/>
  <c r="BV464" s="1"/>
  <c r="AX465"/>
  <c r="BV465" s="1"/>
  <c r="AX466"/>
  <c r="BV466" s="1"/>
  <c r="AX467"/>
  <c r="BV467" s="1"/>
  <c r="AX468"/>
  <c r="BV468" s="1"/>
  <c r="AX469"/>
  <c r="BV469" s="1"/>
  <c r="AX470"/>
  <c r="BV470" s="1"/>
  <c r="AX471"/>
  <c r="BV471" s="1"/>
  <c r="AX472"/>
  <c r="BV472" s="1"/>
  <c r="AX473"/>
  <c r="BV473" s="1"/>
  <c r="AX474"/>
  <c r="BV474" s="1"/>
  <c r="AX475"/>
  <c r="BV475" s="1"/>
  <c r="AX476"/>
  <c r="BV476" s="1"/>
  <c r="AX477"/>
  <c r="BV477" s="1"/>
  <c r="AX478"/>
  <c r="BV478" s="1"/>
  <c r="AX479"/>
  <c r="BV479" s="1"/>
  <c r="AX480"/>
  <c r="BV480" s="1"/>
  <c r="AX481"/>
  <c r="BV481" s="1"/>
  <c r="AX482"/>
  <c r="BV482" s="1"/>
  <c r="AX483"/>
  <c r="BV483" s="1"/>
  <c r="AX484"/>
  <c r="BV484" s="1"/>
  <c r="AX485"/>
  <c r="BV485" s="1"/>
  <c r="AX486"/>
  <c r="BV486" s="1"/>
  <c r="AX487"/>
  <c r="BV487" s="1"/>
  <c r="AX488"/>
  <c r="BV488" s="1"/>
  <c r="AX489"/>
  <c r="BV489" s="1"/>
  <c r="AX490"/>
  <c r="BV490" s="1"/>
  <c r="AX491"/>
  <c r="BV491" s="1"/>
  <c r="AX492"/>
  <c r="BV492" s="1"/>
  <c r="AX494"/>
  <c r="BV494" s="1"/>
  <c r="AX495"/>
  <c r="BV495" s="1"/>
  <c r="AX496"/>
  <c r="BV496" s="1"/>
  <c r="AX497"/>
  <c r="BV497" s="1"/>
  <c r="AX498"/>
  <c r="BV498" s="1"/>
  <c r="AX499"/>
  <c r="BV499" s="1"/>
  <c r="AX500"/>
  <c r="BV500" s="1"/>
  <c r="AX501"/>
  <c r="BV501" s="1"/>
  <c r="AX503"/>
  <c r="BV503" s="1"/>
  <c r="AX504"/>
  <c r="BV504" s="1"/>
  <c r="AX505"/>
  <c r="BV505" s="1"/>
  <c r="AX506"/>
  <c r="BV506" s="1"/>
  <c r="AX507"/>
  <c r="BV507" s="1"/>
  <c r="AX508"/>
  <c r="BV508" s="1"/>
  <c r="AX509"/>
  <c r="BV509" s="1"/>
  <c r="AX510"/>
  <c r="BV510" s="1"/>
  <c r="AX511"/>
  <c r="BV511" s="1"/>
  <c r="AX512"/>
  <c r="BV512" s="1"/>
  <c r="AX513"/>
  <c r="BV513" s="1"/>
  <c r="AX514"/>
  <c r="BV514" s="1"/>
  <c r="AX515"/>
  <c r="BV515" s="1"/>
  <c r="AX517"/>
  <c r="BV517" s="1"/>
  <c r="AX518"/>
  <c r="BV518" s="1"/>
  <c r="AX519"/>
  <c r="BV519" s="1"/>
  <c r="AX520"/>
  <c r="BV520" s="1"/>
  <c r="AX522"/>
  <c r="BV522" s="1"/>
  <c r="AX523"/>
  <c r="BV523" s="1"/>
  <c r="AX524"/>
  <c r="BV524" s="1"/>
  <c r="AX525"/>
  <c r="BV525" s="1"/>
  <c r="AX526"/>
  <c r="BV526" s="1"/>
  <c r="AX527"/>
  <c r="BV527" s="1"/>
  <c r="AX529"/>
  <c r="BV529" s="1"/>
  <c r="AX530"/>
  <c r="BV530" s="1"/>
  <c r="AX531"/>
  <c r="BV531" s="1"/>
  <c r="AX533"/>
  <c r="BV533" s="1"/>
  <c r="AX534"/>
  <c r="BV534" s="1"/>
  <c r="AX535"/>
  <c r="BV535" s="1"/>
  <c r="AX536"/>
  <c r="BV536" s="1"/>
  <c r="AX537"/>
  <c r="BV537" s="1"/>
  <c r="AX538"/>
  <c r="BV538" s="1"/>
  <c r="AX539"/>
  <c r="BV539" s="1"/>
  <c r="AX540"/>
  <c r="BV540" s="1"/>
  <c r="AX541"/>
  <c r="BV541" s="1"/>
  <c r="AX542"/>
  <c r="BV542" s="1"/>
  <c r="AX543"/>
  <c r="BV543" s="1"/>
  <c r="AX544"/>
  <c r="BV544" s="1"/>
  <c r="AX545"/>
  <c r="BV545" s="1"/>
  <c r="AX546"/>
  <c r="BV546" s="1"/>
  <c r="AX548"/>
  <c r="BV548" s="1"/>
  <c r="AX549"/>
  <c r="BV549" s="1"/>
  <c r="AX551"/>
  <c r="BV551" s="1"/>
  <c r="AX552"/>
  <c r="BV552" s="1"/>
  <c r="AX553"/>
  <c r="BV553" s="1"/>
  <c r="AX555"/>
  <c r="BV555" s="1"/>
  <c r="AX556"/>
  <c r="BV556" s="1"/>
  <c r="AX557"/>
  <c r="BV557" s="1"/>
  <c r="AX559"/>
  <c r="BV559" s="1"/>
  <c r="AX560"/>
  <c r="BV560" s="1"/>
  <c r="AX561"/>
  <c r="BV561" s="1"/>
  <c r="AX562"/>
  <c r="BV562" s="1"/>
  <c r="AX563"/>
  <c r="BV563" s="1"/>
  <c r="AX565"/>
  <c r="BV565" s="1"/>
  <c r="AX566"/>
  <c r="BV566" s="1"/>
  <c r="AX567"/>
  <c r="BV567" s="1"/>
  <c r="AX569"/>
  <c r="BV569" s="1"/>
  <c r="AX570"/>
  <c r="BV570" s="1"/>
  <c r="AX572"/>
  <c r="BV572" s="1"/>
  <c r="AX573"/>
  <c r="BV573" s="1"/>
  <c r="AX575"/>
  <c r="BV575" s="1"/>
  <c r="AX576"/>
  <c r="BV576" s="1"/>
  <c r="AX577"/>
  <c r="BV577" s="1"/>
  <c r="AX578"/>
  <c r="BV578" s="1"/>
  <c r="AX579"/>
  <c r="BV579" s="1"/>
  <c r="AX580"/>
  <c r="BV580" s="1"/>
  <c r="AX581"/>
  <c r="BV581" s="1"/>
  <c r="AX582"/>
  <c r="BV582" s="1"/>
  <c r="AX583"/>
  <c r="BV583" s="1"/>
  <c r="AX584"/>
  <c r="BV584" s="1"/>
  <c r="AX586"/>
  <c r="BV586" s="1"/>
  <c r="AX587"/>
  <c r="BV587" s="1"/>
  <c r="AX589"/>
  <c r="BV589" s="1"/>
  <c r="AX590"/>
  <c r="BV590" s="1"/>
  <c r="AX592"/>
  <c r="BV592" s="1"/>
  <c r="AX593"/>
  <c r="BV593" s="1"/>
  <c r="AX595"/>
  <c r="BV595" s="1"/>
  <c r="AX596"/>
  <c r="BV596" s="1"/>
  <c r="AX597"/>
  <c r="BV597" s="1"/>
  <c r="AX598"/>
  <c r="BV598" s="1"/>
  <c r="AX599"/>
  <c r="BV599" s="1"/>
  <c r="AX600"/>
  <c r="BV600" s="1"/>
  <c r="AX601"/>
  <c r="BV601" s="1"/>
  <c r="AX603"/>
  <c r="BV603" s="1"/>
  <c r="AX604"/>
  <c r="BV604" s="1"/>
  <c r="AX606"/>
  <c r="BV606" s="1"/>
  <c r="AX607"/>
  <c r="BV607" s="1"/>
  <c r="AX608"/>
  <c r="BV608" s="1"/>
  <c r="AX609"/>
  <c r="BV609" s="1"/>
  <c r="AX610"/>
  <c r="BV610" s="1"/>
  <c r="AX611"/>
  <c r="BV611" s="1"/>
  <c r="AX612"/>
  <c r="BV612" s="1"/>
  <c r="AX614"/>
  <c r="BV614" s="1"/>
  <c r="AX615"/>
  <c r="BV615" s="1"/>
  <c r="AX616"/>
  <c r="BV616" s="1"/>
  <c r="AX618"/>
  <c r="BV618" s="1"/>
  <c r="AX619"/>
  <c r="BV619" s="1"/>
  <c r="AX621"/>
  <c r="BV621" s="1"/>
  <c r="AX622"/>
  <c r="BV622" s="1"/>
  <c r="AX623"/>
  <c r="BV623" s="1"/>
  <c r="AX625"/>
  <c r="BV625" s="1"/>
  <c r="AX626"/>
  <c r="BV626" s="1"/>
  <c r="AX627"/>
  <c r="BV627" s="1"/>
  <c r="AX628"/>
  <c r="BV628" s="1"/>
  <c r="AX630"/>
  <c r="BV630" s="1"/>
  <c r="AX631"/>
  <c r="BV631" s="1"/>
  <c r="AX633"/>
  <c r="BV633" s="1"/>
  <c r="AX634"/>
  <c r="BV634" s="1"/>
  <c r="AX635"/>
  <c r="BV635" s="1"/>
  <c r="AX637"/>
  <c r="BV637" s="1"/>
  <c r="AX638"/>
  <c r="BV638" s="1"/>
  <c r="AX639"/>
  <c r="BV639" s="1"/>
  <c r="AX641"/>
  <c r="BV641" s="1"/>
  <c r="AX642"/>
  <c r="BV642" s="1"/>
  <c r="AX644"/>
  <c r="BV644" s="1"/>
  <c r="AX645"/>
  <c r="BV645" s="1"/>
  <c r="AX646"/>
  <c r="BV646" s="1"/>
  <c r="AX647"/>
  <c r="BV647" s="1"/>
  <c r="AX648"/>
  <c r="BV648" s="1"/>
  <c r="AX649"/>
  <c r="BV649" s="1"/>
  <c r="AX651"/>
  <c r="BV651" s="1"/>
  <c r="AX652"/>
  <c r="BV652" s="1"/>
  <c r="AX654"/>
  <c r="BV654" s="1"/>
  <c r="AX655"/>
  <c r="BV655" s="1"/>
  <c r="AX657"/>
  <c r="BV657" s="1"/>
  <c r="AX658"/>
  <c r="BV658" s="1"/>
  <c r="AX660"/>
  <c r="BV660" s="1"/>
  <c r="AX661"/>
  <c r="BV661" s="1"/>
  <c r="AX662"/>
  <c r="BV662" s="1"/>
  <c r="AX664"/>
  <c r="BV664" s="1"/>
  <c r="AX665"/>
  <c r="BV665" s="1"/>
  <c r="AX666"/>
  <c r="BV666" s="1"/>
  <c r="AX667"/>
  <c r="BV667" s="1"/>
  <c r="AX668"/>
  <c r="BV668" s="1"/>
  <c r="AX669"/>
  <c r="BV669" s="1"/>
  <c r="AX671"/>
  <c r="BV671" s="1"/>
  <c r="AX672"/>
  <c r="BV672" s="1"/>
  <c r="AX673"/>
  <c r="BV673" s="1"/>
  <c r="AX674"/>
  <c r="BV674" s="1"/>
  <c r="AX676"/>
  <c r="BV676" s="1"/>
  <c r="AX677"/>
  <c r="BV677" s="1"/>
  <c r="AX679"/>
  <c r="BV679" s="1"/>
  <c r="AX680"/>
  <c r="BV680" s="1"/>
  <c r="AX681"/>
  <c r="BV681" s="1"/>
  <c r="AX682"/>
  <c r="BV682" s="1"/>
  <c r="AX683"/>
  <c r="BV683" s="1"/>
  <c r="AX684"/>
  <c r="BV684" s="1"/>
  <c r="AX685"/>
  <c r="BV685" s="1"/>
  <c r="AX686"/>
  <c r="BV686" s="1"/>
  <c r="AX687"/>
  <c r="BV687" s="1"/>
  <c r="AX689"/>
  <c r="BV689" s="1"/>
  <c r="AX690"/>
  <c r="BV690" s="1"/>
  <c r="AX17"/>
  <c r="BV17" s="1"/>
  <c r="AW63"/>
  <c r="AW81"/>
  <c r="AW88"/>
  <c r="AW109"/>
  <c r="AW122"/>
  <c r="AW125"/>
  <c r="AW126"/>
  <c r="AW129"/>
  <c r="AW131"/>
  <c r="AW133"/>
  <c r="AW135"/>
  <c r="AW136"/>
  <c r="AW137"/>
  <c r="AW138"/>
  <c r="AW140"/>
  <c r="AW143"/>
  <c r="AW144"/>
  <c r="AW145"/>
  <c r="AW146"/>
  <c r="AW147"/>
  <c r="AW148"/>
  <c r="AW149"/>
  <c r="AW150"/>
  <c r="AW151"/>
  <c r="AW152"/>
  <c r="AW153"/>
  <c r="AW155"/>
  <c r="AW158"/>
  <c r="AW160"/>
  <c r="AW162"/>
  <c r="AW165"/>
  <c r="AW167"/>
  <c r="AW169"/>
  <c r="AW172"/>
  <c r="AW184"/>
  <c r="AW189"/>
  <c r="AW198"/>
  <c r="AW203"/>
  <c r="AW209"/>
  <c r="AW220"/>
  <c r="AW221"/>
  <c r="AW223"/>
  <c r="AW226"/>
  <c r="AW227"/>
  <c r="AW230"/>
  <c r="AW234"/>
  <c r="AW235"/>
  <c r="AW237"/>
  <c r="AW240"/>
  <c r="AW243"/>
  <c r="AW246"/>
  <c r="AW253"/>
  <c r="AW257"/>
  <c r="AW259"/>
  <c r="AW262"/>
  <c r="AW265"/>
  <c r="AW271"/>
  <c r="AW274"/>
  <c r="AW282"/>
  <c r="AW287"/>
  <c r="AW290"/>
  <c r="AW293"/>
  <c r="AW294"/>
  <c r="AW295"/>
  <c r="AW296"/>
  <c r="AW297"/>
  <c r="AW298"/>
  <c r="AW300"/>
  <c r="AW303"/>
  <c r="AW307"/>
  <c r="AW311"/>
  <c r="AW315"/>
  <c r="AW320"/>
  <c r="AW323"/>
  <c r="AW326"/>
  <c r="AW329"/>
  <c r="AW334"/>
  <c r="AW343"/>
  <c r="AW346"/>
  <c r="AW358"/>
  <c r="AW360"/>
  <c r="AW383"/>
  <c r="AW484"/>
  <c r="AW486"/>
  <c r="AW487"/>
  <c r="AW494"/>
  <c r="AW503"/>
  <c r="AW517"/>
  <c r="AW522"/>
  <c r="AW529"/>
  <c r="AW533"/>
  <c r="AW546"/>
  <c r="AW548"/>
  <c r="AW551"/>
  <c r="AW555"/>
  <c r="AW556"/>
  <c r="AW557"/>
  <c r="AW559"/>
  <c r="AW560"/>
  <c r="AW561"/>
  <c r="AW562"/>
  <c r="AW563"/>
  <c r="AW565"/>
  <c r="AW569"/>
  <c r="AW572"/>
  <c r="AW575"/>
  <c r="AW579"/>
  <c r="AW586"/>
  <c r="AW589"/>
  <c r="AW592"/>
  <c r="AW595"/>
  <c r="AW603"/>
  <c r="AW606"/>
  <c r="AW614"/>
  <c r="AW618"/>
  <c r="AW621"/>
  <c r="AW625"/>
  <c r="AW626"/>
  <c r="AW627"/>
  <c r="AW628"/>
  <c r="AW630"/>
  <c r="AW633"/>
  <c r="AW637"/>
  <c r="AW641"/>
  <c r="AW644"/>
  <c r="AW651"/>
  <c r="AW654"/>
  <c r="AW657"/>
  <c r="AW660"/>
  <c r="AW664"/>
  <c r="AW671"/>
  <c r="AW676"/>
  <c r="AW679"/>
  <c r="AW689"/>
  <c r="AV18"/>
  <c r="BT18" s="1"/>
  <c r="AV19"/>
  <c r="BT19" s="1"/>
  <c r="AV20"/>
  <c r="BT20" s="1"/>
  <c r="AV21"/>
  <c r="BT21" s="1"/>
  <c r="AV22"/>
  <c r="BT22" s="1"/>
  <c r="AV23"/>
  <c r="BT23" s="1"/>
  <c r="AV24"/>
  <c r="BT24" s="1"/>
  <c r="AV25"/>
  <c r="BT25" s="1"/>
  <c r="AV26"/>
  <c r="BT26" s="1"/>
  <c r="AV27"/>
  <c r="BT27" s="1"/>
  <c r="AV28"/>
  <c r="BT28" s="1"/>
  <c r="AV29"/>
  <c r="BT29" s="1"/>
  <c r="AV30"/>
  <c r="BT30" s="1"/>
  <c r="AV31"/>
  <c r="BT31" s="1"/>
  <c r="AV32"/>
  <c r="BT32" s="1"/>
  <c r="AV33"/>
  <c r="BT33" s="1"/>
  <c r="AV34"/>
  <c r="BT34" s="1"/>
  <c r="AV35"/>
  <c r="BT35" s="1"/>
  <c r="AV36"/>
  <c r="BT36" s="1"/>
  <c r="AV37"/>
  <c r="BT37" s="1"/>
  <c r="AV38"/>
  <c r="BT38" s="1"/>
  <c r="AV39"/>
  <c r="BT39" s="1"/>
  <c r="AV40"/>
  <c r="BT40" s="1"/>
  <c r="AV41"/>
  <c r="BT41" s="1"/>
  <c r="AV42"/>
  <c r="BT42" s="1"/>
  <c r="AV43"/>
  <c r="BT43" s="1"/>
  <c r="AV44"/>
  <c r="BT44" s="1"/>
  <c r="AV45"/>
  <c r="BT45" s="1"/>
  <c r="AV46"/>
  <c r="BT46" s="1"/>
  <c r="AV47"/>
  <c r="BT47" s="1"/>
  <c r="AV48"/>
  <c r="BT48" s="1"/>
  <c r="AV49"/>
  <c r="BT49" s="1"/>
  <c r="AV50"/>
  <c r="BT50" s="1"/>
  <c r="AV51"/>
  <c r="BT51" s="1"/>
  <c r="AV52"/>
  <c r="BT52" s="1"/>
  <c r="AV53"/>
  <c r="BT53" s="1"/>
  <c r="AV54"/>
  <c r="BT54" s="1"/>
  <c r="AV55"/>
  <c r="BT55" s="1"/>
  <c r="AV56"/>
  <c r="BT56" s="1"/>
  <c r="AV57"/>
  <c r="BT57" s="1"/>
  <c r="AV58"/>
  <c r="BT58" s="1"/>
  <c r="AV59"/>
  <c r="BT59" s="1"/>
  <c r="AV60"/>
  <c r="BT60" s="1"/>
  <c r="AV61"/>
  <c r="BT61" s="1"/>
  <c r="AV62"/>
  <c r="BT62" s="1"/>
  <c r="AV63"/>
  <c r="BT63" s="1"/>
  <c r="AV64"/>
  <c r="BT64" s="1"/>
  <c r="AV65"/>
  <c r="BT65" s="1"/>
  <c r="AV66"/>
  <c r="BT66" s="1"/>
  <c r="AV67"/>
  <c r="BT67" s="1"/>
  <c r="AV68"/>
  <c r="BT68" s="1"/>
  <c r="AV69"/>
  <c r="BT69" s="1"/>
  <c r="AV70"/>
  <c r="BT70" s="1"/>
  <c r="AV71"/>
  <c r="BT71" s="1"/>
  <c r="AV72"/>
  <c r="BT72" s="1"/>
  <c r="AV73"/>
  <c r="BT73" s="1"/>
  <c r="AV74"/>
  <c r="BT74" s="1"/>
  <c r="AV75"/>
  <c r="BT75" s="1"/>
  <c r="AV76"/>
  <c r="BT76" s="1"/>
  <c r="AV77"/>
  <c r="BT77" s="1"/>
  <c r="AV78"/>
  <c r="BT78" s="1"/>
  <c r="AV79"/>
  <c r="BT79" s="1"/>
  <c r="AV80"/>
  <c r="BT80" s="1"/>
  <c r="AV81"/>
  <c r="BT81" s="1"/>
  <c r="AV82"/>
  <c r="BT82" s="1"/>
  <c r="AV83"/>
  <c r="BT83" s="1"/>
  <c r="AV84"/>
  <c r="BT84" s="1"/>
  <c r="AV85"/>
  <c r="BT85" s="1"/>
  <c r="AV86"/>
  <c r="BT86" s="1"/>
  <c r="AV87"/>
  <c r="BT87" s="1"/>
  <c r="AV89"/>
  <c r="BT89" s="1"/>
  <c r="AV90"/>
  <c r="BT90" s="1"/>
  <c r="AV91"/>
  <c r="BT91" s="1"/>
  <c r="AV92"/>
  <c r="BT92" s="1"/>
  <c r="AV93"/>
  <c r="BT93" s="1"/>
  <c r="AV94"/>
  <c r="BT94" s="1"/>
  <c r="AV95"/>
  <c r="BT95" s="1"/>
  <c r="AV96"/>
  <c r="BT96" s="1"/>
  <c r="AV97"/>
  <c r="BT97" s="1"/>
  <c r="AV98"/>
  <c r="BT98" s="1"/>
  <c r="AV99"/>
  <c r="BT99" s="1"/>
  <c r="AV100"/>
  <c r="BT100" s="1"/>
  <c r="AV101"/>
  <c r="BT101" s="1"/>
  <c r="AV102"/>
  <c r="BT102" s="1"/>
  <c r="AV103"/>
  <c r="BT103" s="1"/>
  <c r="AV104"/>
  <c r="BT104" s="1"/>
  <c r="AV105"/>
  <c r="BT105" s="1"/>
  <c r="AV106"/>
  <c r="BT106" s="1"/>
  <c r="AV107"/>
  <c r="BT107" s="1"/>
  <c r="AV108"/>
  <c r="BT108" s="1"/>
  <c r="AV109"/>
  <c r="BT109" s="1"/>
  <c r="AV110"/>
  <c r="BT110" s="1"/>
  <c r="AV111"/>
  <c r="BT111" s="1"/>
  <c r="AV112"/>
  <c r="BT112" s="1"/>
  <c r="AV113"/>
  <c r="BT113" s="1"/>
  <c r="AV114"/>
  <c r="BT114" s="1"/>
  <c r="AV115"/>
  <c r="BT115" s="1"/>
  <c r="AV116"/>
  <c r="BT116" s="1"/>
  <c r="AV117"/>
  <c r="BT117" s="1"/>
  <c r="AV118"/>
  <c r="BT118" s="1"/>
  <c r="AV119"/>
  <c r="BT119" s="1"/>
  <c r="AV120"/>
  <c r="BT120" s="1"/>
  <c r="AV121"/>
  <c r="BT121" s="1"/>
  <c r="AV122"/>
  <c r="BT122" s="1"/>
  <c r="AV123"/>
  <c r="BT123" s="1"/>
  <c r="AV124"/>
  <c r="BT124" s="1"/>
  <c r="AV125"/>
  <c r="BT125" s="1"/>
  <c r="AV126"/>
  <c r="BT126" s="1"/>
  <c r="AV127"/>
  <c r="BT127" s="1"/>
  <c r="AV128"/>
  <c r="BT128" s="1"/>
  <c r="AV130"/>
  <c r="BT130" s="1"/>
  <c r="AV131"/>
  <c r="BT131" s="1"/>
  <c r="AV132"/>
  <c r="BT132" s="1"/>
  <c r="AV133"/>
  <c r="BT133" s="1"/>
  <c r="AV134"/>
  <c r="BT134" s="1"/>
  <c r="AV139"/>
  <c r="BT139" s="1"/>
  <c r="AV140"/>
  <c r="BT140" s="1"/>
  <c r="AV141"/>
  <c r="BT141" s="1"/>
  <c r="AV142"/>
  <c r="BT142" s="1"/>
  <c r="AV143"/>
  <c r="BT143" s="1"/>
  <c r="AV144"/>
  <c r="BT144" s="1"/>
  <c r="AV145"/>
  <c r="BT145" s="1"/>
  <c r="AV146"/>
  <c r="BT146" s="1"/>
  <c r="AV147"/>
  <c r="BT147" s="1"/>
  <c r="AV148"/>
  <c r="BT148" s="1"/>
  <c r="AV149"/>
  <c r="BT149" s="1"/>
  <c r="AV150"/>
  <c r="BT150" s="1"/>
  <c r="AV151"/>
  <c r="BT151" s="1"/>
  <c r="AV152"/>
  <c r="BT152" s="1"/>
  <c r="AV153"/>
  <c r="BT153" s="1"/>
  <c r="AV154"/>
  <c r="BT154" s="1"/>
  <c r="AV155"/>
  <c r="BT155" s="1"/>
  <c r="AV156"/>
  <c r="BT156" s="1"/>
  <c r="AV157"/>
  <c r="BT157" s="1"/>
  <c r="AV158"/>
  <c r="BT158" s="1"/>
  <c r="AV160"/>
  <c r="BT160" s="1"/>
  <c r="AV161"/>
  <c r="BT161" s="1"/>
  <c r="AV162"/>
  <c r="BT162" s="1"/>
  <c r="AV163"/>
  <c r="BT163" s="1"/>
  <c r="AV164"/>
  <c r="BT164" s="1"/>
  <c r="AV165"/>
  <c r="BT165" s="1"/>
  <c r="AV166"/>
  <c r="BT166" s="1"/>
  <c r="AV167"/>
  <c r="BT167" s="1"/>
  <c r="AV169"/>
  <c r="BT169" s="1"/>
  <c r="AV170"/>
  <c r="BT170" s="1"/>
  <c r="AV171"/>
  <c r="BT171" s="1"/>
  <c r="AV172"/>
  <c r="BT172" s="1"/>
  <c r="AV173"/>
  <c r="BT173" s="1"/>
  <c r="AV174"/>
  <c r="BT174" s="1"/>
  <c r="AV175"/>
  <c r="BT175" s="1"/>
  <c r="AV176"/>
  <c r="BT176" s="1"/>
  <c r="AV177"/>
  <c r="BT177" s="1"/>
  <c r="AV178"/>
  <c r="BT178" s="1"/>
  <c r="AV179"/>
  <c r="BT179" s="1"/>
  <c r="AV180"/>
  <c r="BT180" s="1"/>
  <c r="AV181"/>
  <c r="BT181" s="1"/>
  <c r="AV182"/>
  <c r="BT182" s="1"/>
  <c r="AV184"/>
  <c r="BT184" s="1"/>
  <c r="AV185"/>
  <c r="BT185" s="1"/>
  <c r="AV186"/>
  <c r="BT186" s="1"/>
  <c r="AV187"/>
  <c r="BT187" s="1"/>
  <c r="AV189"/>
  <c r="BT189" s="1"/>
  <c r="AV190"/>
  <c r="BT190" s="1"/>
  <c r="AV191"/>
  <c r="BT191" s="1"/>
  <c r="AV192"/>
  <c r="BT192" s="1"/>
  <c r="AV193"/>
  <c r="BT193" s="1"/>
  <c r="AV194"/>
  <c r="BT194" s="1"/>
  <c r="AV195"/>
  <c r="BT195" s="1"/>
  <c r="AV196"/>
  <c r="BT196" s="1"/>
  <c r="AV198"/>
  <c r="BT198" s="1"/>
  <c r="AV199"/>
  <c r="BT199" s="1"/>
  <c r="AV200"/>
  <c r="BT200" s="1"/>
  <c r="AV201"/>
  <c r="BT201" s="1"/>
  <c r="AV203"/>
  <c r="BT203" s="1"/>
  <c r="AV204"/>
  <c r="BT204" s="1"/>
  <c r="AV205"/>
  <c r="BT205" s="1"/>
  <c r="AV206"/>
  <c r="BT206" s="1"/>
  <c r="AV207"/>
  <c r="BT207" s="1"/>
  <c r="AV209"/>
  <c r="BT209" s="1"/>
  <c r="AV210"/>
  <c r="BT210" s="1"/>
  <c r="AV211"/>
  <c r="BT211" s="1"/>
  <c r="AV212"/>
  <c r="BT212" s="1"/>
  <c r="AV213"/>
  <c r="BT213" s="1"/>
  <c r="AV214"/>
  <c r="BT214" s="1"/>
  <c r="AV215"/>
  <c r="BT215" s="1"/>
  <c r="AV216"/>
  <c r="BT216" s="1"/>
  <c r="AV217"/>
  <c r="BT217" s="1"/>
  <c r="AV218"/>
  <c r="BT218" s="1"/>
  <c r="AV219"/>
  <c r="BT219" s="1"/>
  <c r="AV220"/>
  <c r="BT220" s="1"/>
  <c r="AV221"/>
  <c r="BT221" s="1"/>
  <c r="AV222"/>
  <c r="BT222" s="1"/>
  <c r="AV223"/>
  <c r="BT223" s="1"/>
  <c r="AV224"/>
  <c r="BT224" s="1"/>
  <c r="AV226"/>
  <c r="BT226" s="1"/>
  <c r="AV227"/>
  <c r="BT227" s="1"/>
  <c r="AV228"/>
  <c r="BT228" s="1"/>
  <c r="AV230"/>
  <c r="BT230" s="1"/>
  <c r="AV231"/>
  <c r="BT231" s="1"/>
  <c r="AV232"/>
  <c r="BT232" s="1"/>
  <c r="AV234"/>
  <c r="BT234" s="1"/>
  <c r="AV235"/>
  <c r="BT235" s="1"/>
  <c r="AV237"/>
  <c r="BT237" s="1"/>
  <c r="AV238"/>
  <c r="BT238" s="1"/>
  <c r="AV240"/>
  <c r="BT240" s="1"/>
  <c r="AV241"/>
  <c r="BT241" s="1"/>
  <c r="AV243"/>
  <c r="BT243" s="1"/>
  <c r="AV244"/>
  <c r="BT244" s="1"/>
  <c r="AV246"/>
  <c r="BT246" s="1"/>
  <c r="AV247"/>
  <c r="BT247" s="1"/>
  <c r="AV248"/>
  <c r="BT248" s="1"/>
  <c r="AV249"/>
  <c r="BT249" s="1"/>
  <c r="AV250"/>
  <c r="BT250" s="1"/>
  <c r="AV251"/>
  <c r="BT251" s="1"/>
  <c r="AV252"/>
  <c r="BT252" s="1"/>
  <c r="AV253"/>
  <c r="BT253" s="1"/>
  <c r="AV254"/>
  <c r="BT254" s="1"/>
  <c r="AV255"/>
  <c r="BT255" s="1"/>
  <c r="AV256"/>
  <c r="BT256" s="1"/>
  <c r="AV259"/>
  <c r="BT259" s="1"/>
  <c r="AV260"/>
  <c r="BT260" s="1"/>
  <c r="AV262"/>
  <c r="BT262" s="1"/>
  <c r="AV263"/>
  <c r="BT263" s="1"/>
  <c r="AV265"/>
  <c r="BT265" s="1"/>
  <c r="AV266"/>
  <c r="BT266" s="1"/>
  <c r="AV267"/>
  <c r="BT267" s="1"/>
  <c r="AV268"/>
  <c r="BT268" s="1"/>
  <c r="AV269"/>
  <c r="BT269" s="1"/>
  <c r="AV271"/>
  <c r="BT271" s="1"/>
  <c r="AV272"/>
  <c r="BT272" s="1"/>
  <c r="AV274"/>
  <c r="BT274" s="1"/>
  <c r="AV275"/>
  <c r="BT275" s="1"/>
  <c r="AV276"/>
  <c r="BT276" s="1"/>
  <c r="AV277"/>
  <c r="BT277" s="1"/>
  <c r="AV278"/>
  <c r="BT278" s="1"/>
  <c r="AV279"/>
  <c r="BT279" s="1"/>
  <c r="AV280"/>
  <c r="BT280" s="1"/>
  <c r="AV282"/>
  <c r="BT282" s="1"/>
  <c r="AV283"/>
  <c r="BT283" s="1"/>
  <c r="AV284"/>
  <c r="BT284" s="1"/>
  <c r="AV285"/>
  <c r="BT285" s="1"/>
  <c r="AV287"/>
  <c r="BT287" s="1"/>
  <c r="AV288"/>
  <c r="BT288" s="1"/>
  <c r="AV290"/>
  <c r="BT290" s="1"/>
  <c r="AV291"/>
  <c r="BT291" s="1"/>
  <c r="AV293"/>
  <c r="BT293" s="1"/>
  <c r="AV294"/>
  <c r="BT294" s="1"/>
  <c r="AV295"/>
  <c r="BT295" s="1"/>
  <c r="AV296"/>
  <c r="BT296" s="1"/>
  <c r="AV297"/>
  <c r="BT297" s="1"/>
  <c r="AV298"/>
  <c r="BT298" s="1"/>
  <c r="AV300"/>
  <c r="BT300" s="1"/>
  <c r="AV301"/>
  <c r="BT301" s="1"/>
  <c r="AV303"/>
  <c r="BT303" s="1"/>
  <c r="AV304"/>
  <c r="BT304" s="1"/>
  <c r="AV305"/>
  <c r="BT305" s="1"/>
  <c r="AV307"/>
  <c r="BT307" s="1"/>
  <c r="AV308"/>
  <c r="BT308" s="1"/>
  <c r="AV309"/>
  <c r="BT309" s="1"/>
  <c r="AV311"/>
  <c r="BT311" s="1"/>
  <c r="AV312"/>
  <c r="BT312" s="1"/>
  <c r="AV313"/>
  <c r="BT313" s="1"/>
  <c r="AV315"/>
  <c r="BT315" s="1"/>
  <c r="AV316"/>
  <c r="BT316" s="1"/>
  <c r="AV317"/>
  <c r="BT317" s="1"/>
  <c r="AV318"/>
  <c r="BT318" s="1"/>
  <c r="AV320"/>
  <c r="BT320" s="1"/>
  <c r="AV321"/>
  <c r="BT321" s="1"/>
  <c r="AV323"/>
  <c r="BT323" s="1"/>
  <c r="AV324"/>
  <c r="BT324" s="1"/>
  <c r="AV326"/>
  <c r="BT326" s="1"/>
  <c r="AV327"/>
  <c r="BT327" s="1"/>
  <c r="AV329"/>
  <c r="BT329" s="1"/>
  <c r="AV330"/>
  <c r="BT330" s="1"/>
  <c r="AV331"/>
  <c r="BT331" s="1"/>
  <c r="AV332"/>
  <c r="BT332" s="1"/>
  <c r="AV334"/>
  <c r="BT334" s="1"/>
  <c r="AV335"/>
  <c r="BT335" s="1"/>
  <c r="AV336"/>
  <c r="BT336" s="1"/>
  <c r="AV337"/>
  <c r="BT337" s="1"/>
  <c r="AV338"/>
  <c r="BT338" s="1"/>
  <c r="AV339"/>
  <c r="BT339" s="1"/>
  <c r="AV340"/>
  <c r="BT340" s="1"/>
  <c r="AV341"/>
  <c r="BT341" s="1"/>
  <c r="AV343"/>
  <c r="BT343" s="1"/>
  <c r="AV344"/>
  <c r="BT344" s="1"/>
  <c r="AV346"/>
  <c r="BT346" s="1"/>
  <c r="AV347"/>
  <c r="BT347" s="1"/>
  <c r="AV348"/>
  <c r="BT348" s="1"/>
  <c r="AV349"/>
  <c r="BT349" s="1"/>
  <c r="AV350"/>
  <c r="BT350" s="1"/>
  <c r="AV351"/>
  <c r="BT351" s="1"/>
  <c r="AV352"/>
  <c r="BT352" s="1"/>
  <c r="AV353"/>
  <c r="BT353" s="1"/>
  <c r="AV354"/>
  <c r="BT354" s="1"/>
  <c r="AV355"/>
  <c r="BT355" s="1"/>
  <c r="AV356"/>
  <c r="BT356" s="1"/>
  <c r="AV358"/>
  <c r="BT358" s="1"/>
  <c r="AV360"/>
  <c r="BT360" s="1"/>
  <c r="AV361"/>
  <c r="BT361" s="1"/>
  <c r="AV362"/>
  <c r="BT362" s="1"/>
  <c r="AV363"/>
  <c r="BT363" s="1"/>
  <c r="AV364"/>
  <c r="BT364" s="1"/>
  <c r="AV365"/>
  <c r="BT365" s="1"/>
  <c r="AV366"/>
  <c r="BT366" s="1"/>
  <c r="AV367"/>
  <c r="BT367" s="1"/>
  <c r="AV368"/>
  <c r="BT368" s="1"/>
  <c r="AV369"/>
  <c r="BT369" s="1"/>
  <c r="AV370"/>
  <c r="BT370" s="1"/>
  <c r="AV371"/>
  <c r="BT371" s="1"/>
  <c r="AV372"/>
  <c r="BT372" s="1"/>
  <c r="AV373"/>
  <c r="BT373" s="1"/>
  <c r="AV374"/>
  <c r="BT374" s="1"/>
  <c r="AV375"/>
  <c r="BT375" s="1"/>
  <c r="AV376"/>
  <c r="BT376" s="1"/>
  <c r="AV377"/>
  <c r="BT377" s="1"/>
  <c r="AV378"/>
  <c r="BT378" s="1"/>
  <c r="AV379"/>
  <c r="BT379" s="1"/>
  <c r="AV380"/>
  <c r="BT380" s="1"/>
  <c r="AV381"/>
  <c r="BT381" s="1"/>
  <c r="AV382"/>
  <c r="BT382" s="1"/>
  <c r="AV383"/>
  <c r="BT383" s="1"/>
  <c r="AV384"/>
  <c r="BT384" s="1"/>
  <c r="AV385"/>
  <c r="BT385" s="1"/>
  <c r="AV386"/>
  <c r="BT386" s="1"/>
  <c r="AV387"/>
  <c r="BT387" s="1"/>
  <c r="AV388"/>
  <c r="BT388" s="1"/>
  <c r="AV389"/>
  <c r="BT389" s="1"/>
  <c r="AV390"/>
  <c r="BT390" s="1"/>
  <c r="AV391"/>
  <c r="BT391" s="1"/>
  <c r="AV392"/>
  <c r="BT392" s="1"/>
  <c r="AV393"/>
  <c r="BT393" s="1"/>
  <c r="AV394"/>
  <c r="BT394" s="1"/>
  <c r="AV395"/>
  <c r="BT395" s="1"/>
  <c r="AV396"/>
  <c r="BT396" s="1"/>
  <c r="AV397"/>
  <c r="BT397" s="1"/>
  <c r="AV398"/>
  <c r="BT398" s="1"/>
  <c r="AV399"/>
  <c r="BT399" s="1"/>
  <c r="AV400"/>
  <c r="BT400" s="1"/>
  <c r="AV401"/>
  <c r="BT401" s="1"/>
  <c r="AV402"/>
  <c r="BT402" s="1"/>
  <c r="AV403"/>
  <c r="BT403" s="1"/>
  <c r="AV404"/>
  <c r="BT404" s="1"/>
  <c r="AV405"/>
  <c r="BT405" s="1"/>
  <c r="AV406"/>
  <c r="BT406" s="1"/>
  <c r="AV407"/>
  <c r="BT407" s="1"/>
  <c r="AV408"/>
  <c r="BT408" s="1"/>
  <c r="AV409"/>
  <c r="BT409" s="1"/>
  <c r="AV410"/>
  <c r="BT410" s="1"/>
  <c r="AV411"/>
  <c r="BT411" s="1"/>
  <c r="AV412"/>
  <c r="BT412" s="1"/>
  <c r="AV413"/>
  <c r="BT413" s="1"/>
  <c r="AV414"/>
  <c r="BT414" s="1"/>
  <c r="AV415"/>
  <c r="BT415" s="1"/>
  <c r="AV416"/>
  <c r="BT416" s="1"/>
  <c r="AV417"/>
  <c r="BT417" s="1"/>
  <c r="AV418"/>
  <c r="BT418" s="1"/>
  <c r="AV419"/>
  <c r="BT419" s="1"/>
  <c r="AV420"/>
  <c r="BT420" s="1"/>
  <c r="AV421"/>
  <c r="BT421" s="1"/>
  <c r="AV422"/>
  <c r="BT422" s="1"/>
  <c r="AV423"/>
  <c r="BT423" s="1"/>
  <c r="AV424"/>
  <c r="BT424" s="1"/>
  <c r="AV425"/>
  <c r="BT425" s="1"/>
  <c r="AV426"/>
  <c r="BT426" s="1"/>
  <c r="AV427"/>
  <c r="BT427" s="1"/>
  <c r="AV428"/>
  <c r="BT428" s="1"/>
  <c r="AV429"/>
  <c r="BT429" s="1"/>
  <c r="AV430"/>
  <c r="BT430" s="1"/>
  <c r="AV431"/>
  <c r="BT431" s="1"/>
  <c r="AV432"/>
  <c r="BT432" s="1"/>
  <c r="AV433"/>
  <c r="BT433" s="1"/>
  <c r="AV434"/>
  <c r="BT434" s="1"/>
  <c r="AV435"/>
  <c r="BT435" s="1"/>
  <c r="AV436"/>
  <c r="BT436" s="1"/>
  <c r="AV437"/>
  <c r="BT437" s="1"/>
  <c r="AV438"/>
  <c r="BT438" s="1"/>
  <c r="AV439"/>
  <c r="BT439" s="1"/>
  <c r="AV440"/>
  <c r="BT440" s="1"/>
  <c r="AV441"/>
  <c r="BT441" s="1"/>
  <c r="AV442"/>
  <c r="BT442" s="1"/>
  <c r="AV443"/>
  <c r="BT443" s="1"/>
  <c r="AV444"/>
  <c r="BT444" s="1"/>
  <c r="AV445"/>
  <c r="BT445" s="1"/>
  <c r="AV446"/>
  <c r="BT446" s="1"/>
  <c r="AV447"/>
  <c r="BT447" s="1"/>
  <c r="AV448"/>
  <c r="BT448" s="1"/>
  <c r="AV449"/>
  <c r="BT449" s="1"/>
  <c r="AV450"/>
  <c r="BT450" s="1"/>
  <c r="AV451"/>
  <c r="BT451" s="1"/>
  <c r="AV452"/>
  <c r="BT452" s="1"/>
  <c r="AV453"/>
  <c r="BT453" s="1"/>
  <c r="AV454"/>
  <c r="BT454" s="1"/>
  <c r="AV455"/>
  <c r="BT455" s="1"/>
  <c r="AV456"/>
  <c r="BT456" s="1"/>
  <c r="AV457"/>
  <c r="BT457" s="1"/>
  <c r="AV458"/>
  <c r="BT458" s="1"/>
  <c r="AV459"/>
  <c r="BT459" s="1"/>
  <c r="AV460"/>
  <c r="BT460" s="1"/>
  <c r="AV461"/>
  <c r="BT461" s="1"/>
  <c r="AV462"/>
  <c r="BT462" s="1"/>
  <c r="AV463"/>
  <c r="BT463" s="1"/>
  <c r="AV464"/>
  <c r="BT464" s="1"/>
  <c r="AV465"/>
  <c r="BT465" s="1"/>
  <c r="AV466"/>
  <c r="BT466" s="1"/>
  <c r="AV467"/>
  <c r="BT467" s="1"/>
  <c r="AV468"/>
  <c r="BT468" s="1"/>
  <c r="AV469"/>
  <c r="BT469" s="1"/>
  <c r="AV470"/>
  <c r="BT470" s="1"/>
  <c r="AV471"/>
  <c r="BT471" s="1"/>
  <c r="AV472"/>
  <c r="BT472" s="1"/>
  <c r="AV473"/>
  <c r="BT473" s="1"/>
  <c r="AV474"/>
  <c r="BT474" s="1"/>
  <c r="AV475"/>
  <c r="BT475" s="1"/>
  <c r="AV476"/>
  <c r="BT476" s="1"/>
  <c r="AV477"/>
  <c r="BT477" s="1"/>
  <c r="AV478"/>
  <c r="BT478" s="1"/>
  <c r="AV479"/>
  <c r="BT479" s="1"/>
  <c r="AV480"/>
  <c r="BT480" s="1"/>
  <c r="AV481"/>
  <c r="BT481" s="1"/>
  <c r="AV482"/>
  <c r="BT482" s="1"/>
  <c r="AV483"/>
  <c r="BT483" s="1"/>
  <c r="AV484"/>
  <c r="BT484" s="1"/>
  <c r="AV485"/>
  <c r="BT485" s="1"/>
  <c r="AV488"/>
  <c r="BT488" s="1"/>
  <c r="AV489"/>
  <c r="BT489" s="1"/>
  <c r="AV490"/>
  <c r="BT490" s="1"/>
  <c r="AV491"/>
  <c r="BT491" s="1"/>
  <c r="AV492"/>
  <c r="BT492" s="1"/>
  <c r="AV494"/>
  <c r="BT494" s="1"/>
  <c r="AV495"/>
  <c r="BT495" s="1"/>
  <c r="AV496"/>
  <c r="BT496" s="1"/>
  <c r="AV497"/>
  <c r="BT497" s="1"/>
  <c r="AV498"/>
  <c r="BT498" s="1"/>
  <c r="AV499"/>
  <c r="BT499" s="1"/>
  <c r="AV500"/>
  <c r="BT500" s="1"/>
  <c r="AV501"/>
  <c r="BT501" s="1"/>
  <c r="AV503"/>
  <c r="BT503" s="1"/>
  <c r="AV504"/>
  <c r="BT504" s="1"/>
  <c r="AV505"/>
  <c r="BT505" s="1"/>
  <c r="AV506"/>
  <c r="BT506" s="1"/>
  <c r="AV507"/>
  <c r="BT507" s="1"/>
  <c r="AV508"/>
  <c r="BT508" s="1"/>
  <c r="AV509"/>
  <c r="BT509" s="1"/>
  <c r="AV510"/>
  <c r="BT510" s="1"/>
  <c r="AV511"/>
  <c r="BT511" s="1"/>
  <c r="AV512"/>
  <c r="BT512" s="1"/>
  <c r="AV513"/>
  <c r="BT513" s="1"/>
  <c r="AV514"/>
  <c r="BT514" s="1"/>
  <c r="AV515"/>
  <c r="BT515" s="1"/>
  <c r="AV517"/>
  <c r="BT517" s="1"/>
  <c r="AV518"/>
  <c r="BT518" s="1"/>
  <c r="AV519"/>
  <c r="BT519" s="1"/>
  <c r="AV520"/>
  <c r="BT520" s="1"/>
  <c r="AV522"/>
  <c r="BT522" s="1"/>
  <c r="AV523"/>
  <c r="BT523" s="1"/>
  <c r="AV524"/>
  <c r="BT524" s="1"/>
  <c r="AV525"/>
  <c r="BT525" s="1"/>
  <c r="AV526"/>
  <c r="BT526" s="1"/>
  <c r="AV527"/>
  <c r="BT527" s="1"/>
  <c r="AV529"/>
  <c r="BT529" s="1"/>
  <c r="AV530"/>
  <c r="BT530" s="1"/>
  <c r="AV531"/>
  <c r="BT531" s="1"/>
  <c r="AV533"/>
  <c r="BT533" s="1"/>
  <c r="AV534"/>
  <c r="BT534" s="1"/>
  <c r="AV535"/>
  <c r="BT535" s="1"/>
  <c r="AV536"/>
  <c r="BT536" s="1"/>
  <c r="AV537"/>
  <c r="BT537" s="1"/>
  <c r="AV538"/>
  <c r="BT538" s="1"/>
  <c r="AV539"/>
  <c r="BT539" s="1"/>
  <c r="AV540"/>
  <c r="BT540" s="1"/>
  <c r="AV541"/>
  <c r="BT541" s="1"/>
  <c r="AV542"/>
  <c r="BT542" s="1"/>
  <c r="AV543"/>
  <c r="BT543" s="1"/>
  <c r="AV544"/>
  <c r="BT544" s="1"/>
  <c r="AV545"/>
  <c r="BT545" s="1"/>
  <c r="AV546"/>
  <c r="BT546" s="1"/>
  <c r="AV548"/>
  <c r="BT548" s="1"/>
  <c r="AV549"/>
  <c r="BT549" s="1"/>
  <c r="AV551"/>
  <c r="BT551" s="1"/>
  <c r="AV552"/>
  <c r="BT552" s="1"/>
  <c r="AV553"/>
  <c r="BT553" s="1"/>
  <c r="AV555"/>
  <c r="BT555" s="1"/>
  <c r="AV556"/>
  <c r="BT556" s="1"/>
  <c r="AV557"/>
  <c r="BT557" s="1"/>
  <c r="AV559"/>
  <c r="BT559" s="1"/>
  <c r="AV560"/>
  <c r="BT560" s="1"/>
  <c r="AV561"/>
  <c r="BT561" s="1"/>
  <c r="AV562"/>
  <c r="BT562" s="1"/>
  <c r="AV563"/>
  <c r="BT563" s="1"/>
  <c r="AV565"/>
  <c r="BT565" s="1"/>
  <c r="AV566"/>
  <c r="BT566" s="1"/>
  <c r="AV567"/>
  <c r="BT567" s="1"/>
  <c r="AV569"/>
  <c r="BT569" s="1"/>
  <c r="AV570"/>
  <c r="BT570" s="1"/>
  <c r="AV572"/>
  <c r="BT572" s="1"/>
  <c r="AV573"/>
  <c r="BT573" s="1"/>
  <c r="AV575"/>
  <c r="BT575" s="1"/>
  <c r="AV576"/>
  <c r="BT576" s="1"/>
  <c r="AV577"/>
  <c r="BT577" s="1"/>
  <c r="AV578"/>
  <c r="BT578" s="1"/>
  <c r="AV579"/>
  <c r="BT579" s="1"/>
  <c r="AV580"/>
  <c r="BT580" s="1"/>
  <c r="AV581"/>
  <c r="BT581" s="1"/>
  <c r="AV582"/>
  <c r="BT582" s="1"/>
  <c r="AV583"/>
  <c r="BT583" s="1"/>
  <c r="AV584"/>
  <c r="BT584" s="1"/>
  <c r="AV586"/>
  <c r="BT586" s="1"/>
  <c r="AV587"/>
  <c r="BT587" s="1"/>
  <c r="AV589"/>
  <c r="BT589" s="1"/>
  <c r="AV590"/>
  <c r="BT590" s="1"/>
  <c r="AV592"/>
  <c r="BT592" s="1"/>
  <c r="AV593"/>
  <c r="BT593" s="1"/>
  <c r="AV595"/>
  <c r="BT595" s="1"/>
  <c r="AV596"/>
  <c r="BT596" s="1"/>
  <c r="AV597"/>
  <c r="BT597" s="1"/>
  <c r="AV598"/>
  <c r="BT598" s="1"/>
  <c r="AV599"/>
  <c r="BT599" s="1"/>
  <c r="AV600"/>
  <c r="BT600" s="1"/>
  <c r="AV601"/>
  <c r="BT601" s="1"/>
  <c r="AV603"/>
  <c r="BT603" s="1"/>
  <c r="AV604"/>
  <c r="BT604" s="1"/>
  <c r="AV606"/>
  <c r="BT606" s="1"/>
  <c r="AV607"/>
  <c r="BT607" s="1"/>
  <c r="AV608"/>
  <c r="BT608" s="1"/>
  <c r="AV609"/>
  <c r="BT609" s="1"/>
  <c r="AV610"/>
  <c r="BT610" s="1"/>
  <c r="AV611"/>
  <c r="BT611" s="1"/>
  <c r="AV612"/>
  <c r="BT612" s="1"/>
  <c r="AV614"/>
  <c r="BT614" s="1"/>
  <c r="AV615"/>
  <c r="BT615" s="1"/>
  <c r="AV616"/>
  <c r="BT616" s="1"/>
  <c r="AV618"/>
  <c r="BT618" s="1"/>
  <c r="AV619"/>
  <c r="BT619" s="1"/>
  <c r="AV621"/>
  <c r="BT621" s="1"/>
  <c r="AV622"/>
  <c r="BT622" s="1"/>
  <c r="AV623"/>
  <c r="BT623" s="1"/>
  <c r="AV625"/>
  <c r="BT625" s="1"/>
  <c r="AV626"/>
  <c r="BT626" s="1"/>
  <c r="AV627"/>
  <c r="BT627" s="1"/>
  <c r="AV628"/>
  <c r="BT628" s="1"/>
  <c r="AV630"/>
  <c r="BT630" s="1"/>
  <c r="AV631"/>
  <c r="BT631" s="1"/>
  <c r="AV633"/>
  <c r="BT633" s="1"/>
  <c r="AV634"/>
  <c r="BT634" s="1"/>
  <c r="AV635"/>
  <c r="BT635" s="1"/>
  <c r="AV637"/>
  <c r="BT637" s="1"/>
  <c r="AV638"/>
  <c r="BT638" s="1"/>
  <c r="AV639"/>
  <c r="BT639" s="1"/>
  <c r="AV641"/>
  <c r="BT641" s="1"/>
  <c r="AV642"/>
  <c r="BT642" s="1"/>
  <c r="AV644"/>
  <c r="BT644" s="1"/>
  <c r="AV645"/>
  <c r="BT645" s="1"/>
  <c r="AV646"/>
  <c r="BT646" s="1"/>
  <c r="AV647"/>
  <c r="BT647" s="1"/>
  <c r="AV648"/>
  <c r="BT648" s="1"/>
  <c r="AV649"/>
  <c r="BT649" s="1"/>
  <c r="AV651"/>
  <c r="BT651" s="1"/>
  <c r="AV652"/>
  <c r="BT652" s="1"/>
  <c r="AV654"/>
  <c r="BT654" s="1"/>
  <c r="AV655"/>
  <c r="BT655" s="1"/>
  <c r="AV657"/>
  <c r="BT657" s="1"/>
  <c r="AV658"/>
  <c r="BT658" s="1"/>
  <c r="AV660"/>
  <c r="BT660" s="1"/>
  <c r="AV661"/>
  <c r="BT661" s="1"/>
  <c r="AV662"/>
  <c r="BT662" s="1"/>
  <c r="AV664"/>
  <c r="BT664" s="1"/>
  <c r="AV665"/>
  <c r="BT665" s="1"/>
  <c r="AV666"/>
  <c r="BT666" s="1"/>
  <c r="AV667"/>
  <c r="BT667" s="1"/>
  <c r="AV668"/>
  <c r="BT668" s="1"/>
  <c r="AV669"/>
  <c r="BT669" s="1"/>
  <c r="AV671"/>
  <c r="BT671" s="1"/>
  <c r="AV672"/>
  <c r="BT672" s="1"/>
  <c r="AV673"/>
  <c r="BT673" s="1"/>
  <c r="AV674"/>
  <c r="BT674" s="1"/>
  <c r="AV676"/>
  <c r="BT676" s="1"/>
  <c r="AV677"/>
  <c r="BT677" s="1"/>
  <c r="AV679"/>
  <c r="BT679" s="1"/>
  <c r="AV680"/>
  <c r="BT680" s="1"/>
  <c r="AV681"/>
  <c r="BT681" s="1"/>
  <c r="AV682"/>
  <c r="BT682" s="1"/>
  <c r="AV683"/>
  <c r="BT683" s="1"/>
  <c r="AV684"/>
  <c r="BT684" s="1"/>
  <c r="AV685"/>
  <c r="BT685" s="1"/>
  <c r="AV686"/>
  <c r="BT686" s="1"/>
  <c r="AV687"/>
  <c r="BT687" s="1"/>
  <c r="AV689"/>
  <c r="BT689" s="1"/>
  <c r="AV690"/>
  <c r="BT690" s="1"/>
  <c r="AV17"/>
  <c r="BT17" s="1"/>
  <c r="AU18"/>
  <c r="BS18" s="1"/>
  <c r="AU19"/>
  <c r="BS19" s="1"/>
  <c r="AU20"/>
  <c r="BS20" s="1"/>
  <c r="AU21"/>
  <c r="BS21" s="1"/>
  <c r="AU22"/>
  <c r="BS22" s="1"/>
  <c r="AU23"/>
  <c r="BS23" s="1"/>
  <c r="AU24"/>
  <c r="BS24" s="1"/>
  <c r="AU25"/>
  <c r="BS25" s="1"/>
  <c r="AU26"/>
  <c r="BS26" s="1"/>
  <c r="AU27"/>
  <c r="BS27" s="1"/>
  <c r="AU28"/>
  <c r="BS28" s="1"/>
  <c r="AU29"/>
  <c r="BS29" s="1"/>
  <c r="AU30"/>
  <c r="BS30" s="1"/>
  <c r="AU31"/>
  <c r="BS31" s="1"/>
  <c r="AU32"/>
  <c r="BS32" s="1"/>
  <c r="AU33"/>
  <c r="BS33" s="1"/>
  <c r="AU34"/>
  <c r="BS34" s="1"/>
  <c r="AU35"/>
  <c r="BS35" s="1"/>
  <c r="AU36"/>
  <c r="BS36" s="1"/>
  <c r="AU37"/>
  <c r="BS37" s="1"/>
  <c r="AU38"/>
  <c r="BS38" s="1"/>
  <c r="AU39"/>
  <c r="BS39" s="1"/>
  <c r="AU40"/>
  <c r="BS40" s="1"/>
  <c r="AU41"/>
  <c r="BS41" s="1"/>
  <c r="AU42"/>
  <c r="BS42" s="1"/>
  <c r="AU43"/>
  <c r="BS43" s="1"/>
  <c r="AU44"/>
  <c r="BS44" s="1"/>
  <c r="AU45"/>
  <c r="BS45" s="1"/>
  <c r="AU46"/>
  <c r="BS46" s="1"/>
  <c r="AU47"/>
  <c r="BS47" s="1"/>
  <c r="AU48"/>
  <c r="BS48" s="1"/>
  <c r="AU49"/>
  <c r="BS49" s="1"/>
  <c r="AU50"/>
  <c r="BS50" s="1"/>
  <c r="AU51"/>
  <c r="BS51" s="1"/>
  <c r="AU52"/>
  <c r="BS52" s="1"/>
  <c r="AU53"/>
  <c r="BS53" s="1"/>
  <c r="AU54"/>
  <c r="BS54" s="1"/>
  <c r="AU55"/>
  <c r="BS55" s="1"/>
  <c r="AU56"/>
  <c r="BS56" s="1"/>
  <c r="AU57"/>
  <c r="BS57" s="1"/>
  <c r="AU58"/>
  <c r="BS58" s="1"/>
  <c r="AU59"/>
  <c r="BS59" s="1"/>
  <c r="AU60"/>
  <c r="BS60" s="1"/>
  <c r="AU61"/>
  <c r="BS61" s="1"/>
  <c r="AU62"/>
  <c r="BS62" s="1"/>
  <c r="AU64"/>
  <c r="BS64" s="1"/>
  <c r="AU65"/>
  <c r="BS65" s="1"/>
  <c r="AU66"/>
  <c r="BS66" s="1"/>
  <c r="AU67"/>
  <c r="BS67" s="1"/>
  <c r="AU68"/>
  <c r="BS68" s="1"/>
  <c r="AU69"/>
  <c r="BS69" s="1"/>
  <c r="AU70"/>
  <c r="BS70" s="1"/>
  <c r="AU71"/>
  <c r="BS71" s="1"/>
  <c r="AU72"/>
  <c r="BS72" s="1"/>
  <c r="AU73"/>
  <c r="BS73" s="1"/>
  <c r="AU74"/>
  <c r="BS74" s="1"/>
  <c r="AU75"/>
  <c r="BS75" s="1"/>
  <c r="AU76"/>
  <c r="BS76" s="1"/>
  <c r="AU77"/>
  <c r="BS77" s="1"/>
  <c r="AU78"/>
  <c r="BS78" s="1"/>
  <c r="AU79"/>
  <c r="BS79" s="1"/>
  <c r="AU80"/>
  <c r="BS80" s="1"/>
  <c r="AU82"/>
  <c r="BS82" s="1"/>
  <c r="AU83"/>
  <c r="BS83" s="1"/>
  <c r="AU84"/>
  <c r="BS84" s="1"/>
  <c r="AU85"/>
  <c r="BS85" s="1"/>
  <c r="AU86"/>
  <c r="BS86" s="1"/>
  <c r="AU87"/>
  <c r="BS87" s="1"/>
  <c r="AU88"/>
  <c r="BS88" s="1"/>
  <c r="AU89"/>
  <c r="BS89" s="1"/>
  <c r="AU90"/>
  <c r="BS90" s="1"/>
  <c r="AU91"/>
  <c r="BS91" s="1"/>
  <c r="AU92"/>
  <c r="BS92" s="1"/>
  <c r="AU93"/>
  <c r="BS93" s="1"/>
  <c r="AU94"/>
  <c r="BS94" s="1"/>
  <c r="AU95"/>
  <c r="BS95" s="1"/>
  <c r="AU96"/>
  <c r="BS96" s="1"/>
  <c r="AU97"/>
  <c r="BS97" s="1"/>
  <c r="AU98"/>
  <c r="BS98" s="1"/>
  <c r="AU99"/>
  <c r="BS99" s="1"/>
  <c r="AU100"/>
  <c r="BS100" s="1"/>
  <c r="AU101"/>
  <c r="BS101" s="1"/>
  <c r="AU102"/>
  <c r="BS102" s="1"/>
  <c r="AU103"/>
  <c r="BS103" s="1"/>
  <c r="AU104"/>
  <c r="BS104" s="1"/>
  <c r="AU105"/>
  <c r="BS105" s="1"/>
  <c r="AU106"/>
  <c r="BS106" s="1"/>
  <c r="AU107"/>
  <c r="BS107" s="1"/>
  <c r="AU108"/>
  <c r="BS108" s="1"/>
  <c r="AU110"/>
  <c r="BS110" s="1"/>
  <c r="AU111"/>
  <c r="BS111" s="1"/>
  <c r="AU112"/>
  <c r="BS112" s="1"/>
  <c r="AU113"/>
  <c r="BS113" s="1"/>
  <c r="AU114"/>
  <c r="BS114" s="1"/>
  <c r="AU115"/>
  <c r="BS115" s="1"/>
  <c r="AU116"/>
  <c r="BS116" s="1"/>
  <c r="AU117"/>
  <c r="BS117" s="1"/>
  <c r="AU118"/>
  <c r="BS118" s="1"/>
  <c r="AU119"/>
  <c r="BS119" s="1"/>
  <c r="AU120"/>
  <c r="BS120" s="1"/>
  <c r="AU121"/>
  <c r="BS121" s="1"/>
  <c r="AU122"/>
  <c r="BS122" s="1"/>
  <c r="AU123"/>
  <c r="BS123" s="1"/>
  <c r="AU124"/>
  <c r="BS124" s="1"/>
  <c r="AU127"/>
  <c r="BS127" s="1"/>
  <c r="AU128"/>
  <c r="BS128" s="1"/>
  <c r="AU129"/>
  <c r="BS129" s="1"/>
  <c r="AU130"/>
  <c r="BS130" s="1"/>
  <c r="AU132"/>
  <c r="BS132" s="1"/>
  <c r="AU135"/>
  <c r="BS135" s="1"/>
  <c r="AU136"/>
  <c r="BS136" s="1"/>
  <c r="AU137"/>
  <c r="BS137" s="1"/>
  <c r="AU138"/>
  <c r="BS138" s="1"/>
  <c r="AU139"/>
  <c r="BS139" s="1"/>
  <c r="AU141"/>
  <c r="BS141" s="1"/>
  <c r="AU142"/>
  <c r="BS142" s="1"/>
  <c r="AU143"/>
  <c r="BS143" s="1"/>
  <c r="AU144"/>
  <c r="BS144" s="1"/>
  <c r="AU145"/>
  <c r="BS145" s="1"/>
  <c r="AU146"/>
  <c r="BS146" s="1"/>
  <c r="AU147"/>
  <c r="BS147" s="1"/>
  <c r="AU148"/>
  <c r="BS148" s="1"/>
  <c r="AU149"/>
  <c r="BS149" s="1"/>
  <c r="AU150"/>
  <c r="BS150" s="1"/>
  <c r="AU151"/>
  <c r="BS151" s="1"/>
  <c r="AU152"/>
  <c r="BS152" s="1"/>
  <c r="AU153"/>
  <c r="BS153" s="1"/>
  <c r="AU154"/>
  <c r="BS154" s="1"/>
  <c r="AU156"/>
  <c r="BS156" s="1"/>
  <c r="AU157"/>
  <c r="BS157" s="1"/>
  <c r="AU158"/>
  <c r="BS158" s="1"/>
  <c r="AU160"/>
  <c r="BS160" s="1"/>
  <c r="AU161"/>
  <c r="BS161" s="1"/>
  <c r="AU162"/>
  <c r="BS162" s="1"/>
  <c r="AU163"/>
  <c r="BS163" s="1"/>
  <c r="AU164"/>
  <c r="BS164" s="1"/>
  <c r="AU166"/>
  <c r="BS166" s="1"/>
  <c r="AU167"/>
  <c r="BS167" s="1"/>
  <c r="AU169"/>
  <c r="BS169" s="1"/>
  <c r="AU170"/>
  <c r="BS170" s="1"/>
  <c r="AU171"/>
  <c r="BS171" s="1"/>
  <c r="AU173"/>
  <c r="BS173" s="1"/>
  <c r="AU174"/>
  <c r="BS174" s="1"/>
  <c r="AU175"/>
  <c r="BS175" s="1"/>
  <c r="AU176"/>
  <c r="BS176" s="1"/>
  <c r="AU177"/>
  <c r="BS177" s="1"/>
  <c r="AU178"/>
  <c r="BS178" s="1"/>
  <c r="AU179"/>
  <c r="BS179" s="1"/>
  <c r="AU180"/>
  <c r="BS180" s="1"/>
  <c r="AU181"/>
  <c r="BS181" s="1"/>
  <c r="AU182"/>
  <c r="BS182" s="1"/>
  <c r="AU184"/>
  <c r="BS184" s="1"/>
  <c r="AU185"/>
  <c r="BS185" s="1"/>
  <c r="AU186"/>
  <c r="BS186" s="1"/>
  <c r="AU187"/>
  <c r="BS187" s="1"/>
  <c r="AU189"/>
  <c r="BS189" s="1"/>
  <c r="AU190"/>
  <c r="BS190" s="1"/>
  <c r="AU191"/>
  <c r="BS191" s="1"/>
  <c r="AU192"/>
  <c r="BS192" s="1"/>
  <c r="AU193"/>
  <c r="BS193" s="1"/>
  <c r="AU194"/>
  <c r="BS194" s="1"/>
  <c r="AU195"/>
  <c r="BS195" s="1"/>
  <c r="AU196"/>
  <c r="BS196" s="1"/>
  <c r="AU198"/>
  <c r="BS198" s="1"/>
  <c r="AU199"/>
  <c r="BS199" s="1"/>
  <c r="AU200"/>
  <c r="BS200" s="1"/>
  <c r="AU201"/>
  <c r="BS201" s="1"/>
  <c r="AU203"/>
  <c r="BS203" s="1"/>
  <c r="AU204"/>
  <c r="BS204" s="1"/>
  <c r="AU205"/>
  <c r="BS205" s="1"/>
  <c r="AU206"/>
  <c r="BS206" s="1"/>
  <c r="AU207"/>
  <c r="BS207" s="1"/>
  <c r="AU209"/>
  <c r="BS209" s="1"/>
  <c r="AU210"/>
  <c r="BS210" s="1"/>
  <c r="AU211"/>
  <c r="BS211" s="1"/>
  <c r="AU212"/>
  <c r="BS212" s="1"/>
  <c r="AU213"/>
  <c r="BS213" s="1"/>
  <c r="AU214"/>
  <c r="BS214" s="1"/>
  <c r="AU215"/>
  <c r="BS215" s="1"/>
  <c r="AU216"/>
  <c r="BS216" s="1"/>
  <c r="AU217"/>
  <c r="BS217" s="1"/>
  <c r="AU218"/>
  <c r="BS218" s="1"/>
  <c r="AU219"/>
  <c r="BS219" s="1"/>
  <c r="AU222"/>
  <c r="BS222" s="1"/>
  <c r="AU224"/>
  <c r="BS224" s="1"/>
  <c r="AU226"/>
  <c r="BS226" s="1"/>
  <c r="AU227"/>
  <c r="BS227" s="1"/>
  <c r="AU228"/>
  <c r="BS228" s="1"/>
  <c r="AU230"/>
  <c r="BS230" s="1"/>
  <c r="AU231"/>
  <c r="BS231" s="1"/>
  <c r="AU232"/>
  <c r="BS232" s="1"/>
  <c r="AU234"/>
  <c r="BS234" s="1"/>
  <c r="AU235"/>
  <c r="BS235" s="1"/>
  <c r="AU237"/>
  <c r="BS237" s="1"/>
  <c r="AU238"/>
  <c r="BS238" s="1"/>
  <c r="AU240"/>
  <c r="BS240" s="1"/>
  <c r="AU241"/>
  <c r="BS241" s="1"/>
  <c r="AU243"/>
  <c r="BS243" s="1"/>
  <c r="AU244"/>
  <c r="BS244" s="1"/>
  <c r="AU246"/>
  <c r="BS246" s="1"/>
  <c r="AU247"/>
  <c r="BS247" s="1"/>
  <c r="AU248"/>
  <c r="BS248" s="1"/>
  <c r="AU249"/>
  <c r="BS249" s="1"/>
  <c r="AU250"/>
  <c r="BS250" s="1"/>
  <c r="AU251"/>
  <c r="BS251" s="1"/>
  <c r="AU252"/>
  <c r="BS252" s="1"/>
  <c r="AU254"/>
  <c r="BS254" s="1"/>
  <c r="AU255"/>
  <c r="BS255" s="1"/>
  <c r="AU256"/>
  <c r="BS256" s="1"/>
  <c r="AU257"/>
  <c r="BS257" s="1"/>
  <c r="AU259"/>
  <c r="BS259" s="1"/>
  <c r="AU260"/>
  <c r="BS260" s="1"/>
  <c r="AU262"/>
  <c r="BS262" s="1"/>
  <c r="AU263"/>
  <c r="BS263" s="1"/>
  <c r="AU265"/>
  <c r="BS265" s="1"/>
  <c r="AU266"/>
  <c r="BS266" s="1"/>
  <c r="AU267"/>
  <c r="BS267" s="1"/>
  <c r="AU268"/>
  <c r="BS268" s="1"/>
  <c r="AU269"/>
  <c r="BS269" s="1"/>
  <c r="AU271"/>
  <c r="BS271" s="1"/>
  <c r="AU272"/>
  <c r="BS272" s="1"/>
  <c r="AU274"/>
  <c r="BS274" s="1"/>
  <c r="AU275"/>
  <c r="BS275" s="1"/>
  <c r="AU276"/>
  <c r="BS276" s="1"/>
  <c r="AU277"/>
  <c r="BS277" s="1"/>
  <c r="AU278"/>
  <c r="BS278" s="1"/>
  <c r="AU279"/>
  <c r="BS279" s="1"/>
  <c r="AU280"/>
  <c r="BS280" s="1"/>
  <c r="AU282"/>
  <c r="BS282" s="1"/>
  <c r="AU283"/>
  <c r="BS283" s="1"/>
  <c r="AU284"/>
  <c r="BS284" s="1"/>
  <c r="AU285"/>
  <c r="BS285" s="1"/>
  <c r="AU287"/>
  <c r="BS287" s="1"/>
  <c r="AU288"/>
  <c r="BS288" s="1"/>
  <c r="AU290"/>
  <c r="BS290" s="1"/>
  <c r="AU291"/>
  <c r="BS291" s="1"/>
  <c r="AU293"/>
  <c r="BS293" s="1"/>
  <c r="AU294"/>
  <c r="BS294" s="1"/>
  <c r="AU295"/>
  <c r="BS295" s="1"/>
  <c r="AU296"/>
  <c r="BS296" s="1"/>
  <c r="AU297"/>
  <c r="BS297" s="1"/>
  <c r="AU298"/>
  <c r="BS298" s="1"/>
  <c r="AU300"/>
  <c r="BS300" s="1"/>
  <c r="AU301"/>
  <c r="BS301" s="1"/>
  <c r="AU303"/>
  <c r="BS303" s="1"/>
  <c r="AU304"/>
  <c r="BS304" s="1"/>
  <c r="AU305"/>
  <c r="BS305" s="1"/>
  <c r="AU307"/>
  <c r="BS307" s="1"/>
  <c r="AU308"/>
  <c r="BS308" s="1"/>
  <c r="AU309"/>
  <c r="BS309" s="1"/>
  <c r="AU311"/>
  <c r="BS311" s="1"/>
  <c r="AU312"/>
  <c r="BS312" s="1"/>
  <c r="AU313"/>
  <c r="BS313" s="1"/>
  <c r="AU315"/>
  <c r="BS315" s="1"/>
  <c r="AU316"/>
  <c r="BS316" s="1"/>
  <c r="AU317"/>
  <c r="BS317" s="1"/>
  <c r="AU318"/>
  <c r="BS318" s="1"/>
  <c r="AU320"/>
  <c r="BS320" s="1"/>
  <c r="AU321"/>
  <c r="BS321" s="1"/>
  <c r="AU323"/>
  <c r="BS323" s="1"/>
  <c r="AU324"/>
  <c r="BS324" s="1"/>
  <c r="AU326"/>
  <c r="BS326" s="1"/>
  <c r="AU327"/>
  <c r="BS327" s="1"/>
  <c r="AU329"/>
  <c r="BS329" s="1"/>
  <c r="AU330"/>
  <c r="BS330" s="1"/>
  <c r="AU331"/>
  <c r="BS331" s="1"/>
  <c r="AU332"/>
  <c r="BS332" s="1"/>
  <c r="AU334"/>
  <c r="BS334" s="1"/>
  <c r="AU335"/>
  <c r="BS335" s="1"/>
  <c r="AU336"/>
  <c r="BS336" s="1"/>
  <c r="AU337"/>
  <c r="BS337" s="1"/>
  <c r="AU338"/>
  <c r="BS338" s="1"/>
  <c r="AU339"/>
  <c r="BS339" s="1"/>
  <c r="AU340"/>
  <c r="BS340" s="1"/>
  <c r="AU341"/>
  <c r="BS341" s="1"/>
  <c r="AU343"/>
  <c r="BS343" s="1"/>
  <c r="AU344"/>
  <c r="BS344" s="1"/>
  <c r="AU346"/>
  <c r="BS346" s="1"/>
  <c r="AU347"/>
  <c r="BS347" s="1"/>
  <c r="AU348"/>
  <c r="BS348" s="1"/>
  <c r="AU349"/>
  <c r="BS349" s="1"/>
  <c r="AU350"/>
  <c r="BS350" s="1"/>
  <c r="AU351"/>
  <c r="BS351" s="1"/>
  <c r="AU352"/>
  <c r="BS352" s="1"/>
  <c r="AU353"/>
  <c r="BS353" s="1"/>
  <c r="AU354"/>
  <c r="BS354" s="1"/>
  <c r="AU355"/>
  <c r="BS355" s="1"/>
  <c r="AU356"/>
  <c r="BS356" s="1"/>
  <c r="AU358"/>
  <c r="BS358" s="1"/>
  <c r="AU360"/>
  <c r="BS360" s="1"/>
  <c r="AU361"/>
  <c r="BS361" s="1"/>
  <c r="AU362"/>
  <c r="BS362" s="1"/>
  <c r="AU363"/>
  <c r="BS363" s="1"/>
  <c r="AU364"/>
  <c r="BS364" s="1"/>
  <c r="AU365"/>
  <c r="BS365" s="1"/>
  <c r="AU366"/>
  <c r="BS366" s="1"/>
  <c r="AU367"/>
  <c r="BS367" s="1"/>
  <c r="AU368"/>
  <c r="BS368" s="1"/>
  <c r="AU369"/>
  <c r="BS369" s="1"/>
  <c r="AU370"/>
  <c r="BS370" s="1"/>
  <c r="AU371"/>
  <c r="BS371" s="1"/>
  <c r="AU372"/>
  <c r="BS372" s="1"/>
  <c r="AU373"/>
  <c r="BS373" s="1"/>
  <c r="AU374"/>
  <c r="BS374" s="1"/>
  <c r="AU375"/>
  <c r="BS375" s="1"/>
  <c r="AU376"/>
  <c r="BS376" s="1"/>
  <c r="AU377"/>
  <c r="BS377" s="1"/>
  <c r="AU378"/>
  <c r="BS378" s="1"/>
  <c r="AU379"/>
  <c r="BS379" s="1"/>
  <c r="AU380"/>
  <c r="BS380" s="1"/>
  <c r="AU381"/>
  <c r="BS381" s="1"/>
  <c r="AU382"/>
  <c r="BS382" s="1"/>
  <c r="AU383"/>
  <c r="BS383" s="1"/>
  <c r="AU384"/>
  <c r="BS384" s="1"/>
  <c r="AU385"/>
  <c r="BS385" s="1"/>
  <c r="AU386"/>
  <c r="BS386" s="1"/>
  <c r="AU387"/>
  <c r="BS387" s="1"/>
  <c r="AU388"/>
  <c r="BS388" s="1"/>
  <c r="AU389"/>
  <c r="BS389" s="1"/>
  <c r="AU390"/>
  <c r="BS390" s="1"/>
  <c r="AU391"/>
  <c r="BS391" s="1"/>
  <c r="AU392"/>
  <c r="BS392" s="1"/>
  <c r="AU393"/>
  <c r="BS393" s="1"/>
  <c r="AU394"/>
  <c r="BS394" s="1"/>
  <c r="AU395"/>
  <c r="BS395" s="1"/>
  <c r="AU396"/>
  <c r="BS396" s="1"/>
  <c r="AU397"/>
  <c r="BS397" s="1"/>
  <c r="AU398"/>
  <c r="BS398" s="1"/>
  <c r="AU399"/>
  <c r="BS399" s="1"/>
  <c r="AU400"/>
  <c r="BS400" s="1"/>
  <c r="AU401"/>
  <c r="BS401" s="1"/>
  <c r="AU402"/>
  <c r="BS402" s="1"/>
  <c r="AU403"/>
  <c r="BS403" s="1"/>
  <c r="AU404"/>
  <c r="BS404" s="1"/>
  <c r="AU405"/>
  <c r="BS405" s="1"/>
  <c r="AU406"/>
  <c r="BS406" s="1"/>
  <c r="AU407"/>
  <c r="BS407" s="1"/>
  <c r="AU408"/>
  <c r="BS408" s="1"/>
  <c r="AU409"/>
  <c r="BS409" s="1"/>
  <c r="AU410"/>
  <c r="BS410" s="1"/>
  <c r="AU411"/>
  <c r="BS411" s="1"/>
  <c r="AU412"/>
  <c r="BS412" s="1"/>
  <c r="AU413"/>
  <c r="BS413" s="1"/>
  <c r="AU414"/>
  <c r="BS414" s="1"/>
  <c r="AU415"/>
  <c r="BS415" s="1"/>
  <c r="AU416"/>
  <c r="BS416" s="1"/>
  <c r="AU417"/>
  <c r="BS417" s="1"/>
  <c r="AU418"/>
  <c r="BS418" s="1"/>
  <c r="AU419"/>
  <c r="BS419" s="1"/>
  <c r="AU420"/>
  <c r="BS420" s="1"/>
  <c r="AU421"/>
  <c r="BS421" s="1"/>
  <c r="AU422"/>
  <c r="BS422" s="1"/>
  <c r="AU423"/>
  <c r="BS423" s="1"/>
  <c r="AU424"/>
  <c r="BS424" s="1"/>
  <c r="AU425"/>
  <c r="BS425" s="1"/>
  <c r="AU426"/>
  <c r="BS426" s="1"/>
  <c r="AU427"/>
  <c r="BS427" s="1"/>
  <c r="AU428"/>
  <c r="BS428" s="1"/>
  <c r="AU429"/>
  <c r="BS429" s="1"/>
  <c r="AU430"/>
  <c r="BS430" s="1"/>
  <c r="AU431"/>
  <c r="BS431" s="1"/>
  <c r="AU432"/>
  <c r="BS432" s="1"/>
  <c r="AU433"/>
  <c r="BS433" s="1"/>
  <c r="AU434"/>
  <c r="BS434" s="1"/>
  <c r="AU435"/>
  <c r="BS435" s="1"/>
  <c r="AU436"/>
  <c r="BS436" s="1"/>
  <c r="AU437"/>
  <c r="BS437" s="1"/>
  <c r="AU438"/>
  <c r="BS438" s="1"/>
  <c r="AU439"/>
  <c r="BS439" s="1"/>
  <c r="AU440"/>
  <c r="BS440" s="1"/>
  <c r="AU441"/>
  <c r="BS441" s="1"/>
  <c r="AU442"/>
  <c r="BS442" s="1"/>
  <c r="AU443"/>
  <c r="BS443" s="1"/>
  <c r="AU444"/>
  <c r="BS444" s="1"/>
  <c r="AU445"/>
  <c r="BS445" s="1"/>
  <c r="AU446"/>
  <c r="BS446" s="1"/>
  <c r="AU447"/>
  <c r="BS447" s="1"/>
  <c r="AU448"/>
  <c r="BS448" s="1"/>
  <c r="AU449"/>
  <c r="BS449" s="1"/>
  <c r="AU450"/>
  <c r="BS450" s="1"/>
  <c r="AU451"/>
  <c r="BS451" s="1"/>
  <c r="AU452"/>
  <c r="BS452" s="1"/>
  <c r="AU453"/>
  <c r="BS453" s="1"/>
  <c r="AU454"/>
  <c r="BS454" s="1"/>
  <c r="AU455"/>
  <c r="BS455" s="1"/>
  <c r="AU456"/>
  <c r="BS456" s="1"/>
  <c r="AU457"/>
  <c r="BS457" s="1"/>
  <c r="AU458"/>
  <c r="BS458" s="1"/>
  <c r="AU459"/>
  <c r="BS459" s="1"/>
  <c r="AU460"/>
  <c r="BS460" s="1"/>
  <c r="AU461"/>
  <c r="BS461" s="1"/>
  <c r="AU462"/>
  <c r="BS462" s="1"/>
  <c r="AU463"/>
  <c r="BS463" s="1"/>
  <c r="AU464"/>
  <c r="BS464" s="1"/>
  <c r="AU465"/>
  <c r="BS465" s="1"/>
  <c r="AU466"/>
  <c r="BS466" s="1"/>
  <c r="AU467"/>
  <c r="BS467" s="1"/>
  <c r="AU468"/>
  <c r="BS468" s="1"/>
  <c r="AU469"/>
  <c r="BS469" s="1"/>
  <c r="AU470"/>
  <c r="BS470" s="1"/>
  <c r="AU471"/>
  <c r="BS471" s="1"/>
  <c r="AU472"/>
  <c r="BS472" s="1"/>
  <c r="AU473"/>
  <c r="BS473" s="1"/>
  <c r="AU474"/>
  <c r="BS474" s="1"/>
  <c r="AU475"/>
  <c r="BS475" s="1"/>
  <c r="AU476"/>
  <c r="BS476" s="1"/>
  <c r="AU477"/>
  <c r="BS477" s="1"/>
  <c r="AU478"/>
  <c r="BS478" s="1"/>
  <c r="AU479"/>
  <c r="BS479" s="1"/>
  <c r="AU480"/>
  <c r="BS480" s="1"/>
  <c r="AU481"/>
  <c r="BS481" s="1"/>
  <c r="AU482"/>
  <c r="BS482" s="1"/>
  <c r="AU483"/>
  <c r="BS483" s="1"/>
  <c r="AU485"/>
  <c r="BS485" s="1"/>
  <c r="AU486"/>
  <c r="BS486" s="1"/>
  <c r="AU487"/>
  <c r="BS487" s="1"/>
  <c r="AU488"/>
  <c r="BS488" s="1"/>
  <c r="AU489"/>
  <c r="BS489" s="1"/>
  <c r="AU490"/>
  <c r="BS490" s="1"/>
  <c r="AU491"/>
  <c r="BS491" s="1"/>
  <c r="AU492"/>
  <c r="BS492" s="1"/>
  <c r="AU494"/>
  <c r="BS494" s="1"/>
  <c r="AU495"/>
  <c r="BS495" s="1"/>
  <c r="AU496"/>
  <c r="BS496" s="1"/>
  <c r="AU497"/>
  <c r="BS497" s="1"/>
  <c r="AU498"/>
  <c r="BS498" s="1"/>
  <c r="AU499"/>
  <c r="BS499" s="1"/>
  <c r="AU500"/>
  <c r="BS500" s="1"/>
  <c r="AU501"/>
  <c r="BS501" s="1"/>
  <c r="AU503"/>
  <c r="BS503" s="1"/>
  <c r="AU504"/>
  <c r="BS504" s="1"/>
  <c r="AU505"/>
  <c r="BS505" s="1"/>
  <c r="AU506"/>
  <c r="BS506" s="1"/>
  <c r="AU507"/>
  <c r="BS507" s="1"/>
  <c r="AU508"/>
  <c r="BS508" s="1"/>
  <c r="AU509"/>
  <c r="BS509" s="1"/>
  <c r="AU510"/>
  <c r="BS510" s="1"/>
  <c r="AU511"/>
  <c r="BS511" s="1"/>
  <c r="AU512"/>
  <c r="BS512" s="1"/>
  <c r="AU513"/>
  <c r="BS513" s="1"/>
  <c r="AU514"/>
  <c r="BS514" s="1"/>
  <c r="AU515"/>
  <c r="BS515" s="1"/>
  <c r="AU517"/>
  <c r="BS517" s="1"/>
  <c r="AU518"/>
  <c r="BS518" s="1"/>
  <c r="AU519"/>
  <c r="BS519" s="1"/>
  <c r="AU520"/>
  <c r="BS520" s="1"/>
  <c r="AU522"/>
  <c r="BS522" s="1"/>
  <c r="AU523"/>
  <c r="BS523" s="1"/>
  <c r="AU524"/>
  <c r="BS524" s="1"/>
  <c r="AU525"/>
  <c r="BS525" s="1"/>
  <c r="AU526"/>
  <c r="BS526" s="1"/>
  <c r="AU527"/>
  <c r="BS527" s="1"/>
  <c r="AU529"/>
  <c r="BS529" s="1"/>
  <c r="AU530"/>
  <c r="BS530" s="1"/>
  <c r="AU531"/>
  <c r="BS531" s="1"/>
  <c r="AU533"/>
  <c r="BS533" s="1"/>
  <c r="AU534"/>
  <c r="BS534" s="1"/>
  <c r="AU535"/>
  <c r="BS535" s="1"/>
  <c r="AU536"/>
  <c r="BS536" s="1"/>
  <c r="AU537"/>
  <c r="BS537" s="1"/>
  <c r="AU538"/>
  <c r="BS538" s="1"/>
  <c r="AU539"/>
  <c r="BS539" s="1"/>
  <c r="AU540"/>
  <c r="BS540" s="1"/>
  <c r="AU541"/>
  <c r="BS541" s="1"/>
  <c r="AU542"/>
  <c r="BS542" s="1"/>
  <c r="AU543"/>
  <c r="BS543" s="1"/>
  <c r="AU544"/>
  <c r="BS544" s="1"/>
  <c r="AU545"/>
  <c r="BS545" s="1"/>
  <c r="AU548"/>
  <c r="BS548" s="1"/>
  <c r="AU549"/>
  <c r="BS549" s="1"/>
  <c r="AU551"/>
  <c r="BS551" s="1"/>
  <c r="AU552"/>
  <c r="BS552" s="1"/>
  <c r="AU553"/>
  <c r="BS553" s="1"/>
  <c r="AU555"/>
  <c r="BS555" s="1"/>
  <c r="AU559"/>
  <c r="BS559" s="1"/>
  <c r="AU560"/>
  <c r="BS560" s="1"/>
  <c r="AU561"/>
  <c r="BS561" s="1"/>
  <c r="AU562"/>
  <c r="BS562" s="1"/>
  <c r="AU563"/>
  <c r="BS563" s="1"/>
  <c r="AU565"/>
  <c r="BS565" s="1"/>
  <c r="AU566"/>
  <c r="BS566" s="1"/>
  <c r="AU567"/>
  <c r="BS567" s="1"/>
  <c r="AU569"/>
  <c r="BS569" s="1"/>
  <c r="AU570"/>
  <c r="BS570" s="1"/>
  <c r="AU572"/>
  <c r="BS572" s="1"/>
  <c r="AU573"/>
  <c r="BS573" s="1"/>
  <c r="AU575"/>
  <c r="BS575" s="1"/>
  <c r="AU576"/>
  <c r="BS576" s="1"/>
  <c r="AU577"/>
  <c r="BS577" s="1"/>
  <c r="AU578"/>
  <c r="BS578" s="1"/>
  <c r="AU580"/>
  <c r="BS580" s="1"/>
  <c r="AU581"/>
  <c r="BS581" s="1"/>
  <c r="AU582"/>
  <c r="BS582" s="1"/>
  <c r="AU583"/>
  <c r="BS583" s="1"/>
  <c r="AU584"/>
  <c r="BS584" s="1"/>
  <c r="AU586"/>
  <c r="BS586" s="1"/>
  <c r="AU587"/>
  <c r="BS587" s="1"/>
  <c r="AU589"/>
  <c r="BS589" s="1"/>
  <c r="AU590"/>
  <c r="BS590" s="1"/>
  <c r="AU592"/>
  <c r="BS592" s="1"/>
  <c r="AU593"/>
  <c r="BS593" s="1"/>
  <c r="AU595"/>
  <c r="BS595" s="1"/>
  <c r="AU596"/>
  <c r="BS596" s="1"/>
  <c r="AU597"/>
  <c r="BS597" s="1"/>
  <c r="AU598"/>
  <c r="BS598" s="1"/>
  <c r="AU599"/>
  <c r="BS599" s="1"/>
  <c r="AU600"/>
  <c r="BS600" s="1"/>
  <c r="AU601"/>
  <c r="BS601" s="1"/>
  <c r="AU603"/>
  <c r="BS603" s="1"/>
  <c r="AU604"/>
  <c r="BS604" s="1"/>
  <c r="AU606"/>
  <c r="BS606" s="1"/>
  <c r="AU607"/>
  <c r="BS607" s="1"/>
  <c r="AU608"/>
  <c r="BS608" s="1"/>
  <c r="AU609"/>
  <c r="BS609" s="1"/>
  <c r="AU610"/>
  <c r="BS610" s="1"/>
  <c r="AU611"/>
  <c r="BS611" s="1"/>
  <c r="AU612"/>
  <c r="BS612" s="1"/>
  <c r="AU614"/>
  <c r="BS614" s="1"/>
  <c r="AU615"/>
  <c r="BS615" s="1"/>
  <c r="AU616"/>
  <c r="BS616" s="1"/>
  <c r="AU618"/>
  <c r="BS618" s="1"/>
  <c r="AU619"/>
  <c r="BS619" s="1"/>
  <c r="AU621"/>
  <c r="BS621" s="1"/>
  <c r="AU622"/>
  <c r="BS622" s="1"/>
  <c r="AU623"/>
  <c r="BS623" s="1"/>
  <c r="AU625"/>
  <c r="BS625" s="1"/>
  <c r="AU626"/>
  <c r="BS626" s="1"/>
  <c r="AU627"/>
  <c r="BS627" s="1"/>
  <c r="AU628"/>
  <c r="BS628" s="1"/>
  <c r="AU630"/>
  <c r="BS630" s="1"/>
  <c r="AU631"/>
  <c r="BS631" s="1"/>
  <c r="AU633"/>
  <c r="BS633" s="1"/>
  <c r="AU634"/>
  <c r="BS634" s="1"/>
  <c r="AU635"/>
  <c r="BS635" s="1"/>
  <c r="AU637"/>
  <c r="BS637" s="1"/>
  <c r="AU638"/>
  <c r="BS638" s="1"/>
  <c r="AU639"/>
  <c r="BS639" s="1"/>
  <c r="AU641"/>
  <c r="BS641" s="1"/>
  <c r="AU642"/>
  <c r="BS642" s="1"/>
  <c r="AU644"/>
  <c r="BS644" s="1"/>
  <c r="AU645"/>
  <c r="BS645" s="1"/>
  <c r="AU646"/>
  <c r="BS646" s="1"/>
  <c r="AU647"/>
  <c r="BS647" s="1"/>
  <c r="AU648"/>
  <c r="BS648" s="1"/>
  <c r="AU649"/>
  <c r="BS649" s="1"/>
  <c r="AU651"/>
  <c r="BS651" s="1"/>
  <c r="AU652"/>
  <c r="BS652" s="1"/>
  <c r="AU654"/>
  <c r="BS654" s="1"/>
  <c r="AU655"/>
  <c r="BS655" s="1"/>
  <c r="AU657"/>
  <c r="BS657" s="1"/>
  <c r="AU658"/>
  <c r="BS658" s="1"/>
  <c r="AU660"/>
  <c r="BS660" s="1"/>
  <c r="AU661"/>
  <c r="BS661" s="1"/>
  <c r="AU662"/>
  <c r="BS662" s="1"/>
  <c r="AU664"/>
  <c r="BS664" s="1"/>
  <c r="AU665"/>
  <c r="BS665" s="1"/>
  <c r="AU666"/>
  <c r="BS666" s="1"/>
  <c r="AU667"/>
  <c r="BS667" s="1"/>
  <c r="AU668"/>
  <c r="BS668" s="1"/>
  <c r="AU669"/>
  <c r="BS669" s="1"/>
  <c r="AU671"/>
  <c r="BS671" s="1"/>
  <c r="AU672"/>
  <c r="BS672" s="1"/>
  <c r="AU673"/>
  <c r="BS673" s="1"/>
  <c r="AU674"/>
  <c r="BS674" s="1"/>
  <c r="AU676"/>
  <c r="BS676" s="1"/>
  <c r="AU677"/>
  <c r="BS677" s="1"/>
  <c r="AU679"/>
  <c r="BS679" s="1"/>
  <c r="AU680"/>
  <c r="BS680" s="1"/>
  <c r="AU681"/>
  <c r="BS681" s="1"/>
  <c r="AU682"/>
  <c r="BS682" s="1"/>
  <c r="AU683"/>
  <c r="BS683" s="1"/>
  <c r="AU684"/>
  <c r="BS684" s="1"/>
  <c r="AU685"/>
  <c r="BS685" s="1"/>
  <c r="AU686"/>
  <c r="BS686" s="1"/>
  <c r="AU687"/>
  <c r="BS687" s="1"/>
  <c r="AU689"/>
  <c r="BS689" s="1"/>
  <c r="AU690"/>
  <c r="BS690" s="1"/>
  <c r="AU17"/>
  <c r="BS17" s="1"/>
  <c r="AT18"/>
  <c r="BR18" s="1"/>
  <c r="AT19"/>
  <c r="BR19" s="1"/>
  <c r="AT20"/>
  <c r="BR20" s="1"/>
  <c r="AT21"/>
  <c r="BR21" s="1"/>
  <c r="AT22"/>
  <c r="BR22" s="1"/>
  <c r="AT23"/>
  <c r="BR23" s="1"/>
  <c r="AT24"/>
  <c r="BR24" s="1"/>
  <c r="AT25"/>
  <c r="BR25" s="1"/>
  <c r="AT26"/>
  <c r="BR26" s="1"/>
  <c r="AT27"/>
  <c r="BR27" s="1"/>
  <c r="AT28"/>
  <c r="BR28" s="1"/>
  <c r="AT29"/>
  <c r="BR29" s="1"/>
  <c r="AT30"/>
  <c r="BR30" s="1"/>
  <c r="AT31"/>
  <c r="BR31" s="1"/>
  <c r="AT32"/>
  <c r="BR32" s="1"/>
  <c r="AT33"/>
  <c r="BR33" s="1"/>
  <c r="AT34"/>
  <c r="BR34" s="1"/>
  <c r="AT35"/>
  <c r="BR35" s="1"/>
  <c r="AT36"/>
  <c r="BR36" s="1"/>
  <c r="AT37"/>
  <c r="BR37" s="1"/>
  <c r="AT38"/>
  <c r="BR38" s="1"/>
  <c r="AT39"/>
  <c r="BR39" s="1"/>
  <c r="AT40"/>
  <c r="BR40" s="1"/>
  <c r="AT41"/>
  <c r="BR41" s="1"/>
  <c r="AT42"/>
  <c r="BR42" s="1"/>
  <c r="AT43"/>
  <c r="BR43" s="1"/>
  <c r="AT44"/>
  <c r="BR44" s="1"/>
  <c r="AT45"/>
  <c r="BR45" s="1"/>
  <c r="AT46"/>
  <c r="BR46" s="1"/>
  <c r="AT47"/>
  <c r="BR47" s="1"/>
  <c r="AT48"/>
  <c r="BR48" s="1"/>
  <c r="AT49"/>
  <c r="BR49" s="1"/>
  <c r="AT50"/>
  <c r="BR50" s="1"/>
  <c r="AT51"/>
  <c r="BR51" s="1"/>
  <c r="AT52"/>
  <c r="BR52" s="1"/>
  <c r="AT53"/>
  <c r="BR53" s="1"/>
  <c r="AT54"/>
  <c r="BR54" s="1"/>
  <c r="AT55"/>
  <c r="BR55" s="1"/>
  <c r="AT56"/>
  <c r="BR56" s="1"/>
  <c r="AT57"/>
  <c r="BR57" s="1"/>
  <c r="AT58"/>
  <c r="BR58" s="1"/>
  <c r="AT59"/>
  <c r="BR59" s="1"/>
  <c r="AT60"/>
  <c r="BR60" s="1"/>
  <c r="AT61"/>
  <c r="BR61" s="1"/>
  <c r="AT62"/>
  <c r="BR62" s="1"/>
  <c r="AT64"/>
  <c r="BR64" s="1"/>
  <c r="AT65"/>
  <c r="BR65" s="1"/>
  <c r="AT66"/>
  <c r="BR66" s="1"/>
  <c r="AT67"/>
  <c r="BR67" s="1"/>
  <c r="AT68"/>
  <c r="BR68" s="1"/>
  <c r="AT69"/>
  <c r="BR69" s="1"/>
  <c r="AT70"/>
  <c r="BR70" s="1"/>
  <c r="AT71"/>
  <c r="BR71" s="1"/>
  <c r="AT72"/>
  <c r="BR72" s="1"/>
  <c r="AT73"/>
  <c r="BR73" s="1"/>
  <c r="AT74"/>
  <c r="BR74" s="1"/>
  <c r="AT75"/>
  <c r="BR75" s="1"/>
  <c r="AT76"/>
  <c r="BR76" s="1"/>
  <c r="AT77"/>
  <c r="BR77" s="1"/>
  <c r="AT78"/>
  <c r="BR78" s="1"/>
  <c r="AT79"/>
  <c r="BR79" s="1"/>
  <c r="AT80"/>
  <c r="BR80" s="1"/>
  <c r="AT81"/>
  <c r="BR81" s="1"/>
  <c r="AT82"/>
  <c r="BR82" s="1"/>
  <c r="AT83"/>
  <c r="BR83" s="1"/>
  <c r="AT84"/>
  <c r="BR84" s="1"/>
  <c r="AT85"/>
  <c r="BR85" s="1"/>
  <c r="AT86"/>
  <c r="BR86" s="1"/>
  <c r="AT87"/>
  <c r="BR87" s="1"/>
  <c r="AT88"/>
  <c r="BR88" s="1"/>
  <c r="AT89"/>
  <c r="BR89" s="1"/>
  <c r="AT90"/>
  <c r="BR90" s="1"/>
  <c r="AT91"/>
  <c r="BR91" s="1"/>
  <c r="AT92"/>
  <c r="BR92" s="1"/>
  <c r="AT93"/>
  <c r="BR93" s="1"/>
  <c r="AT94"/>
  <c r="BR94" s="1"/>
  <c r="AT95"/>
  <c r="BR95" s="1"/>
  <c r="AT96"/>
  <c r="BR96" s="1"/>
  <c r="AT97"/>
  <c r="BR97" s="1"/>
  <c r="AT98"/>
  <c r="BR98" s="1"/>
  <c r="AT99"/>
  <c r="BR99" s="1"/>
  <c r="AT100"/>
  <c r="BR100" s="1"/>
  <c r="AT101"/>
  <c r="BR101" s="1"/>
  <c r="AT102"/>
  <c r="BR102" s="1"/>
  <c r="AT103"/>
  <c r="BR103" s="1"/>
  <c r="AT104"/>
  <c r="BR104" s="1"/>
  <c r="AT105"/>
  <c r="BR105" s="1"/>
  <c r="AT106"/>
  <c r="BR106" s="1"/>
  <c r="AT107"/>
  <c r="BR107" s="1"/>
  <c r="AT108"/>
  <c r="BR108" s="1"/>
  <c r="AT109"/>
  <c r="BR109" s="1"/>
  <c r="AT110"/>
  <c r="BR110" s="1"/>
  <c r="AT111"/>
  <c r="BR111" s="1"/>
  <c r="AT112"/>
  <c r="BR112" s="1"/>
  <c r="AT113"/>
  <c r="BR113" s="1"/>
  <c r="AT114"/>
  <c r="BR114" s="1"/>
  <c r="AT115"/>
  <c r="BR115" s="1"/>
  <c r="AT116"/>
  <c r="BR116" s="1"/>
  <c r="AT117"/>
  <c r="BR117" s="1"/>
  <c r="AT118"/>
  <c r="BR118" s="1"/>
  <c r="AT119"/>
  <c r="BR119" s="1"/>
  <c r="AT120"/>
  <c r="BR120" s="1"/>
  <c r="AT121"/>
  <c r="BR121" s="1"/>
  <c r="AT122"/>
  <c r="BR122" s="1"/>
  <c r="AT123"/>
  <c r="BR123" s="1"/>
  <c r="AT124"/>
  <c r="BR124" s="1"/>
  <c r="AT125"/>
  <c r="BR125" s="1"/>
  <c r="AT126"/>
  <c r="BR126" s="1"/>
  <c r="AT127"/>
  <c r="BR127" s="1"/>
  <c r="AT128"/>
  <c r="BR128" s="1"/>
  <c r="AT129"/>
  <c r="BR129" s="1"/>
  <c r="AT130"/>
  <c r="BR130" s="1"/>
  <c r="AT132"/>
  <c r="BR132" s="1"/>
  <c r="AT133"/>
  <c r="BR133" s="1"/>
  <c r="AT135"/>
  <c r="BR135" s="1"/>
  <c r="AT136"/>
  <c r="BR136" s="1"/>
  <c r="AT137"/>
  <c r="BR137" s="1"/>
  <c r="AT138"/>
  <c r="BR138" s="1"/>
  <c r="AT139"/>
  <c r="BR139" s="1"/>
  <c r="AT140"/>
  <c r="BR140" s="1"/>
  <c r="AT141"/>
  <c r="BR141" s="1"/>
  <c r="AT142"/>
  <c r="BR142" s="1"/>
  <c r="AT143"/>
  <c r="BR143" s="1"/>
  <c r="AT144"/>
  <c r="BR144" s="1"/>
  <c r="AT145"/>
  <c r="BR145" s="1"/>
  <c r="AT146"/>
  <c r="BR146" s="1"/>
  <c r="AT147"/>
  <c r="BR147" s="1"/>
  <c r="AT148"/>
  <c r="BR148" s="1"/>
  <c r="AT149"/>
  <c r="BR149" s="1"/>
  <c r="AT150"/>
  <c r="BR150" s="1"/>
  <c r="AT151"/>
  <c r="BR151" s="1"/>
  <c r="AT152"/>
  <c r="BR152" s="1"/>
  <c r="AT153"/>
  <c r="BR153" s="1"/>
  <c r="AT154"/>
  <c r="BR154" s="1"/>
  <c r="AT156"/>
  <c r="BR156" s="1"/>
  <c r="AT157"/>
  <c r="BR157" s="1"/>
  <c r="AT158"/>
  <c r="BR158" s="1"/>
  <c r="AT160"/>
  <c r="BR160" s="1"/>
  <c r="AT161"/>
  <c r="BR161" s="1"/>
  <c r="AT162"/>
  <c r="BR162" s="1"/>
  <c r="AT163"/>
  <c r="BR163" s="1"/>
  <c r="AT164"/>
  <c r="BR164" s="1"/>
  <c r="AT166"/>
  <c r="BR166" s="1"/>
  <c r="AT167"/>
  <c r="BR167" s="1"/>
  <c r="AT169"/>
  <c r="BR169" s="1"/>
  <c r="AT170"/>
  <c r="BR170" s="1"/>
  <c r="AT171"/>
  <c r="BR171" s="1"/>
  <c r="AT172"/>
  <c r="BR172" s="1"/>
  <c r="AT173"/>
  <c r="BR173" s="1"/>
  <c r="AT174"/>
  <c r="BR174" s="1"/>
  <c r="AT175"/>
  <c r="BR175" s="1"/>
  <c r="AT176"/>
  <c r="BR176" s="1"/>
  <c r="AT177"/>
  <c r="BR177" s="1"/>
  <c r="AT178"/>
  <c r="BR178" s="1"/>
  <c r="AT179"/>
  <c r="BR179" s="1"/>
  <c r="AT180"/>
  <c r="BR180" s="1"/>
  <c r="AT181"/>
  <c r="BR181" s="1"/>
  <c r="AT182"/>
  <c r="BR182" s="1"/>
  <c r="AT184"/>
  <c r="BR184" s="1"/>
  <c r="AT185"/>
  <c r="BR185" s="1"/>
  <c r="AT186"/>
  <c r="BR186" s="1"/>
  <c r="AT187"/>
  <c r="BR187" s="1"/>
  <c r="AT189"/>
  <c r="BR189" s="1"/>
  <c r="AT190"/>
  <c r="BR190" s="1"/>
  <c r="AT191"/>
  <c r="BR191" s="1"/>
  <c r="AT192"/>
  <c r="BR192" s="1"/>
  <c r="AT193"/>
  <c r="BR193" s="1"/>
  <c r="AT194"/>
  <c r="BR194" s="1"/>
  <c r="AT195"/>
  <c r="BR195" s="1"/>
  <c r="AT196"/>
  <c r="BR196" s="1"/>
  <c r="AT198"/>
  <c r="BR198" s="1"/>
  <c r="AT199"/>
  <c r="BR199" s="1"/>
  <c r="AT200"/>
  <c r="BR200" s="1"/>
  <c r="AT201"/>
  <c r="BR201" s="1"/>
  <c r="AT203"/>
  <c r="BR203" s="1"/>
  <c r="AT204"/>
  <c r="BR204" s="1"/>
  <c r="AT205"/>
  <c r="BR205" s="1"/>
  <c r="AT206"/>
  <c r="BR206" s="1"/>
  <c r="AT207"/>
  <c r="BR207" s="1"/>
  <c r="AT209"/>
  <c r="BR209" s="1"/>
  <c r="AT210"/>
  <c r="BR210" s="1"/>
  <c r="AT211"/>
  <c r="BR211" s="1"/>
  <c r="AT212"/>
  <c r="BR212" s="1"/>
  <c r="AT213"/>
  <c r="BR213" s="1"/>
  <c r="AT214"/>
  <c r="BR214" s="1"/>
  <c r="AT215"/>
  <c r="BR215" s="1"/>
  <c r="AT216"/>
  <c r="BR216" s="1"/>
  <c r="AT217"/>
  <c r="BR217" s="1"/>
  <c r="AT218"/>
  <c r="BR218" s="1"/>
  <c r="AT219"/>
  <c r="BR219" s="1"/>
  <c r="AT220"/>
  <c r="BR220" s="1"/>
  <c r="AT221"/>
  <c r="BR221" s="1"/>
  <c r="AT222"/>
  <c r="BR222" s="1"/>
  <c r="AT223"/>
  <c r="BR223" s="1"/>
  <c r="AT224"/>
  <c r="BR224" s="1"/>
  <c r="AT226"/>
  <c r="BR226" s="1"/>
  <c r="AT227"/>
  <c r="BR227" s="1"/>
  <c r="AT228"/>
  <c r="BR228" s="1"/>
  <c r="AT230"/>
  <c r="BR230" s="1"/>
  <c r="AT231"/>
  <c r="BR231" s="1"/>
  <c r="AT232"/>
  <c r="BR232" s="1"/>
  <c r="AT234"/>
  <c r="BR234" s="1"/>
  <c r="AT235"/>
  <c r="BR235" s="1"/>
  <c r="AT237"/>
  <c r="BR237" s="1"/>
  <c r="AT238"/>
  <c r="BR238" s="1"/>
  <c r="AT240"/>
  <c r="BR240" s="1"/>
  <c r="AT241"/>
  <c r="BR241" s="1"/>
  <c r="AT243"/>
  <c r="BR243" s="1"/>
  <c r="AT244"/>
  <c r="BR244" s="1"/>
  <c r="AT246"/>
  <c r="BR246" s="1"/>
  <c r="AT247"/>
  <c r="BR247" s="1"/>
  <c r="AT248"/>
  <c r="BR248" s="1"/>
  <c r="AT249"/>
  <c r="BR249" s="1"/>
  <c r="AT250"/>
  <c r="BR250" s="1"/>
  <c r="AT251"/>
  <c r="BR251" s="1"/>
  <c r="AT252"/>
  <c r="BR252" s="1"/>
  <c r="AT254"/>
  <c r="BR254" s="1"/>
  <c r="AT255"/>
  <c r="BR255" s="1"/>
  <c r="AT256"/>
  <c r="BR256" s="1"/>
  <c r="AT257"/>
  <c r="BR257" s="1"/>
  <c r="AT259"/>
  <c r="BR259" s="1"/>
  <c r="AT260"/>
  <c r="BR260" s="1"/>
  <c r="AT262"/>
  <c r="BR262" s="1"/>
  <c r="AT263"/>
  <c r="BR263" s="1"/>
  <c r="AT265"/>
  <c r="BR265" s="1"/>
  <c r="AT266"/>
  <c r="BR266" s="1"/>
  <c r="AT267"/>
  <c r="BR267" s="1"/>
  <c r="AT268"/>
  <c r="BR268" s="1"/>
  <c r="AT269"/>
  <c r="BR269" s="1"/>
  <c r="AT271"/>
  <c r="BR271" s="1"/>
  <c r="AT272"/>
  <c r="BR272" s="1"/>
  <c r="AT274"/>
  <c r="BR274" s="1"/>
  <c r="AT275"/>
  <c r="BR275" s="1"/>
  <c r="AT276"/>
  <c r="BR276" s="1"/>
  <c r="AT277"/>
  <c r="BR277" s="1"/>
  <c r="AT278"/>
  <c r="BR278" s="1"/>
  <c r="AT279"/>
  <c r="BR279" s="1"/>
  <c r="AT280"/>
  <c r="BR280" s="1"/>
  <c r="AT282"/>
  <c r="BR282" s="1"/>
  <c r="AT283"/>
  <c r="BR283" s="1"/>
  <c r="AT284"/>
  <c r="BR284" s="1"/>
  <c r="AT285"/>
  <c r="BR285" s="1"/>
  <c r="AT287"/>
  <c r="BR287" s="1"/>
  <c r="AT288"/>
  <c r="BR288" s="1"/>
  <c r="AT290"/>
  <c r="BR290" s="1"/>
  <c r="AT291"/>
  <c r="BR291" s="1"/>
  <c r="AT293"/>
  <c r="BR293" s="1"/>
  <c r="AT294"/>
  <c r="BR294" s="1"/>
  <c r="AT295"/>
  <c r="BR295" s="1"/>
  <c r="AT296"/>
  <c r="BR296" s="1"/>
  <c r="AT297"/>
  <c r="BR297" s="1"/>
  <c r="AT298"/>
  <c r="BR298" s="1"/>
  <c r="AT300"/>
  <c r="BR300" s="1"/>
  <c r="AT301"/>
  <c r="BR301" s="1"/>
  <c r="AT303"/>
  <c r="BR303" s="1"/>
  <c r="AT304"/>
  <c r="BR304" s="1"/>
  <c r="AT305"/>
  <c r="BR305" s="1"/>
  <c r="AT307"/>
  <c r="BR307" s="1"/>
  <c r="AT308"/>
  <c r="BR308" s="1"/>
  <c r="AT309"/>
  <c r="BR309" s="1"/>
  <c r="AT311"/>
  <c r="BR311" s="1"/>
  <c r="AT312"/>
  <c r="BR312" s="1"/>
  <c r="AT313"/>
  <c r="BR313" s="1"/>
  <c r="AT315"/>
  <c r="BR315" s="1"/>
  <c r="AT316"/>
  <c r="BR316" s="1"/>
  <c r="AT317"/>
  <c r="BR317" s="1"/>
  <c r="AT318"/>
  <c r="BR318" s="1"/>
  <c r="AT320"/>
  <c r="BR320" s="1"/>
  <c r="AT321"/>
  <c r="BR321" s="1"/>
  <c r="AT323"/>
  <c r="BR323" s="1"/>
  <c r="AT324"/>
  <c r="BR324" s="1"/>
  <c r="AT326"/>
  <c r="BR326" s="1"/>
  <c r="AT327"/>
  <c r="BR327" s="1"/>
  <c r="AT329"/>
  <c r="BR329" s="1"/>
  <c r="AT330"/>
  <c r="BR330" s="1"/>
  <c r="AT331"/>
  <c r="BR331" s="1"/>
  <c r="AT332"/>
  <c r="BR332" s="1"/>
  <c r="AT334"/>
  <c r="BR334" s="1"/>
  <c r="AT335"/>
  <c r="BR335" s="1"/>
  <c r="AT336"/>
  <c r="BR336" s="1"/>
  <c r="AT337"/>
  <c r="BR337" s="1"/>
  <c r="AT338"/>
  <c r="BR338" s="1"/>
  <c r="AT339"/>
  <c r="BR339" s="1"/>
  <c r="AT340"/>
  <c r="BR340" s="1"/>
  <c r="AT341"/>
  <c r="BR341" s="1"/>
  <c r="AT343"/>
  <c r="BR343" s="1"/>
  <c r="AT344"/>
  <c r="BR344" s="1"/>
  <c r="AT346"/>
  <c r="BR346" s="1"/>
  <c r="AT347"/>
  <c r="BR347" s="1"/>
  <c r="AT348"/>
  <c r="BR348" s="1"/>
  <c r="AT349"/>
  <c r="BR349" s="1"/>
  <c r="AT350"/>
  <c r="BR350" s="1"/>
  <c r="AT351"/>
  <c r="BR351" s="1"/>
  <c r="AT352"/>
  <c r="BR352" s="1"/>
  <c r="AT353"/>
  <c r="BR353" s="1"/>
  <c r="AT354"/>
  <c r="BR354" s="1"/>
  <c r="AT355"/>
  <c r="BR355" s="1"/>
  <c r="AT356"/>
  <c r="BR356" s="1"/>
  <c r="AT358"/>
  <c r="BR358" s="1"/>
  <c r="AT360"/>
  <c r="BR360" s="1"/>
  <c r="AT361"/>
  <c r="BR361" s="1"/>
  <c r="AT362"/>
  <c r="BR362" s="1"/>
  <c r="AT363"/>
  <c r="BR363" s="1"/>
  <c r="AT364"/>
  <c r="BR364" s="1"/>
  <c r="AT365"/>
  <c r="BR365" s="1"/>
  <c r="AT366"/>
  <c r="BR366" s="1"/>
  <c r="AT367"/>
  <c r="BR367" s="1"/>
  <c r="AT368"/>
  <c r="BR368" s="1"/>
  <c r="AT369"/>
  <c r="BR369" s="1"/>
  <c r="AT370"/>
  <c r="BR370" s="1"/>
  <c r="AT371"/>
  <c r="BR371" s="1"/>
  <c r="AT372"/>
  <c r="BR372" s="1"/>
  <c r="AT373"/>
  <c r="BR373" s="1"/>
  <c r="AT374"/>
  <c r="BR374" s="1"/>
  <c r="AT375"/>
  <c r="BR375" s="1"/>
  <c r="AT376"/>
  <c r="BR376" s="1"/>
  <c r="AT377"/>
  <c r="BR377" s="1"/>
  <c r="AT378"/>
  <c r="BR378" s="1"/>
  <c r="AT379"/>
  <c r="BR379" s="1"/>
  <c r="AT380"/>
  <c r="BR380" s="1"/>
  <c r="AT381"/>
  <c r="BR381" s="1"/>
  <c r="AT382"/>
  <c r="BR382" s="1"/>
  <c r="AT383"/>
  <c r="BR383" s="1"/>
  <c r="AT384"/>
  <c r="BR384" s="1"/>
  <c r="AT385"/>
  <c r="BR385" s="1"/>
  <c r="AT386"/>
  <c r="BR386" s="1"/>
  <c r="AT387"/>
  <c r="BR387" s="1"/>
  <c r="AT388"/>
  <c r="BR388" s="1"/>
  <c r="AT389"/>
  <c r="BR389" s="1"/>
  <c r="AT390"/>
  <c r="BR390" s="1"/>
  <c r="AT391"/>
  <c r="BR391" s="1"/>
  <c r="AT392"/>
  <c r="BR392" s="1"/>
  <c r="AT393"/>
  <c r="BR393" s="1"/>
  <c r="AT394"/>
  <c r="BR394" s="1"/>
  <c r="AT395"/>
  <c r="BR395" s="1"/>
  <c r="AT396"/>
  <c r="BR396" s="1"/>
  <c r="AT397"/>
  <c r="BR397" s="1"/>
  <c r="AT398"/>
  <c r="BR398" s="1"/>
  <c r="AT399"/>
  <c r="BR399" s="1"/>
  <c r="AT400"/>
  <c r="BR400" s="1"/>
  <c r="AT401"/>
  <c r="BR401" s="1"/>
  <c r="AT402"/>
  <c r="BR402" s="1"/>
  <c r="AT403"/>
  <c r="BR403" s="1"/>
  <c r="AT404"/>
  <c r="BR404" s="1"/>
  <c r="AT405"/>
  <c r="BR405" s="1"/>
  <c r="AT406"/>
  <c r="BR406" s="1"/>
  <c r="AT407"/>
  <c r="BR407" s="1"/>
  <c r="AT408"/>
  <c r="BR408" s="1"/>
  <c r="AT409"/>
  <c r="BR409" s="1"/>
  <c r="AT410"/>
  <c r="BR410" s="1"/>
  <c r="AT411"/>
  <c r="BR411" s="1"/>
  <c r="AT412"/>
  <c r="BR412" s="1"/>
  <c r="AT413"/>
  <c r="BR413" s="1"/>
  <c r="AT414"/>
  <c r="BR414" s="1"/>
  <c r="AT415"/>
  <c r="BR415" s="1"/>
  <c r="AT416"/>
  <c r="BR416" s="1"/>
  <c r="AT417"/>
  <c r="BR417" s="1"/>
  <c r="AT418"/>
  <c r="BR418" s="1"/>
  <c r="AT419"/>
  <c r="BR419" s="1"/>
  <c r="AT420"/>
  <c r="BR420" s="1"/>
  <c r="AT421"/>
  <c r="BR421" s="1"/>
  <c r="AT422"/>
  <c r="BR422" s="1"/>
  <c r="AT423"/>
  <c r="BR423" s="1"/>
  <c r="AT424"/>
  <c r="BR424" s="1"/>
  <c r="AT425"/>
  <c r="BR425" s="1"/>
  <c r="AT426"/>
  <c r="BR426" s="1"/>
  <c r="AT427"/>
  <c r="BR427" s="1"/>
  <c r="AT428"/>
  <c r="BR428" s="1"/>
  <c r="AT429"/>
  <c r="BR429" s="1"/>
  <c r="AT430"/>
  <c r="BR430" s="1"/>
  <c r="AT431"/>
  <c r="BR431" s="1"/>
  <c r="AT432"/>
  <c r="BR432" s="1"/>
  <c r="AT433"/>
  <c r="BR433" s="1"/>
  <c r="AT434"/>
  <c r="BR434" s="1"/>
  <c r="AT435"/>
  <c r="BR435" s="1"/>
  <c r="AT436"/>
  <c r="BR436" s="1"/>
  <c r="AT437"/>
  <c r="BR437" s="1"/>
  <c r="AT438"/>
  <c r="BR438" s="1"/>
  <c r="AT439"/>
  <c r="BR439" s="1"/>
  <c r="AT440"/>
  <c r="BR440" s="1"/>
  <c r="AT441"/>
  <c r="BR441" s="1"/>
  <c r="AT442"/>
  <c r="BR442" s="1"/>
  <c r="AT443"/>
  <c r="BR443" s="1"/>
  <c r="AT444"/>
  <c r="BR444" s="1"/>
  <c r="AT445"/>
  <c r="BR445" s="1"/>
  <c r="AT446"/>
  <c r="BR446" s="1"/>
  <c r="AT447"/>
  <c r="BR447" s="1"/>
  <c r="AT448"/>
  <c r="BR448" s="1"/>
  <c r="AT449"/>
  <c r="BR449" s="1"/>
  <c r="AT450"/>
  <c r="BR450" s="1"/>
  <c r="AT451"/>
  <c r="BR451" s="1"/>
  <c r="AT452"/>
  <c r="BR452" s="1"/>
  <c r="AT453"/>
  <c r="BR453" s="1"/>
  <c r="AT454"/>
  <c r="BR454" s="1"/>
  <c r="AT455"/>
  <c r="BR455" s="1"/>
  <c r="AT456"/>
  <c r="BR456" s="1"/>
  <c r="AT457"/>
  <c r="BR457" s="1"/>
  <c r="AT458"/>
  <c r="BR458" s="1"/>
  <c r="AT459"/>
  <c r="BR459" s="1"/>
  <c r="AT460"/>
  <c r="BR460" s="1"/>
  <c r="AT461"/>
  <c r="BR461" s="1"/>
  <c r="AT462"/>
  <c r="BR462" s="1"/>
  <c r="AT463"/>
  <c r="BR463" s="1"/>
  <c r="AT464"/>
  <c r="BR464" s="1"/>
  <c r="AT465"/>
  <c r="BR465" s="1"/>
  <c r="AT466"/>
  <c r="BR466" s="1"/>
  <c r="AT467"/>
  <c r="BR467" s="1"/>
  <c r="AT468"/>
  <c r="BR468" s="1"/>
  <c r="AT469"/>
  <c r="BR469" s="1"/>
  <c r="AT470"/>
  <c r="BR470" s="1"/>
  <c r="AT471"/>
  <c r="BR471" s="1"/>
  <c r="AT472"/>
  <c r="BR472" s="1"/>
  <c r="AT473"/>
  <c r="BR473" s="1"/>
  <c r="AT474"/>
  <c r="BR474" s="1"/>
  <c r="AT475"/>
  <c r="BR475" s="1"/>
  <c r="AT476"/>
  <c r="BR476" s="1"/>
  <c r="AT477"/>
  <c r="BR477" s="1"/>
  <c r="AT478"/>
  <c r="BR478" s="1"/>
  <c r="AT479"/>
  <c r="BR479" s="1"/>
  <c r="AT480"/>
  <c r="BR480" s="1"/>
  <c r="AT481"/>
  <c r="BR481" s="1"/>
  <c r="AT482"/>
  <c r="BR482" s="1"/>
  <c r="AT483"/>
  <c r="BR483" s="1"/>
  <c r="AT485"/>
  <c r="BR485" s="1"/>
  <c r="AT486"/>
  <c r="BR486" s="1"/>
  <c r="AT487"/>
  <c r="BR487" s="1"/>
  <c r="AT488"/>
  <c r="BR488" s="1"/>
  <c r="AT489"/>
  <c r="BR489" s="1"/>
  <c r="AT490"/>
  <c r="BR490" s="1"/>
  <c r="AT491"/>
  <c r="BR491" s="1"/>
  <c r="AT492"/>
  <c r="BR492" s="1"/>
  <c r="AT494"/>
  <c r="BR494" s="1"/>
  <c r="AT495"/>
  <c r="BR495" s="1"/>
  <c r="AT496"/>
  <c r="BR496" s="1"/>
  <c r="AT497"/>
  <c r="BR497" s="1"/>
  <c r="AT498"/>
  <c r="BR498" s="1"/>
  <c r="AT499"/>
  <c r="BR499" s="1"/>
  <c r="AT500"/>
  <c r="BR500" s="1"/>
  <c r="AT501"/>
  <c r="BR501" s="1"/>
  <c r="AT503"/>
  <c r="BR503" s="1"/>
  <c r="AT504"/>
  <c r="BR504" s="1"/>
  <c r="AT505"/>
  <c r="BR505" s="1"/>
  <c r="AT506"/>
  <c r="BR506" s="1"/>
  <c r="AT507"/>
  <c r="BR507" s="1"/>
  <c r="AT508"/>
  <c r="BR508" s="1"/>
  <c r="AT509"/>
  <c r="BR509" s="1"/>
  <c r="AT510"/>
  <c r="BR510" s="1"/>
  <c r="AT511"/>
  <c r="BR511" s="1"/>
  <c r="AT512"/>
  <c r="BR512" s="1"/>
  <c r="AT513"/>
  <c r="BR513" s="1"/>
  <c r="AT514"/>
  <c r="BR514" s="1"/>
  <c r="AT515"/>
  <c r="BR515" s="1"/>
  <c r="AT517"/>
  <c r="BR517" s="1"/>
  <c r="AT518"/>
  <c r="BR518" s="1"/>
  <c r="AT519"/>
  <c r="BR519" s="1"/>
  <c r="AT520"/>
  <c r="BR520" s="1"/>
  <c r="AT522"/>
  <c r="BR522" s="1"/>
  <c r="AT523"/>
  <c r="BR523" s="1"/>
  <c r="AT524"/>
  <c r="BR524" s="1"/>
  <c r="AT525"/>
  <c r="BR525" s="1"/>
  <c r="AT526"/>
  <c r="BR526" s="1"/>
  <c r="AT527"/>
  <c r="BR527" s="1"/>
  <c r="AT529"/>
  <c r="BR529" s="1"/>
  <c r="AT530"/>
  <c r="BR530" s="1"/>
  <c r="AT531"/>
  <c r="BR531" s="1"/>
  <c r="AT533"/>
  <c r="BR533" s="1"/>
  <c r="AT534"/>
  <c r="BR534" s="1"/>
  <c r="AT535"/>
  <c r="BR535" s="1"/>
  <c r="AT536"/>
  <c r="BR536" s="1"/>
  <c r="AT537"/>
  <c r="BR537" s="1"/>
  <c r="AT538"/>
  <c r="BR538" s="1"/>
  <c r="AT539"/>
  <c r="BR539" s="1"/>
  <c r="AT540"/>
  <c r="BR540" s="1"/>
  <c r="AT541"/>
  <c r="BR541" s="1"/>
  <c r="AT542"/>
  <c r="BR542" s="1"/>
  <c r="AT543"/>
  <c r="BR543" s="1"/>
  <c r="AT544"/>
  <c r="BR544" s="1"/>
  <c r="AT545"/>
  <c r="BR545" s="1"/>
  <c r="AT546"/>
  <c r="BR546" s="1"/>
  <c r="AT548"/>
  <c r="BR548" s="1"/>
  <c r="AT549"/>
  <c r="BR549" s="1"/>
  <c r="AT551"/>
  <c r="BR551" s="1"/>
  <c r="AT552"/>
  <c r="BR552" s="1"/>
  <c r="AT553"/>
  <c r="BR553" s="1"/>
  <c r="AT555"/>
  <c r="BR555" s="1"/>
  <c r="AT556"/>
  <c r="BR556" s="1"/>
  <c r="AT557"/>
  <c r="BR557" s="1"/>
  <c r="AT559"/>
  <c r="BR559" s="1"/>
  <c r="AT560"/>
  <c r="BR560" s="1"/>
  <c r="AT561"/>
  <c r="BR561" s="1"/>
  <c r="AT562"/>
  <c r="BR562" s="1"/>
  <c r="AT563"/>
  <c r="BR563" s="1"/>
  <c r="AT565"/>
  <c r="BR565" s="1"/>
  <c r="AT566"/>
  <c r="BR566" s="1"/>
  <c r="AT567"/>
  <c r="BR567" s="1"/>
  <c r="AT569"/>
  <c r="BR569" s="1"/>
  <c r="AT570"/>
  <c r="BR570" s="1"/>
  <c r="AT572"/>
  <c r="BR572" s="1"/>
  <c r="AT573"/>
  <c r="BR573" s="1"/>
  <c r="AT575"/>
  <c r="BR575" s="1"/>
  <c r="AT576"/>
  <c r="BR576" s="1"/>
  <c r="AT577"/>
  <c r="BR577" s="1"/>
  <c r="AT578"/>
  <c r="BR578" s="1"/>
  <c r="AT580"/>
  <c r="BR580" s="1"/>
  <c r="AT581"/>
  <c r="BR581" s="1"/>
  <c r="AT582"/>
  <c r="BR582" s="1"/>
  <c r="AT583"/>
  <c r="BR583" s="1"/>
  <c r="AT584"/>
  <c r="BR584" s="1"/>
  <c r="AT586"/>
  <c r="BR586" s="1"/>
  <c r="AT587"/>
  <c r="BR587" s="1"/>
  <c r="AT589"/>
  <c r="BR589" s="1"/>
  <c r="AT590"/>
  <c r="BR590" s="1"/>
  <c r="AT592"/>
  <c r="BR592" s="1"/>
  <c r="AT593"/>
  <c r="BR593" s="1"/>
  <c r="AT595"/>
  <c r="BR595" s="1"/>
  <c r="AT596"/>
  <c r="BR596" s="1"/>
  <c r="AT597"/>
  <c r="BR597" s="1"/>
  <c r="AT598"/>
  <c r="BR598" s="1"/>
  <c r="AT599"/>
  <c r="BR599" s="1"/>
  <c r="AT600"/>
  <c r="BR600" s="1"/>
  <c r="AT601"/>
  <c r="BR601" s="1"/>
  <c r="AT603"/>
  <c r="BR603" s="1"/>
  <c r="AT604"/>
  <c r="BR604" s="1"/>
  <c r="AT606"/>
  <c r="BR606" s="1"/>
  <c r="AT607"/>
  <c r="BR607" s="1"/>
  <c r="AT608"/>
  <c r="BR608" s="1"/>
  <c r="AT609"/>
  <c r="BR609" s="1"/>
  <c r="AT610"/>
  <c r="BR610" s="1"/>
  <c r="AT611"/>
  <c r="BR611" s="1"/>
  <c r="AT612"/>
  <c r="BR612" s="1"/>
  <c r="AT614"/>
  <c r="BR614" s="1"/>
  <c r="AT615"/>
  <c r="BR615" s="1"/>
  <c r="AT616"/>
  <c r="BR616" s="1"/>
  <c r="AT618"/>
  <c r="BR618" s="1"/>
  <c r="AT619"/>
  <c r="BR619" s="1"/>
  <c r="AT621"/>
  <c r="BR621" s="1"/>
  <c r="AT622"/>
  <c r="BR622" s="1"/>
  <c r="AT623"/>
  <c r="BR623" s="1"/>
  <c r="AT625"/>
  <c r="BR625" s="1"/>
  <c r="AT626"/>
  <c r="BR626" s="1"/>
  <c r="AT627"/>
  <c r="BR627" s="1"/>
  <c r="AT628"/>
  <c r="BR628" s="1"/>
  <c r="AT630"/>
  <c r="BR630" s="1"/>
  <c r="AT631"/>
  <c r="BR631" s="1"/>
  <c r="AT633"/>
  <c r="BR633" s="1"/>
  <c r="AT634"/>
  <c r="BR634" s="1"/>
  <c r="AT635"/>
  <c r="BR635" s="1"/>
  <c r="AT637"/>
  <c r="BR637" s="1"/>
  <c r="AT638"/>
  <c r="BR638" s="1"/>
  <c r="AT639"/>
  <c r="BR639" s="1"/>
  <c r="AT641"/>
  <c r="BR641" s="1"/>
  <c r="AT642"/>
  <c r="BR642" s="1"/>
  <c r="AT644"/>
  <c r="BR644" s="1"/>
  <c r="AT645"/>
  <c r="BR645" s="1"/>
  <c r="AT646"/>
  <c r="BR646" s="1"/>
  <c r="AT647"/>
  <c r="BR647" s="1"/>
  <c r="AT648"/>
  <c r="BR648" s="1"/>
  <c r="AT649"/>
  <c r="BR649" s="1"/>
  <c r="AT651"/>
  <c r="BR651" s="1"/>
  <c r="AT652"/>
  <c r="BR652" s="1"/>
  <c r="AT654"/>
  <c r="BR654" s="1"/>
  <c r="AT655"/>
  <c r="BR655" s="1"/>
  <c r="AT657"/>
  <c r="BR657" s="1"/>
  <c r="AT658"/>
  <c r="BR658" s="1"/>
  <c r="AT660"/>
  <c r="BR660" s="1"/>
  <c r="AT661"/>
  <c r="BR661" s="1"/>
  <c r="AT662"/>
  <c r="BR662" s="1"/>
  <c r="AT664"/>
  <c r="BR664" s="1"/>
  <c r="AT665"/>
  <c r="BR665" s="1"/>
  <c r="AT666"/>
  <c r="BR666" s="1"/>
  <c r="AT667"/>
  <c r="BR667" s="1"/>
  <c r="AT668"/>
  <c r="BR668" s="1"/>
  <c r="AT669"/>
  <c r="BR669" s="1"/>
  <c r="AT671"/>
  <c r="BR671" s="1"/>
  <c r="AT672"/>
  <c r="BR672" s="1"/>
  <c r="AT673"/>
  <c r="BR673" s="1"/>
  <c r="AT674"/>
  <c r="BR674" s="1"/>
  <c r="AT676"/>
  <c r="BR676" s="1"/>
  <c r="AT677"/>
  <c r="BR677" s="1"/>
  <c r="AT679"/>
  <c r="BR679" s="1"/>
  <c r="AT680"/>
  <c r="BR680" s="1"/>
  <c r="AT681"/>
  <c r="BR681" s="1"/>
  <c r="AT682"/>
  <c r="BR682" s="1"/>
  <c r="AT683"/>
  <c r="BR683" s="1"/>
  <c r="AT684"/>
  <c r="BR684" s="1"/>
  <c r="AT685"/>
  <c r="BR685" s="1"/>
  <c r="AT686"/>
  <c r="BR686" s="1"/>
  <c r="AT687"/>
  <c r="BR687" s="1"/>
  <c r="AT689"/>
  <c r="BR689" s="1"/>
  <c r="AT690"/>
  <c r="BR690" s="1"/>
  <c r="AT17"/>
  <c r="BR17" s="1"/>
  <c r="AS18"/>
  <c r="BQ18" s="1"/>
  <c r="AS19"/>
  <c r="BQ19" s="1"/>
  <c r="AS20"/>
  <c r="BQ20" s="1"/>
  <c r="AS21"/>
  <c r="BQ21" s="1"/>
  <c r="AS22"/>
  <c r="BQ22" s="1"/>
  <c r="AS23"/>
  <c r="BQ23" s="1"/>
  <c r="AS24"/>
  <c r="BQ24" s="1"/>
  <c r="AS25"/>
  <c r="BQ25" s="1"/>
  <c r="AS26"/>
  <c r="BQ26" s="1"/>
  <c r="AS27"/>
  <c r="BQ27" s="1"/>
  <c r="AS28"/>
  <c r="BQ28" s="1"/>
  <c r="AS29"/>
  <c r="BQ29" s="1"/>
  <c r="AS30"/>
  <c r="BQ30" s="1"/>
  <c r="AS31"/>
  <c r="BQ31" s="1"/>
  <c r="AS32"/>
  <c r="BQ32" s="1"/>
  <c r="AS33"/>
  <c r="BQ33" s="1"/>
  <c r="AS34"/>
  <c r="BQ34" s="1"/>
  <c r="AS35"/>
  <c r="BQ35" s="1"/>
  <c r="AS36"/>
  <c r="BQ36" s="1"/>
  <c r="AS37"/>
  <c r="BQ37" s="1"/>
  <c r="AS38"/>
  <c r="BQ38" s="1"/>
  <c r="AS39"/>
  <c r="BQ39" s="1"/>
  <c r="AS40"/>
  <c r="BQ40" s="1"/>
  <c r="AS41"/>
  <c r="BQ41" s="1"/>
  <c r="AS42"/>
  <c r="BQ42" s="1"/>
  <c r="AS43"/>
  <c r="BQ43" s="1"/>
  <c r="AS44"/>
  <c r="BQ44" s="1"/>
  <c r="AS45"/>
  <c r="BQ45" s="1"/>
  <c r="AS46"/>
  <c r="BQ46" s="1"/>
  <c r="AS47"/>
  <c r="BQ47" s="1"/>
  <c r="AS48"/>
  <c r="BQ48" s="1"/>
  <c r="AS49"/>
  <c r="BQ49" s="1"/>
  <c r="AS50"/>
  <c r="BQ50" s="1"/>
  <c r="AS51"/>
  <c r="BQ51" s="1"/>
  <c r="AS52"/>
  <c r="BQ52" s="1"/>
  <c r="AS53"/>
  <c r="BQ53" s="1"/>
  <c r="AS54"/>
  <c r="BQ54" s="1"/>
  <c r="AS55"/>
  <c r="BQ55" s="1"/>
  <c r="AS56"/>
  <c r="BQ56" s="1"/>
  <c r="AS57"/>
  <c r="BQ57" s="1"/>
  <c r="AS58"/>
  <c r="BQ58" s="1"/>
  <c r="AS59"/>
  <c r="BQ59" s="1"/>
  <c r="AS60"/>
  <c r="BQ60" s="1"/>
  <c r="AS61"/>
  <c r="BQ61" s="1"/>
  <c r="AS62"/>
  <c r="BQ62" s="1"/>
  <c r="AS64"/>
  <c r="BQ64" s="1"/>
  <c r="AS65"/>
  <c r="BQ65" s="1"/>
  <c r="AS66"/>
  <c r="BQ66" s="1"/>
  <c r="AS67"/>
  <c r="BQ67" s="1"/>
  <c r="AS68"/>
  <c r="BQ68" s="1"/>
  <c r="AS69"/>
  <c r="BQ69" s="1"/>
  <c r="AS70"/>
  <c r="BQ70" s="1"/>
  <c r="AS71"/>
  <c r="BQ71" s="1"/>
  <c r="AS72"/>
  <c r="BQ72" s="1"/>
  <c r="AS73"/>
  <c r="BQ73" s="1"/>
  <c r="AS74"/>
  <c r="BQ74" s="1"/>
  <c r="AS75"/>
  <c r="BQ75" s="1"/>
  <c r="AS76"/>
  <c r="BQ76" s="1"/>
  <c r="AS77"/>
  <c r="BQ77" s="1"/>
  <c r="AS78"/>
  <c r="BQ78" s="1"/>
  <c r="AS79"/>
  <c r="BQ79" s="1"/>
  <c r="AS80"/>
  <c r="BQ80" s="1"/>
  <c r="AS82"/>
  <c r="BQ82" s="1"/>
  <c r="AS83"/>
  <c r="BQ83" s="1"/>
  <c r="AS84"/>
  <c r="BQ84" s="1"/>
  <c r="AS85"/>
  <c r="BQ85" s="1"/>
  <c r="AS86"/>
  <c r="BQ86" s="1"/>
  <c r="AS87"/>
  <c r="BQ87" s="1"/>
  <c r="AS88"/>
  <c r="BQ88" s="1"/>
  <c r="AS89"/>
  <c r="BQ89" s="1"/>
  <c r="AS90"/>
  <c r="BQ90" s="1"/>
  <c r="AS91"/>
  <c r="BQ91" s="1"/>
  <c r="AS92"/>
  <c r="BQ92" s="1"/>
  <c r="AS93"/>
  <c r="BQ93" s="1"/>
  <c r="AS94"/>
  <c r="BQ94" s="1"/>
  <c r="AS95"/>
  <c r="BQ95" s="1"/>
  <c r="AS96"/>
  <c r="BQ96" s="1"/>
  <c r="AS97"/>
  <c r="BQ97" s="1"/>
  <c r="AS98"/>
  <c r="BQ98" s="1"/>
  <c r="AS99"/>
  <c r="BQ99" s="1"/>
  <c r="AS100"/>
  <c r="BQ100" s="1"/>
  <c r="AS101"/>
  <c r="BQ101" s="1"/>
  <c r="AS102"/>
  <c r="BQ102" s="1"/>
  <c r="AS103"/>
  <c r="BQ103" s="1"/>
  <c r="AS104"/>
  <c r="BQ104" s="1"/>
  <c r="AS105"/>
  <c r="BQ105" s="1"/>
  <c r="AS106"/>
  <c r="BQ106" s="1"/>
  <c r="AS107"/>
  <c r="BQ107" s="1"/>
  <c r="AS108"/>
  <c r="BQ108" s="1"/>
  <c r="AS110"/>
  <c r="BQ110" s="1"/>
  <c r="AS111"/>
  <c r="BQ111" s="1"/>
  <c r="AS112"/>
  <c r="BQ112" s="1"/>
  <c r="AS113"/>
  <c r="BQ113" s="1"/>
  <c r="AS114"/>
  <c r="BQ114" s="1"/>
  <c r="AS115"/>
  <c r="BQ115" s="1"/>
  <c r="AS116"/>
  <c r="BQ116" s="1"/>
  <c r="AS117"/>
  <c r="BQ117" s="1"/>
  <c r="AS118"/>
  <c r="BQ118" s="1"/>
  <c r="AS119"/>
  <c r="BQ119" s="1"/>
  <c r="AS120"/>
  <c r="BQ120" s="1"/>
  <c r="AS121"/>
  <c r="BQ121" s="1"/>
  <c r="AS122"/>
  <c r="BQ122" s="1"/>
  <c r="AS123"/>
  <c r="BQ123" s="1"/>
  <c r="AS124"/>
  <c r="BQ124" s="1"/>
  <c r="AS127"/>
  <c r="BQ127" s="1"/>
  <c r="AS128"/>
  <c r="BQ128" s="1"/>
  <c r="AS129"/>
  <c r="BQ129" s="1"/>
  <c r="AS130"/>
  <c r="BQ130" s="1"/>
  <c r="AS132"/>
  <c r="BQ132" s="1"/>
  <c r="AS133"/>
  <c r="BQ133" s="1"/>
  <c r="AS135"/>
  <c r="BQ135" s="1"/>
  <c r="AS136"/>
  <c r="BQ136" s="1"/>
  <c r="AS137"/>
  <c r="BQ137" s="1"/>
  <c r="AS138"/>
  <c r="BQ138" s="1"/>
  <c r="AS139"/>
  <c r="BQ139" s="1"/>
  <c r="AS141"/>
  <c r="BQ141" s="1"/>
  <c r="AS142"/>
  <c r="BQ142" s="1"/>
  <c r="AS143"/>
  <c r="BQ143" s="1"/>
  <c r="AS144"/>
  <c r="BQ144" s="1"/>
  <c r="AS145"/>
  <c r="BQ145" s="1"/>
  <c r="AS146"/>
  <c r="BQ146" s="1"/>
  <c r="AS147"/>
  <c r="BQ147" s="1"/>
  <c r="AS148"/>
  <c r="BQ148" s="1"/>
  <c r="AS149"/>
  <c r="BQ149" s="1"/>
  <c r="AS150"/>
  <c r="BQ150" s="1"/>
  <c r="AS151"/>
  <c r="BQ151" s="1"/>
  <c r="AS152"/>
  <c r="BQ152" s="1"/>
  <c r="AS153"/>
  <c r="BQ153" s="1"/>
  <c r="AS154"/>
  <c r="BQ154" s="1"/>
  <c r="AS156"/>
  <c r="BQ156" s="1"/>
  <c r="AS157"/>
  <c r="BQ157" s="1"/>
  <c r="AS160"/>
  <c r="BQ160" s="1"/>
  <c r="AS161"/>
  <c r="BQ161" s="1"/>
  <c r="AS162"/>
  <c r="BQ162" s="1"/>
  <c r="AS163"/>
  <c r="BQ163" s="1"/>
  <c r="AS164"/>
  <c r="BQ164" s="1"/>
  <c r="AS166"/>
  <c r="BQ166" s="1"/>
  <c r="AS167"/>
  <c r="BQ167" s="1"/>
  <c r="AS169"/>
  <c r="BQ169" s="1"/>
  <c r="AS170"/>
  <c r="BQ170" s="1"/>
  <c r="AS171"/>
  <c r="BQ171" s="1"/>
  <c r="AS173"/>
  <c r="BQ173" s="1"/>
  <c r="AS174"/>
  <c r="BQ174" s="1"/>
  <c r="AS175"/>
  <c r="BQ175" s="1"/>
  <c r="AS176"/>
  <c r="BQ176" s="1"/>
  <c r="AS177"/>
  <c r="BQ177" s="1"/>
  <c r="AS178"/>
  <c r="BQ178" s="1"/>
  <c r="AS179"/>
  <c r="BQ179" s="1"/>
  <c r="AS180"/>
  <c r="BQ180" s="1"/>
  <c r="AS181"/>
  <c r="BQ181" s="1"/>
  <c r="AS182"/>
  <c r="BQ182" s="1"/>
  <c r="AS184"/>
  <c r="BQ184" s="1"/>
  <c r="AS185"/>
  <c r="BQ185" s="1"/>
  <c r="AS186"/>
  <c r="BQ186" s="1"/>
  <c r="AS187"/>
  <c r="BQ187" s="1"/>
  <c r="AS189"/>
  <c r="BQ189" s="1"/>
  <c r="AS190"/>
  <c r="BQ190" s="1"/>
  <c r="AS191"/>
  <c r="BQ191" s="1"/>
  <c r="AS192"/>
  <c r="BQ192" s="1"/>
  <c r="AS193"/>
  <c r="BQ193" s="1"/>
  <c r="AS194"/>
  <c r="BQ194" s="1"/>
  <c r="AS195"/>
  <c r="BQ195" s="1"/>
  <c r="AS196"/>
  <c r="BQ196" s="1"/>
  <c r="AS198"/>
  <c r="BQ198" s="1"/>
  <c r="AS199"/>
  <c r="BQ199" s="1"/>
  <c r="AS200"/>
  <c r="BQ200" s="1"/>
  <c r="AS201"/>
  <c r="BQ201" s="1"/>
  <c r="AS203"/>
  <c r="BQ203" s="1"/>
  <c r="AS204"/>
  <c r="BQ204" s="1"/>
  <c r="AS205"/>
  <c r="BQ205" s="1"/>
  <c r="AS206"/>
  <c r="BQ206" s="1"/>
  <c r="AS207"/>
  <c r="BQ207" s="1"/>
  <c r="AS209"/>
  <c r="BQ209" s="1"/>
  <c r="AS210"/>
  <c r="BQ210" s="1"/>
  <c r="AS211"/>
  <c r="BQ211" s="1"/>
  <c r="AS212"/>
  <c r="BQ212" s="1"/>
  <c r="AS213"/>
  <c r="BQ213" s="1"/>
  <c r="AS214"/>
  <c r="BQ214" s="1"/>
  <c r="AS215"/>
  <c r="BQ215" s="1"/>
  <c r="AS216"/>
  <c r="BQ216" s="1"/>
  <c r="AS217"/>
  <c r="BQ217" s="1"/>
  <c r="AS218"/>
  <c r="BQ218" s="1"/>
  <c r="AS219"/>
  <c r="BQ219" s="1"/>
  <c r="AS222"/>
  <c r="BQ222" s="1"/>
  <c r="AS224"/>
  <c r="BQ224" s="1"/>
  <c r="AS226"/>
  <c r="BQ226" s="1"/>
  <c r="AS227"/>
  <c r="BQ227" s="1"/>
  <c r="AS228"/>
  <c r="BQ228" s="1"/>
  <c r="AS230"/>
  <c r="BQ230" s="1"/>
  <c r="AS231"/>
  <c r="BQ231" s="1"/>
  <c r="AS232"/>
  <c r="BQ232" s="1"/>
  <c r="AS234"/>
  <c r="BQ234" s="1"/>
  <c r="AS235"/>
  <c r="BQ235" s="1"/>
  <c r="AS237"/>
  <c r="BQ237" s="1"/>
  <c r="AS238"/>
  <c r="BQ238" s="1"/>
  <c r="AS240"/>
  <c r="BQ240" s="1"/>
  <c r="AS241"/>
  <c r="BQ241" s="1"/>
  <c r="AS243"/>
  <c r="BQ243" s="1"/>
  <c r="AS244"/>
  <c r="BQ244" s="1"/>
  <c r="AS246"/>
  <c r="BQ246" s="1"/>
  <c r="AS247"/>
  <c r="BQ247" s="1"/>
  <c r="AS248"/>
  <c r="BQ248" s="1"/>
  <c r="AS249"/>
  <c r="BQ249" s="1"/>
  <c r="AS250"/>
  <c r="BQ250" s="1"/>
  <c r="AS251"/>
  <c r="BQ251" s="1"/>
  <c r="AS252"/>
  <c r="BQ252" s="1"/>
  <c r="AS254"/>
  <c r="BQ254" s="1"/>
  <c r="AS255"/>
  <c r="BQ255" s="1"/>
  <c r="AS256"/>
  <c r="BQ256" s="1"/>
  <c r="AS257"/>
  <c r="BQ257" s="1"/>
  <c r="AS259"/>
  <c r="BQ259" s="1"/>
  <c r="AS260"/>
  <c r="BQ260" s="1"/>
  <c r="AS262"/>
  <c r="BQ262" s="1"/>
  <c r="AS263"/>
  <c r="BQ263" s="1"/>
  <c r="AS265"/>
  <c r="BQ265" s="1"/>
  <c r="AS266"/>
  <c r="BQ266" s="1"/>
  <c r="AS267"/>
  <c r="BQ267" s="1"/>
  <c r="AS268"/>
  <c r="BQ268" s="1"/>
  <c r="AS269"/>
  <c r="BQ269" s="1"/>
  <c r="AS271"/>
  <c r="BQ271" s="1"/>
  <c r="AS272"/>
  <c r="BQ272" s="1"/>
  <c r="AS274"/>
  <c r="BQ274" s="1"/>
  <c r="AS275"/>
  <c r="BQ275" s="1"/>
  <c r="AS276"/>
  <c r="BQ276" s="1"/>
  <c r="AS277"/>
  <c r="BQ277" s="1"/>
  <c r="AS278"/>
  <c r="BQ278" s="1"/>
  <c r="AS279"/>
  <c r="BQ279" s="1"/>
  <c r="AS280"/>
  <c r="BQ280" s="1"/>
  <c r="AS282"/>
  <c r="BQ282" s="1"/>
  <c r="AS283"/>
  <c r="BQ283" s="1"/>
  <c r="AS284"/>
  <c r="BQ284" s="1"/>
  <c r="AS285"/>
  <c r="BQ285" s="1"/>
  <c r="AS287"/>
  <c r="BQ287" s="1"/>
  <c r="AS288"/>
  <c r="BQ288" s="1"/>
  <c r="AS290"/>
  <c r="BQ290" s="1"/>
  <c r="AS291"/>
  <c r="BQ291" s="1"/>
  <c r="AS293"/>
  <c r="BQ293" s="1"/>
  <c r="AS294"/>
  <c r="BQ294" s="1"/>
  <c r="AS295"/>
  <c r="BQ295" s="1"/>
  <c r="AS297"/>
  <c r="BQ297" s="1"/>
  <c r="AS300"/>
  <c r="BQ300" s="1"/>
  <c r="AS301"/>
  <c r="BQ301" s="1"/>
  <c r="AS303"/>
  <c r="BQ303" s="1"/>
  <c r="AS304"/>
  <c r="BQ304" s="1"/>
  <c r="AS305"/>
  <c r="BQ305" s="1"/>
  <c r="AS307"/>
  <c r="BQ307" s="1"/>
  <c r="AS308"/>
  <c r="BQ308" s="1"/>
  <c r="AS309"/>
  <c r="BQ309" s="1"/>
  <c r="AS311"/>
  <c r="BQ311" s="1"/>
  <c r="AS312"/>
  <c r="BQ312" s="1"/>
  <c r="AS313"/>
  <c r="BQ313" s="1"/>
  <c r="AS315"/>
  <c r="BQ315" s="1"/>
  <c r="AS316"/>
  <c r="BQ316" s="1"/>
  <c r="AS317"/>
  <c r="BQ317" s="1"/>
  <c r="AS318"/>
  <c r="BQ318" s="1"/>
  <c r="AS320"/>
  <c r="BQ320" s="1"/>
  <c r="AS321"/>
  <c r="BQ321" s="1"/>
  <c r="AS323"/>
  <c r="BQ323" s="1"/>
  <c r="AS324"/>
  <c r="BQ324" s="1"/>
  <c r="AS326"/>
  <c r="BQ326" s="1"/>
  <c r="AS327"/>
  <c r="BQ327" s="1"/>
  <c r="AS329"/>
  <c r="BQ329" s="1"/>
  <c r="AS330"/>
  <c r="BQ330" s="1"/>
  <c r="AS331"/>
  <c r="BQ331" s="1"/>
  <c r="AS332"/>
  <c r="BQ332" s="1"/>
  <c r="AS334"/>
  <c r="BQ334" s="1"/>
  <c r="AS335"/>
  <c r="BQ335" s="1"/>
  <c r="AS336"/>
  <c r="BQ336" s="1"/>
  <c r="AS337"/>
  <c r="BQ337" s="1"/>
  <c r="AS338"/>
  <c r="BQ338" s="1"/>
  <c r="AS339"/>
  <c r="BQ339" s="1"/>
  <c r="AS340"/>
  <c r="BQ340" s="1"/>
  <c r="AS341"/>
  <c r="BQ341" s="1"/>
  <c r="AS343"/>
  <c r="BQ343" s="1"/>
  <c r="AS344"/>
  <c r="BQ344" s="1"/>
  <c r="AS346"/>
  <c r="BQ346" s="1"/>
  <c r="AS347"/>
  <c r="BQ347" s="1"/>
  <c r="AS348"/>
  <c r="BQ348" s="1"/>
  <c r="AS349"/>
  <c r="BQ349" s="1"/>
  <c r="AS350"/>
  <c r="BQ350" s="1"/>
  <c r="AS351"/>
  <c r="BQ351" s="1"/>
  <c r="AS352"/>
  <c r="BQ352" s="1"/>
  <c r="AS353"/>
  <c r="BQ353" s="1"/>
  <c r="AS354"/>
  <c r="BQ354" s="1"/>
  <c r="AS355"/>
  <c r="BQ355" s="1"/>
  <c r="AS356"/>
  <c r="BQ356" s="1"/>
  <c r="AS358"/>
  <c r="BQ358" s="1"/>
  <c r="AS360"/>
  <c r="BQ360" s="1"/>
  <c r="AS361"/>
  <c r="BQ361" s="1"/>
  <c r="AS362"/>
  <c r="BQ362" s="1"/>
  <c r="AS363"/>
  <c r="BQ363" s="1"/>
  <c r="AS364"/>
  <c r="BQ364" s="1"/>
  <c r="AS365"/>
  <c r="BQ365" s="1"/>
  <c r="AS366"/>
  <c r="BQ366" s="1"/>
  <c r="AS367"/>
  <c r="BQ367" s="1"/>
  <c r="AS368"/>
  <c r="BQ368" s="1"/>
  <c r="AS369"/>
  <c r="BQ369" s="1"/>
  <c r="AS370"/>
  <c r="BQ370" s="1"/>
  <c r="AS371"/>
  <c r="BQ371" s="1"/>
  <c r="AS372"/>
  <c r="BQ372" s="1"/>
  <c r="AS373"/>
  <c r="BQ373" s="1"/>
  <c r="AS374"/>
  <c r="BQ374" s="1"/>
  <c r="AS375"/>
  <c r="BQ375" s="1"/>
  <c r="AS376"/>
  <c r="BQ376" s="1"/>
  <c r="AS377"/>
  <c r="BQ377" s="1"/>
  <c r="AS378"/>
  <c r="BQ378" s="1"/>
  <c r="AS379"/>
  <c r="BQ379" s="1"/>
  <c r="AS380"/>
  <c r="BQ380" s="1"/>
  <c r="AS381"/>
  <c r="BQ381" s="1"/>
  <c r="AS382"/>
  <c r="BQ382" s="1"/>
  <c r="AS384"/>
  <c r="BQ384" s="1"/>
  <c r="AS385"/>
  <c r="BQ385" s="1"/>
  <c r="AS386"/>
  <c r="BQ386" s="1"/>
  <c r="AS387"/>
  <c r="BQ387" s="1"/>
  <c r="AS388"/>
  <c r="BQ388" s="1"/>
  <c r="AS389"/>
  <c r="BQ389" s="1"/>
  <c r="AS390"/>
  <c r="BQ390" s="1"/>
  <c r="AS391"/>
  <c r="BQ391" s="1"/>
  <c r="AS392"/>
  <c r="BQ392" s="1"/>
  <c r="AS393"/>
  <c r="BQ393" s="1"/>
  <c r="AS394"/>
  <c r="BQ394" s="1"/>
  <c r="AS395"/>
  <c r="BQ395" s="1"/>
  <c r="AS396"/>
  <c r="BQ396" s="1"/>
  <c r="AS397"/>
  <c r="BQ397" s="1"/>
  <c r="AS398"/>
  <c r="BQ398" s="1"/>
  <c r="AS399"/>
  <c r="BQ399" s="1"/>
  <c r="AS400"/>
  <c r="BQ400" s="1"/>
  <c r="AS401"/>
  <c r="BQ401" s="1"/>
  <c r="AS402"/>
  <c r="BQ402" s="1"/>
  <c r="AS403"/>
  <c r="BQ403" s="1"/>
  <c r="AS404"/>
  <c r="BQ404" s="1"/>
  <c r="AS405"/>
  <c r="BQ405" s="1"/>
  <c r="AS406"/>
  <c r="BQ406" s="1"/>
  <c r="AS407"/>
  <c r="BQ407" s="1"/>
  <c r="AS408"/>
  <c r="BQ408" s="1"/>
  <c r="AS409"/>
  <c r="BQ409" s="1"/>
  <c r="AS410"/>
  <c r="BQ410" s="1"/>
  <c r="AS411"/>
  <c r="BQ411" s="1"/>
  <c r="AS412"/>
  <c r="BQ412" s="1"/>
  <c r="AS413"/>
  <c r="BQ413" s="1"/>
  <c r="AS414"/>
  <c r="BQ414" s="1"/>
  <c r="AS415"/>
  <c r="BQ415" s="1"/>
  <c r="AS416"/>
  <c r="BQ416" s="1"/>
  <c r="AS417"/>
  <c r="BQ417" s="1"/>
  <c r="AS418"/>
  <c r="BQ418" s="1"/>
  <c r="AS419"/>
  <c r="BQ419" s="1"/>
  <c r="AS420"/>
  <c r="BQ420" s="1"/>
  <c r="AS421"/>
  <c r="BQ421" s="1"/>
  <c r="AS422"/>
  <c r="BQ422" s="1"/>
  <c r="AS423"/>
  <c r="BQ423" s="1"/>
  <c r="AS424"/>
  <c r="BQ424" s="1"/>
  <c r="AS425"/>
  <c r="BQ425" s="1"/>
  <c r="AS426"/>
  <c r="BQ426" s="1"/>
  <c r="AS427"/>
  <c r="BQ427" s="1"/>
  <c r="AS428"/>
  <c r="BQ428" s="1"/>
  <c r="AS429"/>
  <c r="BQ429" s="1"/>
  <c r="AS430"/>
  <c r="BQ430" s="1"/>
  <c r="AS431"/>
  <c r="BQ431" s="1"/>
  <c r="AS432"/>
  <c r="BQ432" s="1"/>
  <c r="AS433"/>
  <c r="BQ433" s="1"/>
  <c r="AS434"/>
  <c r="BQ434" s="1"/>
  <c r="AS435"/>
  <c r="BQ435" s="1"/>
  <c r="AS436"/>
  <c r="BQ436" s="1"/>
  <c r="AS437"/>
  <c r="BQ437" s="1"/>
  <c r="AS438"/>
  <c r="BQ438" s="1"/>
  <c r="AS439"/>
  <c r="BQ439" s="1"/>
  <c r="AS440"/>
  <c r="BQ440" s="1"/>
  <c r="AS441"/>
  <c r="BQ441" s="1"/>
  <c r="AS442"/>
  <c r="BQ442" s="1"/>
  <c r="AS443"/>
  <c r="BQ443" s="1"/>
  <c r="AS444"/>
  <c r="BQ444" s="1"/>
  <c r="AS445"/>
  <c r="BQ445" s="1"/>
  <c r="AS446"/>
  <c r="BQ446" s="1"/>
  <c r="AS447"/>
  <c r="BQ447" s="1"/>
  <c r="AS448"/>
  <c r="BQ448" s="1"/>
  <c r="AS449"/>
  <c r="BQ449" s="1"/>
  <c r="AS450"/>
  <c r="BQ450" s="1"/>
  <c r="AS451"/>
  <c r="BQ451" s="1"/>
  <c r="AS452"/>
  <c r="BQ452" s="1"/>
  <c r="AS453"/>
  <c r="BQ453" s="1"/>
  <c r="AS454"/>
  <c r="BQ454" s="1"/>
  <c r="AS455"/>
  <c r="BQ455" s="1"/>
  <c r="AS456"/>
  <c r="BQ456" s="1"/>
  <c r="AS457"/>
  <c r="BQ457" s="1"/>
  <c r="AS458"/>
  <c r="BQ458" s="1"/>
  <c r="AS459"/>
  <c r="BQ459" s="1"/>
  <c r="AS460"/>
  <c r="BQ460" s="1"/>
  <c r="AS461"/>
  <c r="BQ461" s="1"/>
  <c r="AS462"/>
  <c r="BQ462" s="1"/>
  <c r="AS463"/>
  <c r="BQ463" s="1"/>
  <c r="AS464"/>
  <c r="BQ464" s="1"/>
  <c r="AS465"/>
  <c r="BQ465" s="1"/>
  <c r="AS466"/>
  <c r="BQ466" s="1"/>
  <c r="AS467"/>
  <c r="BQ467" s="1"/>
  <c r="AS468"/>
  <c r="BQ468" s="1"/>
  <c r="AS469"/>
  <c r="BQ469" s="1"/>
  <c r="AS470"/>
  <c r="BQ470" s="1"/>
  <c r="AS471"/>
  <c r="BQ471" s="1"/>
  <c r="AS472"/>
  <c r="BQ472" s="1"/>
  <c r="AS473"/>
  <c r="BQ473" s="1"/>
  <c r="AS474"/>
  <c r="BQ474" s="1"/>
  <c r="AS475"/>
  <c r="BQ475" s="1"/>
  <c r="AS476"/>
  <c r="BQ476" s="1"/>
  <c r="AS477"/>
  <c r="BQ477" s="1"/>
  <c r="AS478"/>
  <c r="BQ478" s="1"/>
  <c r="AS479"/>
  <c r="BQ479" s="1"/>
  <c r="AS480"/>
  <c r="BQ480" s="1"/>
  <c r="AS481"/>
  <c r="BQ481" s="1"/>
  <c r="AS482"/>
  <c r="BQ482" s="1"/>
  <c r="AS483"/>
  <c r="BQ483" s="1"/>
  <c r="AS484"/>
  <c r="BQ484" s="1"/>
  <c r="AS485"/>
  <c r="BQ485" s="1"/>
  <c r="AS486"/>
  <c r="BQ486" s="1"/>
  <c r="AS487"/>
  <c r="BQ487" s="1"/>
  <c r="AS488"/>
  <c r="BQ488" s="1"/>
  <c r="AS489"/>
  <c r="BQ489" s="1"/>
  <c r="AS490"/>
  <c r="BQ490" s="1"/>
  <c r="AS491"/>
  <c r="BQ491" s="1"/>
  <c r="AS492"/>
  <c r="BQ492" s="1"/>
  <c r="AS494"/>
  <c r="BQ494" s="1"/>
  <c r="AS495"/>
  <c r="BQ495" s="1"/>
  <c r="AS496"/>
  <c r="BQ496" s="1"/>
  <c r="AS497"/>
  <c r="BQ497" s="1"/>
  <c r="AS498"/>
  <c r="BQ498" s="1"/>
  <c r="AS499"/>
  <c r="BQ499" s="1"/>
  <c r="AS500"/>
  <c r="BQ500" s="1"/>
  <c r="AS501"/>
  <c r="BQ501" s="1"/>
  <c r="AS503"/>
  <c r="BQ503" s="1"/>
  <c r="AS504"/>
  <c r="BQ504" s="1"/>
  <c r="AS505"/>
  <c r="BQ505" s="1"/>
  <c r="AS506"/>
  <c r="BQ506" s="1"/>
  <c r="AS507"/>
  <c r="BQ507" s="1"/>
  <c r="AS508"/>
  <c r="BQ508" s="1"/>
  <c r="AS509"/>
  <c r="BQ509" s="1"/>
  <c r="AS510"/>
  <c r="BQ510" s="1"/>
  <c r="AS511"/>
  <c r="BQ511" s="1"/>
  <c r="AS512"/>
  <c r="BQ512" s="1"/>
  <c r="AS513"/>
  <c r="BQ513" s="1"/>
  <c r="AS514"/>
  <c r="BQ514" s="1"/>
  <c r="AS515"/>
  <c r="BQ515" s="1"/>
  <c r="AS517"/>
  <c r="BQ517" s="1"/>
  <c r="AS518"/>
  <c r="BQ518" s="1"/>
  <c r="AS519"/>
  <c r="BQ519" s="1"/>
  <c r="AS520"/>
  <c r="BQ520" s="1"/>
  <c r="AS522"/>
  <c r="BQ522" s="1"/>
  <c r="AS523"/>
  <c r="BQ523" s="1"/>
  <c r="AS524"/>
  <c r="BQ524" s="1"/>
  <c r="AS525"/>
  <c r="BQ525" s="1"/>
  <c r="AS526"/>
  <c r="BQ526" s="1"/>
  <c r="AS527"/>
  <c r="BQ527" s="1"/>
  <c r="AS529"/>
  <c r="BQ529" s="1"/>
  <c r="AS530"/>
  <c r="BQ530" s="1"/>
  <c r="AS531"/>
  <c r="BQ531" s="1"/>
  <c r="AS533"/>
  <c r="BQ533" s="1"/>
  <c r="AS534"/>
  <c r="BQ534" s="1"/>
  <c r="AS535"/>
  <c r="BQ535" s="1"/>
  <c r="AS536"/>
  <c r="BQ536" s="1"/>
  <c r="AS537"/>
  <c r="BQ537" s="1"/>
  <c r="AS538"/>
  <c r="BQ538" s="1"/>
  <c r="AS539"/>
  <c r="BQ539" s="1"/>
  <c r="AS540"/>
  <c r="BQ540" s="1"/>
  <c r="AS541"/>
  <c r="BQ541" s="1"/>
  <c r="AS542"/>
  <c r="BQ542" s="1"/>
  <c r="AS543"/>
  <c r="BQ543" s="1"/>
  <c r="AS544"/>
  <c r="BQ544" s="1"/>
  <c r="AS545"/>
  <c r="BQ545" s="1"/>
  <c r="AS548"/>
  <c r="BQ548" s="1"/>
  <c r="AS549"/>
  <c r="BQ549" s="1"/>
  <c r="AS551"/>
  <c r="BQ551" s="1"/>
  <c r="AS552"/>
  <c r="BQ552" s="1"/>
  <c r="AS553"/>
  <c r="BQ553" s="1"/>
  <c r="AS555"/>
  <c r="BQ555" s="1"/>
  <c r="AS557"/>
  <c r="BQ557" s="1"/>
  <c r="AS559"/>
  <c r="BQ559" s="1"/>
  <c r="AS560"/>
  <c r="BQ560" s="1"/>
  <c r="AS561"/>
  <c r="BQ561" s="1"/>
  <c r="AS562"/>
  <c r="BQ562" s="1"/>
  <c r="AS563"/>
  <c r="BQ563" s="1"/>
  <c r="AS565"/>
  <c r="BQ565" s="1"/>
  <c r="AS566"/>
  <c r="BQ566" s="1"/>
  <c r="AS567"/>
  <c r="BQ567" s="1"/>
  <c r="AS569"/>
  <c r="BQ569" s="1"/>
  <c r="AS570"/>
  <c r="BQ570" s="1"/>
  <c r="AS572"/>
  <c r="BQ572" s="1"/>
  <c r="AS573"/>
  <c r="BQ573" s="1"/>
  <c r="AS575"/>
  <c r="BQ575" s="1"/>
  <c r="AS576"/>
  <c r="BQ576" s="1"/>
  <c r="AS577"/>
  <c r="BQ577" s="1"/>
  <c r="AS578"/>
  <c r="BQ578" s="1"/>
  <c r="AS580"/>
  <c r="BQ580" s="1"/>
  <c r="AS581"/>
  <c r="BQ581" s="1"/>
  <c r="AS582"/>
  <c r="BQ582" s="1"/>
  <c r="AS583"/>
  <c r="BQ583" s="1"/>
  <c r="AS584"/>
  <c r="BQ584" s="1"/>
  <c r="AS586"/>
  <c r="BQ586" s="1"/>
  <c r="AS587"/>
  <c r="BQ587" s="1"/>
  <c r="AS589"/>
  <c r="BQ589" s="1"/>
  <c r="AS590"/>
  <c r="BQ590" s="1"/>
  <c r="AS592"/>
  <c r="BQ592" s="1"/>
  <c r="AS593"/>
  <c r="BQ593" s="1"/>
  <c r="AS595"/>
  <c r="BQ595" s="1"/>
  <c r="AS596"/>
  <c r="BQ596" s="1"/>
  <c r="AS597"/>
  <c r="BQ597" s="1"/>
  <c r="AS598"/>
  <c r="BQ598" s="1"/>
  <c r="AS599"/>
  <c r="BQ599" s="1"/>
  <c r="AS600"/>
  <c r="BQ600" s="1"/>
  <c r="AS601"/>
  <c r="BQ601" s="1"/>
  <c r="AS603"/>
  <c r="BQ603" s="1"/>
  <c r="AS604"/>
  <c r="BQ604" s="1"/>
  <c r="AS606"/>
  <c r="BQ606" s="1"/>
  <c r="AS607"/>
  <c r="BQ607" s="1"/>
  <c r="AS608"/>
  <c r="BQ608" s="1"/>
  <c r="AS609"/>
  <c r="BQ609" s="1"/>
  <c r="AS610"/>
  <c r="BQ610" s="1"/>
  <c r="AS611"/>
  <c r="BQ611" s="1"/>
  <c r="AS612"/>
  <c r="BQ612" s="1"/>
  <c r="AS614"/>
  <c r="BQ614" s="1"/>
  <c r="AS615"/>
  <c r="BQ615" s="1"/>
  <c r="AS616"/>
  <c r="BQ616" s="1"/>
  <c r="AS618"/>
  <c r="BQ618" s="1"/>
  <c r="AS619"/>
  <c r="BQ619" s="1"/>
  <c r="AS621"/>
  <c r="BQ621" s="1"/>
  <c r="AS622"/>
  <c r="BQ622" s="1"/>
  <c r="AS623"/>
  <c r="BQ623" s="1"/>
  <c r="AS625"/>
  <c r="BQ625" s="1"/>
  <c r="AS626"/>
  <c r="BQ626" s="1"/>
  <c r="AS627"/>
  <c r="BQ627" s="1"/>
  <c r="AS628"/>
  <c r="BQ628" s="1"/>
  <c r="AS630"/>
  <c r="BQ630" s="1"/>
  <c r="AS631"/>
  <c r="BQ631" s="1"/>
  <c r="AS633"/>
  <c r="BQ633" s="1"/>
  <c r="AS634"/>
  <c r="BQ634" s="1"/>
  <c r="AS635"/>
  <c r="BQ635" s="1"/>
  <c r="AS637"/>
  <c r="BQ637" s="1"/>
  <c r="AS638"/>
  <c r="BQ638" s="1"/>
  <c r="AS639"/>
  <c r="BQ639" s="1"/>
  <c r="AS641"/>
  <c r="BQ641" s="1"/>
  <c r="AS642"/>
  <c r="BQ642" s="1"/>
  <c r="AS644"/>
  <c r="BQ644" s="1"/>
  <c r="AS645"/>
  <c r="BQ645" s="1"/>
  <c r="AS646"/>
  <c r="BQ646" s="1"/>
  <c r="AS647"/>
  <c r="BQ647" s="1"/>
  <c r="AS648"/>
  <c r="BQ648" s="1"/>
  <c r="AS649"/>
  <c r="BQ649" s="1"/>
  <c r="AS651"/>
  <c r="BQ651" s="1"/>
  <c r="AS652"/>
  <c r="BQ652" s="1"/>
  <c r="AS654"/>
  <c r="BQ654" s="1"/>
  <c r="AS655"/>
  <c r="BQ655" s="1"/>
  <c r="AS657"/>
  <c r="BQ657" s="1"/>
  <c r="AS658"/>
  <c r="BQ658" s="1"/>
  <c r="AS660"/>
  <c r="BQ660" s="1"/>
  <c r="AS661"/>
  <c r="BQ661" s="1"/>
  <c r="AS662"/>
  <c r="BQ662" s="1"/>
  <c r="AS664"/>
  <c r="BQ664" s="1"/>
  <c r="AS665"/>
  <c r="BQ665" s="1"/>
  <c r="AS666"/>
  <c r="BQ666" s="1"/>
  <c r="AS667"/>
  <c r="BQ667" s="1"/>
  <c r="AS668"/>
  <c r="BQ668" s="1"/>
  <c r="AS669"/>
  <c r="BQ669" s="1"/>
  <c r="AS671"/>
  <c r="BQ671" s="1"/>
  <c r="AS672"/>
  <c r="BQ672" s="1"/>
  <c r="AS673"/>
  <c r="BQ673" s="1"/>
  <c r="AS674"/>
  <c r="BQ674" s="1"/>
  <c r="AS676"/>
  <c r="BQ676" s="1"/>
  <c r="AS677"/>
  <c r="BQ677" s="1"/>
  <c r="AS679"/>
  <c r="BQ679" s="1"/>
  <c r="AS680"/>
  <c r="BQ680" s="1"/>
  <c r="AS681"/>
  <c r="BQ681" s="1"/>
  <c r="AS682"/>
  <c r="BQ682" s="1"/>
  <c r="AS683"/>
  <c r="BQ683" s="1"/>
  <c r="AS684"/>
  <c r="BQ684" s="1"/>
  <c r="AS685"/>
  <c r="BQ685" s="1"/>
  <c r="AS686"/>
  <c r="BQ686" s="1"/>
  <c r="AS687"/>
  <c r="BQ687" s="1"/>
  <c r="AS689"/>
  <c r="BQ689" s="1"/>
  <c r="AS690"/>
  <c r="BQ690" s="1"/>
  <c r="AS17"/>
  <c r="BQ17" s="1"/>
  <c r="AR18"/>
  <c r="BP18" s="1"/>
  <c r="AR19"/>
  <c r="BP19" s="1"/>
  <c r="AR20"/>
  <c r="BP20" s="1"/>
  <c r="AR21"/>
  <c r="BP21" s="1"/>
  <c r="AR22"/>
  <c r="BP22" s="1"/>
  <c r="AR23"/>
  <c r="BP23" s="1"/>
  <c r="AR24"/>
  <c r="BP24" s="1"/>
  <c r="AR25"/>
  <c r="BP25" s="1"/>
  <c r="AR26"/>
  <c r="BP26" s="1"/>
  <c r="AR27"/>
  <c r="BP27" s="1"/>
  <c r="AR28"/>
  <c r="BP28" s="1"/>
  <c r="AR29"/>
  <c r="BP29" s="1"/>
  <c r="AR30"/>
  <c r="BP30" s="1"/>
  <c r="AR31"/>
  <c r="BP31" s="1"/>
  <c r="AR32"/>
  <c r="BP32" s="1"/>
  <c r="AR33"/>
  <c r="BP33" s="1"/>
  <c r="AR34"/>
  <c r="BP34" s="1"/>
  <c r="AR35"/>
  <c r="BP35" s="1"/>
  <c r="AR36"/>
  <c r="BP36" s="1"/>
  <c r="AR37"/>
  <c r="BP37" s="1"/>
  <c r="AR38"/>
  <c r="BP38" s="1"/>
  <c r="AR39"/>
  <c r="BP39" s="1"/>
  <c r="AR40"/>
  <c r="BP40" s="1"/>
  <c r="AR41"/>
  <c r="BP41" s="1"/>
  <c r="AR42"/>
  <c r="BP42" s="1"/>
  <c r="AR43"/>
  <c r="BP43" s="1"/>
  <c r="AR44"/>
  <c r="BP44" s="1"/>
  <c r="AR45"/>
  <c r="BP45" s="1"/>
  <c r="AR46"/>
  <c r="BP46" s="1"/>
  <c r="AR47"/>
  <c r="BP47" s="1"/>
  <c r="AR48"/>
  <c r="BP48" s="1"/>
  <c r="AR49"/>
  <c r="BP49" s="1"/>
  <c r="AR50"/>
  <c r="BP50" s="1"/>
  <c r="AR51"/>
  <c r="BP51" s="1"/>
  <c r="AR52"/>
  <c r="BP52" s="1"/>
  <c r="AR53"/>
  <c r="BP53" s="1"/>
  <c r="AR54"/>
  <c r="BP54" s="1"/>
  <c r="AR55"/>
  <c r="BP55" s="1"/>
  <c r="AR56"/>
  <c r="BP56" s="1"/>
  <c r="AR57"/>
  <c r="BP57" s="1"/>
  <c r="AR58"/>
  <c r="BP58" s="1"/>
  <c r="AR59"/>
  <c r="BP59" s="1"/>
  <c r="AR60"/>
  <c r="BP60" s="1"/>
  <c r="AR61"/>
  <c r="BP61" s="1"/>
  <c r="AR62"/>
  <c r="BP62" s="1"/>
  <c r="AR63"/>
  <c r="BP63" s="1"/>
  <c r="AR64"/>
  <c r="BP64" s="1"/>
  <c r="AR65"/>
  <c r="BP65" s="1"/>
  <c r="AR66"/>
  <c r="BP66" s="1"/>
  <c r="AR67"/>
  <c r="BP67" s="1"/>
  <c r="AR68"/>
  <c r="BP68" s="1"/>
  <c r="AR69"/>
  <c r="BP69" s="1"/>
  <c r="AR70"/>
  <c r="BP70" s="1"/>
  <c r="AR71"/>
  <c r="BP71" s="1"/>
  <c r="AR72"/>
  <c r="BP72" s="1"/>
  <c r="AR73"/>
  <c r="BP73" s="1"/>
  <c r="AR74"/>
  <c r="BP74" s="1"/>
  <c r="AR75"/>
  <c r="BP75" s="1"/>
  <c r="AR76"/>
  <c r="BP76" s="1"/>
  <c r="AR77"/>
  <c r="BP77" s="1"/>
  <c r="AR78"/>
  <c r="BP78" s="1"/>
  <c r="AR79"/>
  <c r="BP79" s="1"/>
  <c r="AR80"/>
  <c r="BP80" s="1"/>
  <c r="AR81"/>
  <c r="BP81" s="1"/>
  <c r="AR82"/>
  <c r="BP82" s="1"/>
  <c r="AR83"/>
  <c r="BP83" s="1"/>
  <c r="AR84"/>
  <c r="BP84" s="1"/>
  <c r="AR85"/>
  <c r="BP85" s="1"/>
  <c r="AR86"/>
  <c r="BP86" s="1"/>
  <c r="AR87"/>
  <c r="BP87" s="1"/>
  <c r="AR88"/>
  <c r="BP88" s="1"/>
  <c r="AR89"/>
  <c r="BP89" s="1"/>
  <c r="AR90"/>
  <c r="BP90" s="1"/>
  <c r="AR91"/>
  <c r="BP91" s="1"/>
  <c r="AR92"/>
  <c r="BP92" s="1"/>
  <c r="AR93"/>
  <c r="BP93" s="1"/>
  <c r="AR94"/>
  <c r="BP94" s="1"/>
  <c r="AR95"/>
  <c r="BP95" s="1"/>
  <c r="AR96"/>
  <c r="BP96" s="1"/>
  <c r="AR97"/>
  <c r="BP97" s="1"/>
  <c r="AR98"/>
  <c r="BP98" s="1"/>
  <c r="AR99"/>
  <c r="BP99" s="1"/>
  <c r="AR100"/>
  <c r="BP100" s="1"/>
  <c r="AR101"/>
  <c r="BP101" s="1"/>
  <c r="AR102"/>
  <c r="BP102" s="1"/>
  <c r="AR103"/>
  <c r="BP103" s="1"/>
  <c r="AR104"/>
  <c r="BP104" s="1"/>
  <c r="AR105"/>
  <c r="BP105" s="1"/>
  <c r="AR106"/>
  <c r="BP106" s="1"/>
  <c r="AR107"/>
  <c r="BP107" s="1"/>
  <c r="AR108"/>
  <c r="BP108" s="1"/>
  <c r="AR110"/>
  <c r="BP110" s="1"/>
  <c r="AR111"/>
  <c r="BP111" s="1"/>
  <c r="AR112"/>
  <c r="BP112" s="1"/>
  <c r="AR113"/>
  <c r="BP113" s="1"/>
  <c r="AR114"/>
  <c r="BP114" s="1"/>
  <c r="AR115"/>
  <c r="BP115" s="1"/>
  <c r="AR116"/>
  <c r="BP116" s="1"/>
  <c r="AR117"/>
  <c r="BP117" s="1"/>
  <c r="AR118"/>
  <c r="BP118" s="1"/>
  <c r="AR119"/>
  <c r="BP119" s="1"/>
  <c r="AR120"/>
  <c r="BP120" s="1"/>
  <c r="AR121"/>
  <c r="BP121" s="1"/>
  <c r="AR122"/>
  <c r="BP122" s="1"/>
  <c r="AR123"/>
  <c r="BP123" s="1"/>
  <c r="AR124"/>
  <c r="BP124" s="1"/>
  <c r="AR127"/>
  <c r="BP127" s="1"/>
  <c r="AR128"/>
  <c r="BP128" s="1"/>
  <c r="AR129"/>
  <c r="BP129" s="1"/>
  <c r="AR130"/>
  <c r="BP130" s="1"/>
  <c r="AR131"/>
  <c r="BP131" s="1"/>
  <c r="AR132"/>
  <c r="BP132" s="1"/>
  <c r="AR133"/>
  <c r="BP133" s="1"/>
  <c r="AR135"/>
  <c r="BP135" s="1"/>
  <c r="AR136"/>
  <c r="BP136" s="1"/>
  <c r="AR137"/>
  <c r="BP137" s="1"/>
  <c r="AR138"/>
  <c r="BP138" s="1"/>
  <c r="AR139"/>
  <c r="BP139" s="1"/>
  <c r="AR140"/>
  <c r="BP140" s="1"/>
  <c r="AR141"/>
  <c r="BP141" s="1"/>
  <c r="AR142"/>
  <c r="BP142" s="1"/>
  <c r="AR143"/>
  <c r="BP143" s="1"/>
  <c r="AR144"/>
  <c r="BP144" s="1"/>
  <c r="AR145"/>
  <c r="BP145" s="1"/>
  <c r="AR146"/>
  <c r="BP146" s="1"/>
  <c r="AR147"/>
  <c r="BP147" s="1"/>
  <c r="AR148"/>
  <c r="BP148" s="1"/>
  <c r="AR149"/>
  <c r="BP149" s="1"/>
  <c r="AR150"/>
  <c r="BP150" s="1"/>
  <c r="AR151"/>
  <c r="BP151" s="1"/>
  <c r="AR152"/>
  <c r="BP152" s="1"/>
  <c r="AR153"/>
  <c r="BP153" s="1"/>
  <c r="AR154"/>
  <c r="BP154" s="1"/>
  <c r="AR155"/>
  <c r="BP155" s="1"/>
  <c r="AR156"/>
  <c r="BP156" s="1"/>
  <c r="AR157"/>
  <c r="BP157" s="1"/>
  <c r="AR158"/>
  <c r="BP158" s="1"/>
  <c r="AR160"/>
  <c r="BP160" s="1"/>
  <c r="AR161"/>
  <c r="BP161" s="1"/>
  <c r="AR162"/>
  <c r="BP162" s="1"/>
  <c r="AR163"/>
  <c r="BP163" s="1"/>
  <c r="AR164"/>
  <c r="BP164" s="1"/>
  <c r="AR166"/>
  <c r="BP166" s="1"/>
  <c r="AR167"/>
  <c r="BP167" s="1"/>
  <c r="AR169"/>
  <c r="BP169" s="1"/>
  <c r="AR170"/>
  <c r="BP170" s="1"/>
  <c r="AR171"/>
  <c r="BP171" s="1"/>
  <c r="AR172"/>
  <c r="BP172" s="1"/>
  <c r="AR173"/>
  <c r="BP173" s="1"/>
  <c r="AR174"/>
  <c r="BP174" s="1"/>
  <c r="AR175"/>
  <c r="BP175" s="1"/>
  <c r="AR176"/>
  <c r="BP176" s="1"/>
  <c r="AR177"/>
  <c r="BP177" s="1"/>
  <c r="AR178"/>
  <c r="BP178" s="1"/>
  <c r="AR179"/>
  <c r="BP179" s="1"/>
  <c r="AR180"/>
  <c r="BP180" s="1"/>
  <c r="AR181"/>
  <c r="BP181" s="1"/>
  <c r="AR182"/>
  <c r="BP182" s="1"/>
  <c r="AR184"/>
  <c r="BP184" s="1"/>
  <c r="AR185"/>
  <c r="BP185" s="1"/>
  <c r="AR186"/>
  <c r="BP186" s="1"/>
  <c r="AR187"/>
  <c r="BP187" s="1"/>
  <c r="AR189"/>
  <c r="BP189" s="1"/>
  <c r="AR190"/>
  <c r="BP190" s="1"/>
  <c r="AR191"/>
  <c r="BP191" s="1"/>
  <c r="AR192"/>
  <c r="BP192" s="1"/>
  <c r="AR193"/>
  <c r="BP193" s="1"/>
  <c r="AR194"/>
  <c r="BP194" s="1"/>
  <c r="AR195"/>
  <c r="BP195" s="1"/>
  <c r="AR196"/>
  <c r="BP196" s="1"/>
  <c r="AR198"/>
  <c r="BP198" s="1"/>
  <c r="AR199"/>
  <c r="BP199" s="1"/>
  <c r="AR200"/>
  <c r="BP200" s="1"/>
  <c r="AR201"/>
  <c r="BP201" s="1"/>
  <c r="AR203"/>
  <c r="BP203" s="1"/>
  <c r="AR204"/>
  <c r="BP204" s="1"/>
  <c r="AR205"/>
  <c r="BP205" s="1"/>
  <c r="AR206"/>
  <c r="BP206" s="1"/>
  <c r="AR207"/>
  <c r="BP207" s="1"/>
  <c r="AR209"/>
  <c r="BP209" s="1"/>
  <c r="AR210"/>
  <c r="BP210" s="1"/>
  <c r="AR211"/>
  <c r="BP211" s="1"/>
  <c r="AR212"/>
  <c r="BP212" s="1"/>
  <c r="AR213"/>
  <c r="BP213" s="1"/>
  <c r="AR214"/>
  <c r="BP214" s="1"/>
  <c r="AR215"/>
  <c r="BP215" s="1"/>
  <c r="AR216"/>
  <c r="BP216" s="1"/>
  <c r="AR217"/>
  <c r="BP217" s="1"/>
  <c r="AR218"/>
  <c r="BP218" s="1"/>
  <c r="AR219"/>
  <c r="BP219" s="1"/>
  <c r="AR222"/>
  <c r="BP222" s="1"/>
  <c r="AR224"/>
  <c r="BP224" s="1"/>
  <c r="AR226"/>
  <c r="BP226" s="1"/>
  <c r="AR227"/>
  <c r="BP227" s="1"/>
  <c r="AR228"/>
  <c r="BP228" s="1"/>
  <c r="AR230"/>
  <c r="BP230" s="1"/>
  <c r="AR231"/>
  <c r="BP231" s="1"/>
  <c r="AR232"/>
  <c r="BP232" s="1"/>
  <c r="AR234"/>
  <c r="BP234" s="1"/>
  <c r="AR235"/>
  <c r="BP235" s="1"/>
  <c r="AR237"/>
  <c r="BP237" s="1"/>
  <c r="AR238"/>
  <c r="BP238" s="1"/>
  <c r="AR240"/>
  <c r="BP240" s="1"/>
  <c r="AR241"/>
  <c r="BP241" s="1"/>
  <c r="AR243"/>
  <c r="BP243" s="1"/>
  <c r="AR244"/>
  <c r="BP244" s="1"/>
  <c r="AR246"/>
  <c r="BP246" s="1"/>
  <c r="AR247"/>
  <c r="BP247" s="1"/>
  <c r="AR248"/>
  <c r="BP248" s="1"/>
  <c r="AR249"/>
  <c r="BP249" s="1"/>
  <c r="AR250"/>
  <c r="BP250" s="1"/>
  <c r="AR251"/>
  <c r="BP251" s="1"/>
  <c r="AR252"/>
  <c r="BP252" s="1"/>
  <c r="AR254"/>
  <c r="BP254" s="1"/>
  <c r="AR255"/>
  <c r="BP255" s="1"/>
  <c r="AR256"/>
  <c r="BP256" s="1"/>
  <c r="AR257"/>
  <c r="BP257" s="1"/>
  <c r="AR259"/>
  <c r="BP259" s="1"/>
  <c r="AR260"/>
  <c r="BP260" s="1"/>
  <c r="AR262"/>
  <c r="BP262" s="1"/>
  <c r="AR263"/>
  <c r="BP263" s="1"/>
  <c r="AR265"/>
  <c r="BP265" s="1"/>
  <c r="AR266"/>
  <c r="BP266" s="1"/>
  <c r="AR267"/>
  <c r="BP267" s="1"/>
  <c r="AR268"/>
  <c r="BP268" s="1"/>
  <c r="AR269"/>
  <c r="BP269" s="1"/>
  <c r="AR271"/>
  <c r="BP271" s="1"/>
  <c r="AR272"/>
  <c r="BP272" s="1"/>
  <c r="AR274"/>
  <c r="BP274" s="1"/>
  <c r="AR275"/>
  <c r="BP275" s="1"/>
  <c r="AR276"/>
  <c r="BP276" s="1"/>
  <c r="AR277"/>
  <c r="BP277" s="1"/>
  <c r="AR278"/>
  <c r="BP278" s="1"/>
  <c r="AR279"/>
  <c r="BP279" s="1"/>
  <c r="AR280"/>
  <c r="BP280" s="1"/>
  <c r="AR282"/>
  <c r="BP282" s="1"/>
  <c r="AR283"/>
  <c r="BP283" s="1"/>
  <c r="AR284"/>
  <c r="BP284" s="1"/>
  <c r="AR285"/>
  <c r="BP285" s="1"/>
  <c r="AR287"/>
  <c r="BP287" s="1"/>
  <c r="AR288"/>
  <c r="BP288" s="1"/>
  <c r="AR290"/>
  <c r="BP290" s="1"/>
  <c r="AR291"/>
  <c r="BP291" s="1"/>
  <c r="AR293"/>
  <c r="BP293" s="1"/>
  <c r="AR296"/>
  <c r="BP296" s="1"/>
  <c r="AR297"/>
  <c r="BP297" s="1"/>
  <c r="AR298"/>
  <c r="BP298" s="1"/>
  <c r="AR300"/>
  <c r="BP300" s="1"/>
  <c r="AR301"/>
  <c r="BP301" s="1"/>
  <c r="AR303"/>
  <c r="BP303" s="1"/>
  <c r="AR304"/>
  <c r="BP304" s="1"/>
  <c r="AR305"/>
  <c r="BP305" s="1"/>
  <c r="AR307"/>
  <c r="BP307" s="1"/>
  <c r="AR308"/>
  <c r="BP308" s="1"/>
  <c r="AR309"/>
  <c r="BP309" s="1"/>
  <c r="AR311"/>
  <c r="BP311" s="1"/>
  <c r="AR312"/>
  <c r="BP312" s="1"/>
  <c r="AR313"/>
  <c r="BP313" s="1"/>
  <c r="AR315"/>
  <c r="BP315" s="1"/>
  <c r="AR316"/>
  <c r="BP316" s="1"/>
  <c r="AR317"/>
  <c r="BP317" s="1"/>
  <c r="AR318"/>
  <c r="BP318" s="1"/>
  <c r="AR320"/>
  <c r="BP320" s="1"/>
  <c r="AR321"/>
  <c r="BP321" s="1"/>
  <c r="AR323"/>
  <c r="BP323" s="1"/>
  <c r="AR324"/>
  <c r="BP324" s="1"/>
  <c r="AR326"/>
  <c r="BP326" s="1"/>
  <c r="AR327"/>
  <c r="BP327" s="1"/>
  <c r="AR329"/>
  <c r="BP329" s="1"/>
  <c r="AR330"/>
  <c r="BP330" s="1"/>
  <c r="AR331"/>
  <c r="BP331" s="1"/>
  <c r="AR332"/>
  <c r="BP332" s="1"/>
  <c r="AR334"/>
  <c r="BP334" s="1"/>
  <c r="AR335"/>
  <c r="BP335" s="1"/>
  <c r="AR336"/>
  <c r="BP336" s="1"/>
  <c r="AR337"/>
  <c r="BP337" s="1"/>
  <c r="AR338"/>
  <c r="BP338" s="1"/>
  <c r="AR339"/>
  <c r="BP339" s="1"/>
  <c r="AR340"/>
  <c r="BP340" s="1"/>
  <c r="AR341"/>
  <c r="BP341" s="1"/>
  <c r="AR343"/>
  <c r="BP343" s="1"/>
  <c r="AR344"/>
  <c r="BP344" s="1"/>
  <c r="AR346"/>
  <c r="BP346" s="1"/>
  <c r="AR347"/>
  <c r="BP347" s="1"/>
  <c r="AR348"/>
  <c r="BP348" s="1"/>
  <c r="AR349"/>
  <c r="BP349" s="1"/>
  <c r="AR350"/>
  <c r="BP350" s="1"/>
  <c r="AR351"/>
  <c r="BP351" s="1"/>
  <c r="AR352"/>
  <c r="BP352" s="1"/>
  <c r="AR353"/>
  <c r="BP353" s="1"/>
  <c r="AR354"/>
  <c r="BP354" s="1"/>
  <c r="AR355"/>
  <c r="BP355" s="1"/>
  <c r="AR356"/>
  <c r="BP356" s="1"/>
  <c r="AR358"/>
  <c r="BP358" s="1"/>
  <c r="AR360"/>
  <c r="BP360" s="1"/>
  <c r="AR361"/>
  <c r="BP361" s="1"/>
  <c r="AR362"/>
  <c r="BP362" s="1"/>
  <c r="AR363"/>
  <c r="BP363" s="1"/>
  <c r="AR364"/>
  <c r="BP364" s="1"/>
  <c r="AR365"/>
  <c r="BP365" s="1"/>
  <c r="AR366"/>
  <c r="BP366" s="1"/>
  <c r="AR367"/>
  <c r="BP367" s="1"/>
  <c r="AR368"/>
  <c r="BP368" s="1"/>
  <c r="AR369"/>
  <c r="BP369" s="1"/>
  <c r="AR370"/>
  <c r="BP370" s="1"/>
  <c r="AR371"/>
  <c r="BP371" s="1"/>
  <c r="AR372"/>
  <c r="BP372" s="1"/>
  <c r="AR373"/>
  <c r="BP373" s="1"/>
  <c r="AR374"/>
  <c r="BP374" s="1"/>
  <c r="AR375"/>
  <c r="BP375" s="1"/>
  <c r="AR376"/>
  <c r="BP376" s="1"/>
  <c r="AR377"/>
  <c r="BP377" s="1"/>
  <c r="AR378"/>
  <c r="BP378" s="1"/>
  <c r="AR379"/>
  <c r="BP379" s="1"/>
  <c r="AR380"/>
  <c r="BP380" s="1"/>
  <c r="AR381"/>
  <c r="BP381" s="1"/>
  <c r="AR382"/>
  <c r="BP382" s="1"/>
  <c r="AR383"/>
  <c r="BP383" s="1"/>
  <c r="AR384"/>
  <c r="BP384" s="1"/>
  <c r="AR385"/>
  <c r="BP385" s="1"/>
  <c r="AR386"/>
  <c r="BP386" s="1"/>
  <c r="AR387"/>
  <c r="BP387" s="1"/>
  <c r="AR388"/>
  <c r="BP388" s="1"/>
  <c r="AR389"/>
  <c r="BP389" s="1"/>
  <c r="AR390"/>
  <c r="BP390" s="1"/>
  <c r="AR391"/>
  <c r="BP391" s="1"/>
  <c r="AR392"/>
  <c r="BP392" s="1"/>
  <c r="AR393"/>
  <c r="BP393" s="1"/>
  <c r="AR394"/>
  <c r="BP394" s="1"/>
  <c r="AR395"/>
  <c r="BP395" s="1"/>
  <c r="AR396"/>
  <c r="BP396" s="1"/>
  <c r="AR397"/>
  <c r="BP397" s="1"/>
  <c r="AR398"/>
  <c r="BP398" s="1"/>
  <c r="AR399"/>
  <c r="BP399" s="1"/>
  <c r="AR400"/>
  <c r="BP400" s="1"/>
  <c r="AR401"/>
  <c r="BP401" s="1"/>
  <c r="AR402"/>
  <c r="BP402" s="1"/>
  <c r="AR403"/>
  <c r="BP403" s="1"/>
  <c r="AR404"/>
  <c r="BP404" s="1"/>
  <c r="AR405"/>
  <c r="BP405" s="1"/>
  <c r="AR406"/>
  <c r="BP406" s="1"/>
  <c r="AR407"/>
  <c r="BP407" s="1"/>
  <c r="AR408"/>
  <c r="BP408" s="1"/>
  <c r="AR409"/>
  <c r="BP409" s="1"/>
  <c r="AR410"/>
  <c r="BP410" s="1"/>
  <c r="AR411"/>
  <c r="BP411" s="1"/>
  <c r="AR412"/>
  <c r="BP412" s="1"/>
  <c r="AR413"/>
  <c r="BP413" s="1"/>
  <c r="AR414"/>
  <c r="BP414" s="1"/>
  <c r="AR415"/>
  <c r="BP415" s="1"/>
  <c r="AR416"/>
  <c r="BP416" s="1"/>
  <c r="AR417"/>
  <c r="BP417" s="1"/>
  <c r="AR418"/>
  <c r="BP418" s="1"/>
  <c r="AR419"/>
  <c r="BP419" s="1"/>
  <c r="AR420"/>
  <c r="BP420" s="1"/>
  <c r="AR421"/>
  <c r="BP421" s="1"/>
  <c r="AR422"/>
  <c r="BP422" s="1"/>
  <c r="AR423"/>
  <c r="BP423" s="1"/>
  <c r="AR424"/>
  <c r="BP424" s="1"/>
  <c r="AR425"/>
  <c r="BP425" s="1"/>
  <c r="AR426"/>
  <c r="BP426" s="1"/>
  <c r="AR427"/>
  <c r="BP427" s="1"/>
  <c r="AR428"/>
  <c r="BP428" s="1"/>
  <c r="AR429"/>
  <c r="BP429" s="1"/>
  <c r="AR430"/>
  <c r="BP430" s="1"/>
  <c r="AR431"/>
  <c r="BP431" s="1"/>
  <c r="AR432"/>
  <c r="BP432" s="1"/>
  <c r="AR433"/>
  <c r="BP433" s="1"/>
  <c r="AR434"/>
  <c r="BP434" s="1"/>
  <c r="AR435"/>
  <c r="BP435" s="1"/>
  <c r="AR436"/>
  <c r="BP436" s="1"/>
  <c r="AR437"/>
  <c r="BP437" s="1"/>
  <c r="AR438"/>
  <c r="BP438" s="1"/>
  <c r="AR439"/>
  <c r="BP439" s="1"/>
  <c r="AR440"/>
  <c r="BP440" s="1"/>
  <c r="AR441"/>
  <c r="BP441" s="1"/>
  <c r="AR442"/>
  <c r="BP442" s="1"/>
  <c r="AR443"/>
  <c r="BP443" s="1"/>
  <c r="AR444"/>
  <c r="BP444" s="1"/>
  <c r="AR445"/>
  <c r="BP445" s="1"/>
  <c r="AR446"/>
  <c r="BP446" s="1"/>
  <c r="AR447"/>
  <c r="BP447" s="1"/>
  <c r="AR448"/>
  <c r="BP448" s="1"/>
  <c r="AR449"/>
  <c r="BP449" s="1"/>
  <c r="AR450"/>
  <c r="BP450" s="1"/>
  <c r="AR451"/>
  <c r="BP451" s="1"/>
  <c r="AR452"/>
  <c r="BP452" s="1"/>
  <c r="AR453"/>
  <c r="BP453" s="1"/>
  <c r="AR454"/>
  <c r="BP454" s="1"/>
  <c r="AR455"/>
  <c r="BP455" s="1"/>
  <c r="AR456"/>
  <c r="BP456" s="1"/>
  <c r="AR457"/>
  <c r="BP457" s="1"/>
  <c r="AR458"/>
  <c r="BP458" s="1"/>
  <c r="AR459"/>
  <c r="BP459" s="1"/>
  <c r="AR460"/>
  <c r="BP460" s="1"/>
  <c r="AR461"/>
  <c r="BP461" s="1"/>
  <c r="AR462"/>
  <c r="BP462" s="1"/>
  <c r="AR463"/>
  <c r="BP463" s="1"/>
  <c r="AR464"/>
  <c r="BP464" s="1"/>
  <c r="AR465"/>
  <c r="BP465" s="1"/>
  <c r="AR466"/>
  <c r="BP466" s="1"/>
  <c r="AR467"/>
  <c r="BP467" s="1"/>
  <c r="AR468"/>
  <c r="BP468" s="1"/>
  <c r="AR469"/>
  <c r="BP469" s="1"/>
  <c r="AR470"/>
  <c r="BP470" s="1"/>
  <c r="AR471"/>
  <c r="BP471" s="1"/>
  <c r="AR472"/>
  <c r="BP472" s="1"/>
  <c r="AR473"/>
  <c r="BP473" s="1"/>
  <c r="AR474"/>
  <c r="BP474" s="1"/>
  <c r="AR475"/>
  <c r="BP475" s="1"/>
  <c r="AR476"/>
  <c r="BP476" s="1"/>
  <c r="AR477"/>
  <c r="BP477" s="1"/>
  <c r="AR478"/>
  <c r="BP478" s="1"/>
  <c r="AR479"/>
  <c r="BP479" s="1"/>
  <c r="AR480"/>
  <c r="BP480" s="1"/>
  <c r="AR481"/>
  <c r="BP481" s="1"/>
  <c r="AR482"/>
  <c r="BP482" s="1"/>
  <c r="AR483"/>
  <c r="BP483" s="1"/>
  <c r="AR485"/>
  <c r="BP485" s="1"/>
  <c r="AR486"/>
  <c r="BP486" s="1"/>
  <c r="AR487"/>
  <c r="BP487" s="1"/>
  <c r="AR488"/>
  <c r="BP488" s="1"/>
  <c r="AR489"/>
  <c r="BP489" s="1"/>
  <c r="AR490"/>
  <c r="BP490" s="1"/>
  <c r="AR491"/>
  <c r="BP491" s="1"/>
  <c r="AR492"/>
  <c r="BP492" s="1"/>
  <c r="AR494"/>
  <c r="BP494" s="1"/>
  <c r="AR495"/>
  <c r="BP495" s="1"/>
  <c r="AR496"/>
  <c r="BP496" s="1"/>
  <c r="AR497"/>
  <c r="BP497" s="1"/>
  <c r="AR498"/>
  <c r="BP498" s="1"/>
  <c r="AR499"/>
  <c r="BP499" s="1"/>
  <c r="AR500"/>
  <c r="BP500" s="1"/>
  <c r="AR501"/>
  <c r="BP501" s="1"/>
  <c r="AR503"/>
  <c r="BP503" s="1"/>
  <c r="AR504"/>
  <c r="BP504" s="1"/>
  <c r="AR505"/>
  <c r="BP505" s="1"/>
  <c r="AR506"/>
  <c r="BP506" s="1"/>
  <c r="AR507"/>
  <c r="BP507" s="1"/>
  <c r="AR508"/>
  <c r="BP508" s="1"/>
  <c r="AR509"/>
  <c r="BP509" s="1"/>
  <c r="AR510"/>
  <c r="BP510" s="1"/>
  <c r="AR511"/>
  <c r="BP511" s="1"/>
  <c r="AR512"/>
  <c r="BP512" s="1"/>
  <c r="AR513"/>
  <c r="BP513" s="1"/>
  <c r="AR514"/>
  <c r="BP514" s="1"/>
  <c r="AR515"/>
  <c r="BP515" s="1"/>
  <c r="AR517"/>
  <c r="BP517" s="1"/>
  <c r="AR518"/>
  <c r="BP518" s="1"/>
  <c r="AR519"/>
  <c r="BP519" s="1"/>
  <c r="AR520"/>
  <c r="BP520" s="1"/>
  <c r="AR522"/>
  <c r="BP522" s="1"/>
  <c r="AR523"/>
  <c r="BP523" s="1"/>
  <c r="AR524"/>
  <c r="BP524" s="1"/>
  <c r="AR525"/>
  <c r="BP525" s="1"/>
  <c r="AR526"/>
  <c r="BP526" s="1"/>
  <c r="AR527"/>
  <c r="BP527" s="1"/>
  <c r="AR529"/>
  <c r="BP529" s="1"/>
  <c r="AR530"/>
  <c r="BP530" s="1"/>
  <c r="AR531"/>
  <c r="BP531" s="1"/>
  <c r="AR533"/>
  <c r="BP533" s="1"/>
  <c r="AR534"/>
  <c r="BP534" s="1"/>
  <c r="AR535"/>
  <c r="BP535" s="1"/>
  <c r="AR536"/>
  <c r="BP536" s="1"/>
  <c r="AR537"/>
  <c r="BP537" s="1"/>
  <c r="AR538"/>
  <c r="BP538" s="1"/>
  <c r="AR539"/>
  <c r="BP539" s="1"/>
  <c r="AR540"/>
  <c r="BP540" s="1"/>
  <c r="AR541"/>
  <c r="BP541" s="1"/>
  <c r="AR542"/>
  <c r="BP542" s="1"/>
  <c r="AR543"/>
  <c r="BP543" s="1"/>
  <c r="AR544"/>
  <c r="BP544" s="1"/>
  <c r="AR545"/>
  <c r="BP545" s="1"/>
  <c r="AR548"/>
  <c r="BP548" s="1"/>
  <c r="AR549"/>
  <c r="BP549" s="1"/>
  <c r="AR551"/>
  <c r="BP551" s="1"/>
  <c r="AR552"/>
  <c r="BP552" s="1"/>
  <c r="AR553"/>
  <c r="BP553" s="1"/>
  <c r="AR555"/>
  <c r="BP555" s="1"/>
  <c r="AR556"/>
  <c r="BP556" s="1"/>
  <c r="AR557"/>
  <c r="BP557" s="1"/>
  <c r="AR559"/>
  <c r="BP559" s="1"/>
  <c r="AR565"/>
  <c r="BP565" s="1"/>
  <c r="AR566"/>
  <c r="BP566" s="1"/>
  <c r="AR567"/>
  <c r="BP567" s="1"/>
  <c r="AR569"/>
  <c r="BP569" s="1"/>
  <c r="AR570"/>
  <c r="BP570" s="1"/>
  <c r="AR572"/>
  <c r="BP572" s="1"/>
  <c r="AR573"/>
  <c r="BP573" s="1"/>
  <c r="AR575"/>
  <c r="BP575" s="1"/>
  <c r="AR576"/>
  <c r="BP576" s="1"/>
  <c r="AR577"/>
  <c r="BP577" s="1"/>
  <c r="AR578"/>
  <c r="BP578" s="1"/>
  <c r="AR580"/>
  <c r="BP580" s="1"/>
  <c r="AR581"/>
  <c r="BP581" s="1"/>
  <c r="AR582"/>
  <c r="BP582" s="1"/>
  <c r="AR583"/>
  <c r="BP583" s="1"/>
  <c r="AR584"/>
  <c r="BP584" s="1"/>
  <c r="AR586"/>
  <c r="BP586" s="1"/>
  <c r="AR587"/>
  <c r="BP587" s="1"/>
  <c r="AR589"/>
  <c r="BP589" s="1"/>
  <c r="AR590"/>
  <c r="BP590" s="1"/>
  <c r="AR592"/>
  <c r="BP592" s="1"/>
  <c r="AR593"/>
  <c r="BP593" s="1"/>
  <c r="AR595"/>
  <c r="BP595" s="1"/>
  <c r="AR596"/>
  <c r="BP596" s="1"/>
  <c r="AR597"/>
  <c r="BP597" s="1"/>
  <c r="AR598"/>
  <c r="BP598" s="1"/>
  <c r="AR599"/>
  <c r="BP599" s="1"/>
  <c r="AR600"/>
  <c r="BP600" s="1"/>
  <c r="AR601"/>
  <c r="BP601" s="1"/>
  <c r="AR603"/>
  <c r="BP603" s="1"/>
  <c r="AR604"/>
  <c r="BP604" s="1"/>
  <c r="AR606"/>
  <c r="BP606" s="1"/>
  <c r="AR607"/>
  <c r="BP607" s="1"/>
  <c r="AR608"/>
  <c r="BP608" s="1"/>
  <c r="AR609"/>
  <c r="BP609" s="1"/>
  <c r="AR610"/>
  <c r="BP610" s="1"/>
  <c r="AR611"/>
  <c r="BP611" s="1"/>
  <c r="AR612"/>
  <c r="BP612" s="1"/>
  <c r="AR614"/>
  <c r="BP614" s="1"/>
  <c r="AR615"/>
  <c r="BP615" s="1"/>
  <c r="AR616"/>
  <c r="BP616" s="1"/>
  <c r="AR618"/>
  <c r="BP618" s="1"/>
  <c r="AR619"/>
  <c r="BP619" s="1"/>
  <c r="AR621"/>
  <c r="BP621" s="1"/>
  <c r="AR622"/>
  <c r="BP622" s="1"/>
  <c r="AR623"/>
  <c r="BP623" s="1"/>
  <c r="AR625"/>
  <c r="BP625" s="1"/>
  <c r="AR630"/>
  <c r="BP630" s="1"/>
  <c r="AR631"/>
  <c r="BP631" s="1"/>
  <c r="AR633"/>
  <c r="BP633" s="1"/>
  <c r="AR634"/>
  <c r="BP634" s="1"/>
  <c r="AR635"/>
  <c r="BP635" s="1"/>
  <c r="AR637"/>
  <c r="BP637" s="1"/>
  <c r="AR638"/>
  <c r="BP638" s="1"/>
  <c r="AR639"/>
  <c r="BP639" s="1"/>
  <c r="AR641"/>
  <c r="BP641" s="1"/>
  <c r="AR642"/>
  <c r="BP642" s="1"/>
  <c r="AR644"/>
  <c r="BP644" s="1"/>
  <c r="AR645"/>
  <c r="BP645" s="1"/>
  <c r="AR646"/>
  <c r="BP646" s="1"/>
  <c r="AR647"/>
  <c r="BP647" s="1"/>
  <c r="AR648"/>
  <c r="BP648" s="1"/>
  <c r="AR649"/>
  <c r="BP649" s="1"/>
  <c r="AR651"/>
  <c r="BP651" s="1"/>
  <c r="AR652"/>
  <c r="BP652" s="1"/>
  <c r="AR654"/>
  <c r="BP654" s="1"/>
  <c r="AR655"/>
  <c r="BP655" s="1"/>
  <c r="AR657"/>
  <c r="BP657" s="1"/>
  <c r="AR658"/>
  <c r="BP658" s="1"/>
  <c r="AR660"/>
  <c r="BP660" s="1"/>
  <c r="AR661"/>
  <c r="BP661" s="1"/>
  <c r="AR662"/>
  <c r="BP662" s="1"/>
  <c r="AR664"/>
  <c r="BP664" s="1"/>
  <c r="AR665"/>
  <c r="BP665" s="1"/>
  <c r="AR666"/>
  <c r="BP666" s="1"/>
  <c r="AR667"/>
  <c r="BP667" s="1"/>
  <c r="AR668"/>
  <c r="BP668" s="1"/>
  <c r="AR669"/>
  <c r="BP669" s="1"/>
  <c r="AR671"/>
  <c r="BP671" s="1"/>
  <c r="AR672"/>
  <c r="BP672" s="1"/>
  <c r="AR673"/>
  <c r="BP673" s="1"/>
  <c r="AR674"/>
  <c r="BP674" s="1"/>
  <c r="AR676"/>
  <c r="BP676" s="1"/>
  <c r="AR677"/>
  <c r="BP677" s="1"/>
  <c r="AR679"/>
  <c r="BP679" s="1"/>
  <c r="AR680"/>
  <c r="BP680" s="1"/>
  <c r="AR681"/>
  <c r="BP681" s="1"/>
  <c r="AR682"/>
  <c r="BP682" s="1"/>
  <c r="AR683"/>
  <c r="BP683" s="1"/>
  <c r="AR684"/>
  <c r="BP684" s="1"/>
  <c r="AR685"/>
  <c r="BP685" s="1"/>
  <c r="AR686"/>
  <c r="BP686" s="1"/>
  <c r="AR687"/>
  <c r="BP687" s="1"/>
  <c r="AR689"/>
  <c r="BP689" s="1"/>
  <c r="AR690"/>
  <c r="BP690" s="1"/>
  <c r="AR17"/>
  <c r="BP17" s="1"/>
  <c r="AQ18"/>
  <c r="BO18" s="1"/>
  <c r="AQ19"/>
  <c r="BO19" s="1"/>
  <c r="AQ20"/>
  <c r="BO20" s="1"/>
  <c r="AQ21"/>
  <c r="BO21" s="1"/>
  <c r="AQ22"/>
  <c r="BO22" s="1"/>
  <c r="AQ23"/>
  <c r="BO23" s="1"/>
  <c r="AQ24"/>
  <c r="BO24" s="1"/>
  <c r="AQ25"/>
  <c r="BO25" s="1"/>
  <c r="AQ26"/>
  <c r="BO26" s="1"/>
  <c r="AQ27"/>
  <c r="BO27" s="1"/>
  <c r="AQ28"/>
  <c r="BO28" s="1"/>
  <c r="AQ29"/>
  <c r="BO29" s="1"/>
  <c r="AQ30"/>
  <c r="BO30" s="1"/>
  <c r="AQ31"/>
  <c r="BO31" s="1"/>
  <c r="AQ32"/>
  <c r="BO32" s="1"/>
  <c r="AQ33"/>
  <c r="BO33" s="1"/>
  <c r="AQ34"/>
  <c r="BO34" s="1"/>
  <c r="AQ35"/>
  <c r="BO35" s="1"/>
  <c r="AQ36"/>
  <c r="BO36" s="1"/>
  <c r="AQ37"/>
  <c r="BO37" s="1"/>
  <c r="AQ38"/>
  <c r="BO38" s="1"/>
  <c r="AQ39"/>
  <c r="BO39" s="1"/>
  <c r="AQ40"/>
  <c r="BO40" s="1"/>
  <c r="AQ41"/>
  <c r="BO41" s="1"/>
  <c r="AQ42"/>
  <c r="BO42" s="1"/>
  <c r="AQ43"/>
  <c r="BO43" s="1"/>
  <c r="AQ44"/>
  <c r="BO44" s="1"/>
  <c r="AQ45"/>
  <c r="BO45" s="1"/>
  <c r="AQ46"/>
  <c r="BO46" s="1"/>
  <c r="AQ47"/>
  <c r="BO47" s="1"/>
  <c r="AQ48"/>
  <c r="BO48" s="1"/>
  <c r="AQ49"/>
  <c r="BO49" s="1"/>
  <c r="AQ50"/>
  <c r="BO50" s="1"/>
  <c r="AQ51"/>
  <c r="BO51" s="1"/>
  <c r="AQ52"/>
  <c r="BO52" s="1"/>
  <c r="AQ53"/>
  <c r="BO53" s="1"/>
  <c r="AQ54"/>
  <c r="BO54" s="1"/>
  <c r="AQ55"/>
  <c r="BO55" s="1"/>
  <c r="AQ56"/>
  <c r="BO56" s="1"/>
  <c r="AQ57"/>
  <c r="BO57" s="1"/>
  <c r="AQ58"/>
  <c r="BO58" s="1"/>
  <c r="AQ59"/>
  <c r="BO59" s="1"/>
  <c r="AQ60"/>
  <c r="BO60" s="1"/>
  <c r="AQ61"/>
  <c r="BO61" s="1"/>
  <c r="AQ62"/>
  <c r="BO62" s="1"/>
  <c r="AQ63"/>
  <c r="BO63" s="1"/>
  <c r="AQ64"/>
  <c r="BO64" s="1"/>
  <c r="AQ65"/>
  <c r="BO65" s="1"/>
  <c r="AQ66"/>
  <c r="BO66" s="1"/>
  <c r="AQ67"/>
  <c r="BO67" s="1"/>
  <c r="AQ68"/>
  <c r="BO68" s="1"/>
  <c r="AQ69"/>
  <c r="BO69" s="1"/>
  <c r="AQ70"/>
  <c r="BO70" s="1"/>
  <c r="AQ71"/>
  <c r="BO71" s="1"/>
  <c r="AQ72"/>
  <c r="BO72" s="1"/>
  <c r="AQ73"/>
  <c r="BO73" s="1"/>
  <c r="AQ74"/>
  <c r="BO74" s="1"/>
  <c r="AQ75"/>
  <c r="BO75" s="1"/>
  <c r="AQ76"/>
  <c r="BO76" s="1"/>
  <c r="AQ77"/>
  <c r="BO77" s="1"/>
  <c r="AQ78"/>
  <c r="BO78" s="1"/>
  <c r="AQ79"/>
  <c r="BO79" s="1"/>
  <c r="AQ80"/>
  <c r="BO80" s="1"/>
  <c r="AQ82"/>
  <c r="BO82" s="1"/>
  <c r="AQ83"/>
  <c r="BO83" s="1"/>
  <c r="AQ84"/>
  <c r="BO84" s="1"/>
  <c r="AQ85"/>
  <c r="BO85" s="1"/>
  <c r="AQ86"/>
  <c r="BO86" s="1"/>
  <c r="AQ87"/>
  <c r="BO87" s="1"/>
  <c r="AQ88"/>
  <c r="BO88" s="1"/>
  <c r="AQ89"/>
  <c r="BO89" s="1"/>
  <c r="AQ90"/>
  <c r="BO90" s="1"/>
  <c r="AQ91"/>
  <c r="BO91" s="1"/>
  <c r="AQ92"/>
  <c r="BO92" s="1"/>
  <c r="AQ93"/>
  <c r="BO93" s="1"/>
  <c r="AQ94"/>
  <c r="BO94" s="1"/>
  <c r="AQ95"/>
  <c r="BO95" s="1"/>
  <c r="AQ96"/>
  <c r="BO96" s="1"/>
  <c r="AQ97"/>
  <c r="BO97" s="1"/>
  <c r="AQ98"/>
  <c r="BO98" s="1"/>
  <c r="AQ99"/>
  <c r="BO99" s="1"/>
  <c r="AQ100"/>
  <c r="BO100" s="1"/>
  <c r="AQ101"/>
  <c r="BO101" s="1"/>
  <c r="AQ102"/>
  <c r="BO102" s="1"/>
  <c r="AQ103"/>
  <c r="BO103" s="1"/>
  <c r="AQ104"/>
  <c r="BO104" s="1"/>
  <c r="AQ105"/>
  <c r="BO105" s="1"/>
  <c r="AQ106"/>
  <c r="BO106" s="1"/>
  <c r="AQ107"/>
  <c r="BO107" s="1"/>
  <c r="AQ108"/>
  <c r="BO108" s="1"/>
  <c r="AQ110"/>
  <c r="BO110" s="1"/>
  <c r="AQ111"/>
  <c r="BO111" s="1"/>
  <c r="AQ112"/>
  <c r="BO112" s="1"/>
  <c r="AQ113"/>
  <c r="BO113" s="1"/>
  <c r="AQ114"/>
  <c r="BO114" s="1"/>
  <c r="AQ115"/>
  <c r="BO115" s="1"/>
  <c r="AQ116"/>
  <c r="BO116" s="1"/>
  <c r="AQ117"/>
  <c r="BO117" s="1"/>
  <c r="AQ118"/>
  <c r="BO118" s="1"/>
  <c r="AQ119"/>
  <c r="BO119" s="1"/>
  <c r="AQ120"/>
  <c r="BO120" s="1"/>
  <c r="AQ121"/>
  <c r="BO121" s="1"/>
  <c r="AQ122"/>
  <c r="BO122" s="1"/>
  <c r="AQ123"/>
  <c r="BO123" s="1"/>
  <c r="AQ124"/>
  <c r="BO124" s="1"/>
  <c r="AQ127"/>
  <c r="BO127" s="1"/>
  <c r="AQ128"/>
  <c r="BO128" s="1"/>
  <c r="AQ129"/>
  <c r="BO129" s="1"/>
  <c r="AQ130"/>
  <c r="BO130" s="1"/>
  <c r="AQ132"/>
  <c r="BO132" s="1"/>
  <c r="AQ133"/>
  <c r="BO133" s="1"/>
  <c r="AQ135"/>
  <c r="BO135" s="1"/>
  <c r="AQ136"/>
  <c r="BO136" s="1"/>
  <c r="AQ137"/>
  <c r="BO137" s="1"/>
  <c r="AQ138"/>
  <c r="BO138" s="1"/>
  <c r="AQ139"/>
  <c r="BO139" s="1"/>
  <c r="AQ141"/>
  <c r="BO141" s="1"/>
  <c r="AQ142"/>
  <c r="BO142" s="1"/>
  <c r="AQ143"/>
  <c r="BO143" s="1"/>
  <c r="AQ144"/>
  <c r="BO144" s="1"/>
  <c r="AQ145"/>
  <c r="BO145" s="1"/>
  <c r="AQ146"/>
  <c r="BO146" s="1"/>
  <c r="AQ147"/>
  <c r="BO147" s="1"/>
  <c r="AQ148"/>
  <c r="BO148" s="1"/>
  <c r="AQ149"/>
  <c r="BO149" s="1"/>
  <c r="AQ150"/>
  <c r="BO150" s="1"/>
  <c r="AQ151"/>
  <c r="BO151" s="1"/>
  <c r="AQ152"/>
  <c r="BO152" s="1"/>
  <c r="AQ153"/>
  <c r="BO153" s="1"/>
  <c r="AQ154"/>
  <c r="BO154" s="1"/>
  <c r="AQ155"/>
  <c r="BO155" s="1"/>
  <c r="AQ156"/>
  <c r="BO156" s="1"/>
  <c r="AQ157"/>
  <c r="BO157" s="1"/>
  <c r="AQ160"/>
  <c r="BO160" s="1"/>
  <c r="AQ161"/>
  <c r="BO161" s="1"/>
  <c r="AQ162"/>
  <c r="BO162" s="1"/>
  <c r="AQ163"/>
  <c r="BO163" s="1"/>
  <c r="AQ164"/>
  <c r="BO164" s="1"/>
  <c r="AQ166"/>
  <c r="BO166" s="1"/>
  <c r="AQ167"/>
  <c r="BO167" s="1"/>
  <c r="AQ169"/>
  <c r="BO169" s="1"/>
  <c r="AQ170"/>
  <c r="BO170" s="1"/>
  <c r="AQ171"/>
  <c r="BO171" s="1"/>
  <c r="AQ172"/>
  <c r="BO172" s="1"/>
  <c r="AQ173"/>
  <c r="BO173" s="1"/>
  <c r="AQ174"/>
  <c r="BO174" s="1"/>
  <c r="AQ175"/>
  <c r="BO175" s="1"/>
  <c r="AQ176"/>
  <c r="BO176" s="1"/>
  <c r="AQ177"/>
  <c r="BO177" s="1"/>
  <c r="AQ178"/>
  <c r="BO178" s="1"/>
  <c r="AQ179"/>
  <c r="BO179" s="1"/>
  <c r="AQ180"/>
  <c r="BO180" s="1"/>
  <c r="AQ181"/>
  <c r="BO181" s="1"/>
  <c r="AQ182"/>
  <c r="BO182" s="1"/>
  <c r="AQ184"/>
  <c r="BO184" s="1"/>
  <c r="AQ185"/>
  <c r="BO185" s="1"/>
  <c r="AQ186"/>
  <c r="BO186" s="1"/>
  <c r="AQ187"/>
  <c r="BO187" s="1"/>
  <c r="AQ189"/>
  <c r="BO189" s="1"/>
  <c r="AQ190"/>
  <c r="BO190" s="1"/>
  <c r="AQ191"/>
  <c r="BO191" s="1"/>
  <c r="AQ192"/>
  <c r="BO192" s="1"/>
  <c r="AQ193"/>
  <c r="BO193" s="1"/>
  <c r="AQ194"/>
  <c r="BO194" s="1"/>
  <c r="AQ195"/>
  <c r="BO195" s="1"/>
  <c r="AQ196"/>
  <c r="BO196" s="1"/>
  <c r="AQ198"/>
  <c r="BO198" s="1"/>
  <c r="AQ199"/>
  <c r="BO199" s="1"/>
  <c r="AQ200"/>
  <c r="BO200" s="1"/>
  <c r="AQ201"/>
  <c r="BO201" s="1"/>
  <c r="AQ203"/>
  <c r="BO203" s="1"/>
  <c r="AQ204"/>
  <c r="BO204" s="1"/>
  <c r="AQ205"/>
  <c r="BO205" s="1"/>
  <c r="AQ206"/>
  <c r="BO206" s="1"/>
  <c r="AQ207"/>
  <c r="BO207" s="1"/>
  <c r="AQ209"/>
  <c r="BO209" s="1"/>
  <c r="AQ210"/>
  <c r="BO210" s="1"/>
  <c r="AQ211"/>
  <c r="BO211" s="1"/>
  <c r="AQ212"/>
  <c r="BO212" s="1"/>
  <c r="AQ213"/>
  <c r="BO213" s="1"/>
  <c r="AQ214"/>
  <c r="BO214" s="1"/>
  <c r="AQ215"/>
  <c r="BO215" s="1"/>
  <c r="AQ216"/>
  <c r="BO216" s="1"/>
  <c r="AQ217"/>
  <c r="BO217" s="1"/>
  <c r="AQ218"/>
  <c r="BO218" s="1"/>
  <c r="AQ219"/>
  <c r="BO219" s="1"/>
  <c r="AQ222"/>
  <c r="BO222" s="1"/>
  <c r="AQ224"/>
  <c r="BO224" s="1"/>
  <c r="AQ226"/>
  <c r="BO226" s="1"/>
  <c r="AQ227"/>
  <c r="BO227" s="1"/>
  <c r="AQ228"/>
  <c r="BO228" s="1"/>
  <c r="AQ230"/>
  <c r="BO230" s="1"/>
  <c r="AQ231"/>
  <c r="BO231" s="1"/>
  <c r="AQ232"/>
  <c r="BO232" s="1"/>
  <c r="AQ234"/>
  <c r="BO234" s="1"/>
  <c r="AQ237"/>
  <c r="BO237" s="1"/>
  <c r="AQ238"/>
  <c r="BO238" s="1"/>
  <c r="AQ240"/>
  <c r="BO240" s="1"/>
  <c r="AQ241"/>
  <c r="BO241" s="1"/>
  <c r="AQ243"/>
  <c r="BO243" s="1"/>
  <c r="AQ244"/>
  <c r="BO244" s="1"/>
  <c r="AQ246"/>
  <c r="BO246" s="1"/>
  <c r="AQ247"/>
  <c r="BO247" s="1"/>
  <c r="AQ248"/>
  <c r="BO248" s="1"/>
  <c r="AQ249"/>
  <c r="BO249" s="1"/>
  <c r="AQ250"/>
  <c r="BO250" s="1"/>
  <c r="AQ251"/>
  <c r="BO251" s="1"/>
  <c r="AQ252"/>
  <c r="BO252" s="1"/>
  <c r="AQ254"/>
  <c r="BO254" s="1"/>
  <c r="AQ255"/>
  <c r="BO255" s="1"/>
  <c r="AQ256"/>
  <c r="BO256" s="1"/>
  <c r="AQ257"/>
  <c r="BO257" s="1"/>
  <c r="AQ259"/>
  <c r="BO259" s="1"/>
  <c r="AQ260"/>
  <c r="BO260" s="1"/>
  <c r="AQ262"/>
  <c r="BO262" s="1"/>
  <c r="AQ263"/>
  <c r="BO263" s="1"/>
  <c r="AQ265"/>
  <c r="BO265" s="1"/>
  <c r="AQ266"/>
  <c r="BO266" s="1"/>
  <c r="AQ267"/>
  <c r="BO267" s="1"/>
  <c r="AQ268"/>
  <c r="BO268" s="1"/>
  <c r="AQ269"/>
  <c r="BO269" s="1"/>
  <c r="AQ271"/>
  <c r="BO271" s="1"/>
  <c r="AQ272"/>
  <c r="BO272" s="1"/>
  <c r="AQ274"/>
  <c r="BO274" s="1"/>
  <c r="AQ275"/>
  <c r="BO275" s="1"/>
  <c r="AQ276"/>
  <c r="BO276" s="1"/>
  <c r="AQ277"/>
  <c r="BO277" s="1"/>
  <c r="AQ278"/>
  <c r="BO278" s="1"/>
  <c r="AQ279"/>
  <c r="BO279" s="1"/>
  <c r="AQ280"/>
  <c r="BO280" s="1"/>
  <c r="AQ282"/>
  <c r="BO282" s="1"/>
  <c r="AQ283"/>
  <c r="BO283" s="1"/>
  <c r="AQ284"/>
  <c r="BO284" s="1"/>
  <c r="AQ285"/>
  <c r="BO285" s="1"/>
  <c r="AQ287"/>
  <c r="BO287" s="1"/>
  <c r="AQ288"/>
  <c r="BO288" s="1"/>
  <c r="AQ290"/>
  <c r="BO290" s="1"/>
  <c r="AQ291"/>
  <c r="BO291" s="1"/>
  <c r="AQ293"/>
  <c r="BO293" s="1"/>
  <c r="AQ294"/>
  <c r="BO294" s="1"/>
  <c r="AQ295"/>
  <c r="BO295" s="1"/>
  <c r="AQ296"/>
  <c r="BO296" s="1"/>
  <c r="AQ297"/>
  <c r="BO297" s="1"/>
  <c r="AQ298"/>
  <c r="BO298" s="1"/>
  <c r="AQ300"/>
  <c r="BO300" s="1"/>
  <c r="AQ301"/>
  <c r="BO301" s="1"/>
  <c r="AQ303"/>
  <c r="BO303" s="1"/>
  <c r="AQ304"/>
  <c r="BO304" s="1"/>
  <c r="AQ305"/>
  <c r="BO305" s="1"/>
  <c r="AQ307"/>
  <c r="BO307" s="1"/>
  <c r="AQ308"/>
  <c r="BO308" s="1"/>
  <c r="AQ309"/>
  <c r="BO309" s="1"/>
  <c r="AQ311"/>
  <c r="BO311" s="1"/>
  <c r="AQ312"/>
  <c r="BO312" s="1"/>
  <c r="AQ313"/>
  <c r="BO313" s="1"/>
  <c r="AQ315"/>
  <c r="BO315" s="1"/>
  <c r="AQ316"/>
  <c r="BO316" s="1"/>
  <c r="AQ317"/>
  <c r="BO317" s="1"/>
  <c r="AQ318"/>
  <c r="BO318" s="1"/>
  <c r="AQ320"/>
  <c r="BO320" s="1"/>
  <c r="AQ321"/>
  <c r="BO321" s="1"/>
  <c r="AQ323"/>
  <c r="BO323" s="1"/>
  <c r="AQ324"/>
  <c r="BO324" s="1"/>
  <c r="AQ326"/>
  <c r="BO326" s="1"/>
  <c r="AQ327"/>
  <c r="BO327" s="1"/>
  <c r="AQ329"/>
  <c r="BO329" s="1"/>
  <c r="AQ330"/>
  <c r="BO330" s="1"/>
  <c r="AQ331"/>
  <c r="BO331" s="1"/>
  <c r="AQ332"/>
  <c r="BO332" s="1"/>
  <c r="AQ334"/>
  <c r="BO334" s="1"/>
  <c r="AQ335"/>
  <c r="BO335" s="1"/>
  <c r="AQ336"/>
  <c r="BO336" s="1"/>
  <c r="AQ337"/>
  <c r="BO337" s="1"/>
  <c r="AQ338"/>
  <c r="BO338" s="1"/>
  <c r="AQ339"/>
  <c r="BO339" s="1"/>
  <c r="AQ340"/>
  <c r="BO340" s="1"/>
  <c r="AQ341"/>
  <c r="BO341" s="1"/>
  <c r="AQ343"/>
  <c r="BO343" s="1"/>
  <c r="AQ344"/>
  <c r="BO344" s="1"/>
  <c r="AQ346"/>
  <c r="BO346" s="1"/>
  <c r="AQ347"/>
  <c r="BO347" s="1"/>
  <c r="AQ348"/>
  <c r="BO348" s="1"/>
  <c r="AQ349"/>
  <c r="BO349" s="1"/>
  <c r="AQ350"/>
  <c r="BO350" s="1"/>
  <c r="AQ351"/>
  <c r="BO351" s="1"/>
  <c r="AQ352"/>
  <c r="BO352" s="1"/>
  <c r="AQ353"/>
  <c r="BO353" s="1"/>
  <c r="AQ354"/>
  <c r="BO354" s="1"/>
  <c r="AQ355"/>
  <c r="BO355" s="1"/>
  <c r="AQ356"/>
  <c r="BO356" s="1"/>
  <c r="AQ358"/>
  <c r="BO358" s="1"/>
  <c r="AQ360"/>
  <c r="BO360" s="1"/>
  <c r="AQ361"/>
  <c r="BO361" s="1"/>
  <c r="AQ362"/>
  <c r="BO362" s="1"/>
  <c r="AQ363"/>
  <c r="BO363" s="1"/>
  <c r="AQ364"/>
  <c r="BO364" s="1"/>
  <c r="AQ365"/>
  <c r="BO365" s="1"/>
  <c r="AQ366"/>
  <c r="BO366" s="1"/>
  <c r="AQ367"/>
  <c r="BO367" s="1"/>
  <c r="AQ368"/>
  <c r="BO368" s="1"/>
  <c r="AQ369"/>
  <c r="BO369" s="1"/>
  <c r="AQ370"/>
  <c r="BO370" s="1"/>
  <c r="AQ371"/>
  <c r="BO371" s="1"/>
  <c r="AQ372"/>
  <c r="BO372" s="1"/>
  <c r="AQ373"/>
  <c r="BO373" s="1"/>
  <c r="AQ374"/>
  <c r="BO374" s="1"/>
  <c r="AQ375"/>
  <c r="BO375" s="1"/>
  <c r="AQ376"/>
  <c r="BO376" s="1"/>
  <c r="AQ377"/>
  <c r="BO377" s="1"/>
  <c r="AQ378"/>
  <c r="BO378" s="1"/>
  <c r="AQ379"/>
  <c r="BO379" s="1"/>
  <c r="AQ380"/>
  <c r="BO380" s="1"/>
  <c r="AQ381"/>
  <c r="BO381" s="1"/>
  <c r="AQ382"/>
  <c r="BO382" s="1"/>
  <c r="AQ384"/>
  <c r="BO384" s="1"/>
  <c r="AQ385"/>
  <c r="BO385" s="1"/>
  <c r="AQ386"/>
  <c r="BO386" s="1"/>
  <c r="AQ387"/>
  <c r="BO387" s="1"/>
  <c r="AQ388"/>
  <c r="BO388" s="1"/>
  <c r="AQ389"/>
  <c r="BO389" s="1"/>
  <c r="AQ390"/>
  <c r="BO390" s="1"/>
  <c r="AQ391"/>
  <c r="BO391" s="1"/>
  <c r="AQ392"/>
  <c r="BO392" s="1"/>
  <c r="AQ393"/>
  <c r="BO393" s="1"/>
  <c r="AQ394"/>
  <c r="BO394" s="1"/>
  <c r="AQ395"/>
  <c r="BO395" s="1"/>
  <c r="AQ396"/>
  <c r="BO396" s="1"/>
  <c r="AQ397"/>
  <c r="BO397" s="1"/>
  <c r="AQ398"/>
  <c r="BO398" s="1"/>
  <c r="AQ399"/>
  <c r="BO399" s="1"/>
  <c r="AQ400"/>
  <c r="BO400" s="1"/>
  <c r="AQ401"/>
  <c r="BO401" s="1"/>
  <c r="AQ402"/>
  <c r="BO402" s="1"/>
  <c r="AQ403"/>
  <c r="BO403" s="1"/>
  <c r="AQ404"/>
  <c r="BO404" s="1"/>
  <c r="AQ405"/>
  <c r="BO405" s="1"/>
  <c r="AQ406"/>
  <c r="BO406" s="1"/>
  <c r="AQ407"/>
  <c r="BO407" s="1"/>
  <c r="AQ408"/>
  <c r="BO408" s="1"/>
  <c r="AQ409"/>
  <c r="BO409" s="1"/>
  <c r="AQ410"/>
  <c r="BO410" s="1"/>
  <c r="AQ411"/>
  <c r="BO411" s="1"/>
  <c r="AQ412"/>
  <c r="BO412" s="1"/>
  <c r="AQ413"/>
  <c r="BO413" s="1"/>
  <c r="AQ414"/>
  <c r="BO414" s="1"/>
  <c r="AQ415"/>
  <c r="BO415" s="1"/>
  <c r="AQ416"/>
  <c r="BO416" s="1"/>
  <c r="AQ417"/>
  <c r="BO417" s="1"/>
  <c r="AQ418"/>
  <c r="BO418" s="1"/>
  <c r="AQ419"/>
  <c r="BO419" s="1"/>
  <c r="AQ420"/>
  <c r="BO420" s="1"/>
  <c r="AQ421"/>
  <c r="BO421" s="1"/>
  <c r="AQ422"/>
  <c r="BO422" s="1"/>
  <c r="AQ423"/>
  <c r="BO423" s="1"/>
  <c r="AQ424"/>
  <c r="BO424" s="1"/>
  <c r="AQ425"/>
  <c r="BO425" s="1"/>
  <c r="AQ426"/>
  <c r="BO426" s="1"/>
  <c r="AQ427"/>
  <c r="BO427" s="1"/>
  <c r="AQ428"/>
  <c r="BO428" s="1"/>
  <c r="AQ429"/>
  <c r="BO429" s="1"/>
  <c r="AQ430"/>
  <c r="BO430" s="1"/>
  <c r="AQ431"/>
  <c r="BO431" s="1"/>
  <c r="AQ432"/>
  <c r="BO432" s="1"/>
  <c r="AQ433"/>
  <c r="BO433" s="1"/>
  <c r="AQ434"/>
  <c r="BO434" s="1"/>
  <c r="AQ435"/>
  <c r="BO435" s="1"/>
  <c r="AQ436"/>
  <c r="BO436" s="1"/>
  <c r="AQ437"/>
  <c r="BO437" s="1"/>
  <c r="AQ438"/>
  <c r="BO438" s="1"/>
  <c r="AQ439"/>
  <c r="BO439" s="1"/>
  <c r="AQ440"/>
  <c r="BO440" s="1"/>
  <c r="AQ441"/>
  <c r="BO441" s="1"/>
  <c r="AQ442"/>
  <c r="BO442" s="1"/>
  <c r="AQ443"/>
  <c r="BO443" s="1"/>
  <c r="AQ444"/>
  <c r="BO444" s="1"/>
  <c r="AQ445"/>
  <c r="BO445" s="1"/>
  <c r="AQ446"/>
  <c r="BO446" s="1"/>
  <c r="AQ447"/>
  <c r="BO447" s="1"/>
  <c r="AQ448"/>
  <c r="BO448" s="1"/>
  <c r="AQ449"/>
  <c r="BO449" s="1"/>
  <c r="AQ450"/>
  <c r="BO450" s="1"/>
  <c r="AQ451"/>
  <c r="BO451" s="1"/>
  <c r="AQ452"/>
  <c r="BO452" s="1"/>
  <c r="AQ453"/>
  <c r="BO453" s="1"/>
  <c r="AQ454"/>
  <c r="BO454" s="1"/>
  <c r="AQ455"/>
  <c r="BO455" s="1"/>
  <c r="AQ456"/>
  <c r="BO456" s="1"/>
  <c r="AQ457"/>
  <c r="BO457" s="1"/>
  <c r="AQ458"/>
  <c r="BO458" s="1"/>
  <c r="AQ459"/>
  <c r="BO459" s="1"/>
  <c r="AQ460"/>
  <c r="BO460" s="1"/>
  <c r="AQ461"/>
  <c r="BO461" s="1"/>
  <c r="AQ462"/>
  <c r="BO462" s="1"/>
  <c r="AQ463"/>
  <c r="BO463" s="1"/>
  <c r="AQ464"/>
  <c r="BO464" s="1"/>
  <c r="AQ465"/>
  <c r="BO465" s="1"/>
  <c r="AQ466"/>
  <c r="BO466" s="1"/>
  <c r="AQ467"/>
  <c r="BO467" s="1"/>
  <c r="AQ468"/>
  <c r="BO468" s="1"/>
  <c r="AQ469"/>
  <c r="BO469" s="1"/>
  <c r="AQ470"/>
  <c r="BO470" s="1"/>
  <c r="AQ471"/>
  <c r="BO471" s="1"/>
  <c r="AQ472"/>
  <c r="BO472" s="1"/>
  <c r="AQ473"/>
  <c r="BO473" s="1"/>
  <c r="AQ474"/>
  <c r="BO474" s="1"/>
  <c r="AQ475"/>
  <c r="BO475" s="1"/>
  <c r="AQ476"/>
  <c r="BO476" s="1"/>
  <c r="AQ477"/>
  <c r="BO477" s="1"/>
  <c r="AQ478"/>
  <c r="BO478" s="1"/>
  <c r="AQ479"/>
  <c r="BO479" s="1"/>
  <c r="AQ480"/>
  <c r="BO480" s="1"/>
  <c r="AQ481"/>
  <c r="BO481" s="1"/>
  <c r="AQ482"/>
  <c r="BO482" s="1"/>
  <c r="AQ483"/>
  <c r="BO483" s="1"/>
  <c r="AQ485"/>
  <c r="BO485" s="1"/>
  <c r="AQ486"/>
  <c r="BO486" s="1"/>
  <c r="AQ487"/>
  <c r="BO487" s="1"/>
  <c r="AQ488"/>
  <c r="BO488" s="1"/>
  <c r="AQ489"/>
  <c r="BO489" s="1"/>
  <c r="AQ490"/>
  <c r="BO490" s="1"/>
  <c r="AQ491"/>
  <c r="BO491" s="1"/>
  <c r="AQ492"/>
  <c r="BO492" s="1"/>
  <c r="AQ494"/>
  <c r="BO494" s="1"/>
  <c r="AQ495"/>
  <c r="BO495" s="1"/>
  <c r="AQ496"/>
  <c r="BO496" s="1"/>
  <c r="AQ497"/>
  <c r="BO497" s="1"/>
  <c r="AQ498"/>
  <c r="BO498" s="1"/>
  <c r="AQ499"/>
  <c r="BO499" s="1"/>
  <c r="AQ500"/>
  <c r="BO500" s="1"/>
  <c r="AQ501"/>
  <c r="BO501" s="1"/>
  <c r="AQ503"/>
  <c r="BO503" s="1"/>
  <c r="AQ504"/>
  <c r="BO504" s="1"/>
  <c r="AQ505"/>
  <c r="BO505" s="1"/>
  <c r="AQ506"/>
  <c r="BO506" s="1"/>
  <c r="AQ507"/>
  <c r="BO507" s="1"/>
  <c r="AQ508"/>
  <c r="BO508" s="1"/>
  <c r="AQ509"/>
  <c r="BO509" s="1"/>
  <c r="AQ510"/>
  <c r="BO510" s="1"/>
  <c r="AQ511"/>
  <c r="BO511" s="1"/>
  <c r="AQ512"/>
  <c r="BO512" s="1"/>
  <c r="AQ513"/>
  <c r="BO513" s="1"/>
  <c r="AQ514"/>
  <c r="BO514" s="1"/>
  <c r="AQ515"/>
  <c r="BO515" s="1"/>
  <c r="AQ517"/>
  <c r="BO517" s="1"/>
  <c r="AQ518"/>
  <c r="BO518" s="1"/>
  <c r="AQ519"/>
  <c r="BO519" s="1"/>
  <c r="AQ520"/>
  <c r="BO520" s="1"/>
  <c r="AQ522"/>
  <c r="BO522" s="1"/>
  <c r="AQ523"/>
  <c r="BO523" s="1"/>
  <c r="AQ524"/>
  <c r="BO524" s="1"/>
  <c r="AQ525"/>
  <c r="BO525" s="1"/>
  <c r="AQ526"/>
  <c r="BO526" s="1"/>
  <c r="AQ527"/>
  <c r="BO527" s="1"/>
  <c r="AQ529"/>
  <c r="BO529" s="1"/>
  <c r="AQ530"/>
  <c r="BO530" s="1"/>
  <c r="AQ531"/>
  <c r="BO531" s="1"/>
  <c r="AQ533"/>
  <c r="BO533" s="1"/>
  <c r="AQ534"/>
  <c r="BO534" s="1"/>
  <c r="AQ535"/>
  <c r="BO535" s="1"/>
  <c r="AQ536"/>
  <c r="BO536" s="1"/>
  <c r="AQ537"/>
  <c r="BO537" s="1"/>
  <c r="AQ538"/>
  <c r="BO538" s="1"/>
  <c r="AQ539"/>
  <c r="BO539" s="1"/>
  <c r="AQ540"/>
  <c r="BO540" s="1"/>
  <c r="AQ541"/>
  <c r="BO541" s="1"/>
  <c r="AQ542"/>
  <c r="BO542" s="1"/>
  <c r="AQ543"/>
  <c r="BO543" s="1"/>
  <c r="AQ544"/>
  <c r="BO544" s="1"/>
  <c r="AQ545"/>
  <c r="BO545" s="1"/>
  <c r="AQ548"/>
  <c r="BO548" s="1"/>
  <c r="AQ549"/>
  <c r="BO549" s="1"/>
  <c r="AQ551"/>
  <c r="BO551" s="1"/>
  <c r="AQ552"/>
  <c r="BO552" s="1"/>
  <c r="AQ553"/>
  <c r="BO553" s="1"/>
  <c r="AQ555"/>
  <c r="BO555" s="1"/>
  <c r="AQ556"/>
  <c r="BO556" s="1"/>
  <c r="AQ557"/>
  <c r="BO557" s="1"/>
  <c r="AQ559"/>
  <c r="BO559" s="1"/>
  <c r="AQ560"/>
  <c r="BO560" s="1"/>
  <c r="AQ561"/>
  <c r="BO561" s="1"/>
  <c r="AQ562"/>
  <c r="BO562" s="1"/>
  <c r="AQ563"/>
  <c r="BO563" s="1"/>
  <c r="AQ565"/>
  <c r="BO565" s="1"/>
  <c r="AQ566"/>
  <c r="BO566" s="1"/>
  <c r="AQ567"/>
  <c r="BO567" s="1"/>
  <c r="AQ569"/>
  <c r="BO569" s="1"/>
  <c r="AQ570"/>
  <c r="BO570" s="1"/>
  <c r="AQ572"/>
  <c r="BO572" s="1"/>
  <c r="AQ573"/>
  <c r="BO573" s="1"/>
  <c r="AQ575"/>
  <c r="BO575" s="1"/>
  <c r="AQ576"/>
  <c r="BO576" s="1"/>
  <c r="AQ577"/>
  <c r="BO577" s="1"/>
  <c r="AQ578"/>
  <c r="BO578" s="1"/>
  <c r="AQ580"/>
  <c r="BO580" s="1"/>
  <c r="AQ581"/>
  <c r="BO581" s="1"/>
  <c r="AQ582"/>
  <c r="BO582" s="1"/>
  <c r="AQ583"/>
  <c r="BO583" s="1"/>
  <c r="AQ584"/>
  <c r="BO584" s="1"/>
  <c r="AQ586"/>
  <c r="BO586" s="1"/>
  <c r="AQ587"/>
  <c r="BO587" s="1"/>
  <c r="AQ589"/>
  <c r="BO589" s="1"/>
  <c r="AQ590"/>
  <c r="BO590" s="1"/>
  <c r="AQ592"/>
  <c r="BO592" s="1"/>
  <c r="AQ593"/>
  <c r="BO593" s="1"/>
  <c r="AQ595"/>
  <c r="BO595" s="1"/>
  <c r="AQ596"/>
  <c r="BO596" s="1"/>
  <c r="AQ597"/>
  <c r="BO597" s="1"/>
  <c r="AQ598"/>
  <c r="BO598" s="1"/>
  <c r="AQ599"/>
  <c r="BO599" s="1"/>
  <c r="AQ600"/>
  <c r="BO600" s="1"/>
  <c r="AQ601"/>
  <c r="BO601" s="1"/>
  <c r="AQ603"/>
  <c r="BO603" s="1"/>
  <c r="AQ604"/>
  <c r="BO604" s="1"/>
  <c r="AQ606"/>
  <c r="BO606" s="1"/>
  <c r="AQ607"/>
  <c r="BO607" s="1"/>
  <c r="AQ608"/>
  <c r="BO608" s="1"/>
  <c r="AQ609"/>
  <c r="BO609" s="1"/>
  <c r="AQ610"/>
  <c r="BO610" s="1"/>
  <c r="AQ611"/>
  <c r="BO611" s="1"/>
  <c r="AQ612"/>
  <c r="BO612" s="1"/>
  <c r="AQ614"/>
  <c r="BO614" s="1"/>
  <c r="AQ615"/>
  <c r="BO615" s="1"/>
  <c r="AQ616"/>
  <c r="BO616" s="1"/>
  <c r="AQ618"/>
  <c r="BO618" s="1"/>
  <c r="AQ619"/>
  <c r="BO619" s="1"/>
  <c r="AQ621"/>
  <c r="BO621" s="1"/>
  <c r="AQ622"/>
  <c r="BO622" s="1"/>
  <c r="AQ623"/>
  <c r="BO623" s="1"/>
  <c r="AQ625"/>
  <c r="BO625" s="1"/>
  <c r="AQ626"/>
  <c r="BO626" s="1"/>
  <c r="AQ627"/>
  <c r="BO627" s="1"/>
  <c r="AQ628"/>
  <c r="BO628" s="1"/>
  <c r="AQ630"/>
  <c r="BO630" s="1"/>
  <c r="AQ631"/>
  <c r="BO631" s="1"/>
  <c r="AQ633"/>
  <c r="BO633" s="1"/>
  <c r="AQ634"/>
  <c r="BO634" s="1"/>
  <c r="AQ635"/>
  <c r="BO635" s="1"/>
  <c r="AQ637"/>
  <c r="BO637" s="1"/>
  <c r="AQ638"/>
  <c r="BO638" s="1"/>
  <c r="AQ639"/>
  <c r="BO639" s="1"/>
  <c r="AQ641"/>
  <c r="BO641" s="1"/>
  <c r="AQ642"/>
  <c r="BO642" s="1"/>
  <c r="AQ644"/>
  <c r="BO644" s="1"/>
  <c r="AQ645"/>
  <c r="BO645" s="1"/>
  <c r="AQ646"/>
  <c r="BO646" s="1"/>
  <c r="AQ647"/>
  <c r="BO647" s="1"/>
  <c r="AQ648"/>
  <c r="BO648" s="1"/>
  <c r="AQ649"/>
  <c r="BO649" s="1"/>
  <c r="AQ651"/>
  <c r="BO651" s="1"/>
  <c r="AQ652"/>
  <c r="BO652" s="1"/>
  <c r="AQ654"/>
  <c r="BO654" s="1"/>
  <c r="AQ655"/>
  <c r="BO655" s="1"/>
  <c r="AQ657"/>
  <c r="BO657" s="1"/>
  <c r="AQ658"/>
  <c r="BO658" s="1"/>
  <c r="AQ660"/>
  <c r="BO660" s="1"/>
  <c r="AQ661"/>
  <c r="BO661" s="1"/>
  <c r="AQ662"/>
  <c r="BO662" s="1"/>
  <c r="AQ664"/>
  <c r="BO664" s="1"/>
  <c r="AQ665"/>
  <c r="BO665" s="1"/>
  <c r="AQ666"/>
  <c r="BO666" s="1"/>
  <c r="AQ667"/>
  <c r="BO667" s="1"/>
  <c r="AQ668"/>
  <c r="BO668" s="1"/>
  <c r="AQ669"/>
  <c r="BO669" s="1"/>
  <c r="AQ671"/>
  <c r="BO671" s="1"/>
  <c r="AQ672"/>
  <c r="BO672" s="1"/>
  <c r="AQ673"/>
  <c r="BO673" s="1"/>
  <c r="AQ674"/>
  <c r="BO674" s="1"/>
  <c r="AQ676"/>
  <c r="BO676" s="1"/>
  <c r="AQ677"/>
  <c r="BO677" s="1"/>
  <c r="AQ679"/>
  <c r="BO679" s="1"/>
  <c r="AQ680"/>
  <c r="BO680" s="1"/>
  <c r="AQ681"/>
  <c r="BO681" s="1"/>
  <c r="AQ682"/>
  <c r="BO682" s="1"/>
  <c r="AQ683"/>
  <c r="BO683" s="1"/>
  <c r="AQ684"/>
  <c r="BO684" s="1"/>
  <c r="AQ685"/>
  <c r="BO685" s="1"/>
  <c r="AQ686"/>
  <c r="BO686" s="1"/>
  <c r="AQ687"/>
  <c r="BO687" s="1"/>
  <c r="AQ689"/>
  <c r="BO689" s="1"/>
  <c r="AQ690"/>
  <c r="BO690" s="1"/>
  <c r="AQ17"/>
  <c r="BO17" s="1"/>
  <c r="AP18"/>
  <c r="BN18" s="1"/>
  <c r="AP19"/>
  <c r="BN19" s="1"/>
  <c r="AP20"/>
  <c r="BN20" s="1"/>
  <c r="AP21"/>
  <c r="BN21" s="1"/>
  <c r="AP22"/>
  <c r="BN22" s="1"/>
  <c r="AP23"/>
  <c r="BN23" s="1"/>
  <c r="AP24"/>
  <c r="BN24" s="1"/>
  <c r="AP25"/>
  <c r="BN25" s="1"/>
  <c r="AP26"/>
  <c r="BN26" s="1"/>
  <c r="AP27"/>
  <c r="BN27" s="1"/>
  <c r="AP28"/>
  <c r="BN28" s="1"/>
  <c r="AP29"/>
  <c r="BN29" s="1"/>
  <c r="AP30"/>
  <c r="BN30" s="1"/>
  <c r="AP31"/>
  <c r="BN31" s="1"/>
  <c r="AP32"/>
  <c r="BN32" s="1"/>
  <c r="AP33"/>
  <c r="BN33" s="1"/>
  <c r="AP34"/>
  <c r="BN34" s="1"/>
  <c r="AP35"/>
  <c r="BN35" s="1"/>
  <c r="AP36"/>
  <c r="BN36" s="1"/>
  <c r="AP37"/>
  <c r="BN37" s="1"/>
  <c r="AP38"/>
  <c r="BN38" s="1"/>
  <c r="AP39"/>
  <c r="BN39" s="1"/>
  <c r="AP40"/>
  <c r="BN40" s="1"/>
  <c r="AP41"/>
  <c r="BN41" s="1"/>
  <c r="AP42"/>
  <c r="BN42" s="1"/>
  <c r="AP43"/>
  <c r="BN43" s="1"/>
  <c r="AP44"/>
  <c r="BN44" s="1"/>
  <c r="AP45"/>
  <c r="BN45" s="1"/>
  <c r="AP46"/>
  <c r="BN46" s="1"/>
  <c r="AP47"/>
  <c r="BN47" s="1"/>
  <c r="AP48"/>
  <c r="BN48" s="1"/>
  <c r="AP49"/>
  <c r="BN49" s="1"/>
  <c r="AP50"/>
  <c r="BN50" s="1"/>
  <c r="AP51"/>
  <c r="BN51" s="1"/>
  <c r="AP52"/>
  <c r="BN52" s="1"/>
  <c r="AP53"/>
  <c r="BN53" s="1"/>
  <c r="AP54"/>
  <c r="BN54" s="1"/>
  <c r="AP55"/>
  <c r="BN55" s="1"/>
  <c r="AP56"/>
  <c r="BN56" s="1"/>
  <c r="AP57"/>
  <c r="BN57" s="1"/>
  <c r="AP58"/>
  <c r="BN58" s="1"/>
  <c r="AP59"/>
  <c r="BN59" s="1"/>
  <c r="AP60"/>
  <c r="BN60" s="1"/>
  <c r="AP61"/>
  <c r="BN61" s="1"/>
  <c r="AP62"/>
  <c r="BN62" s="1"/>
  <c r="AP63"/>
  <c r="BN63" s="1"/>
  <c r="AP64"/>
  <c r="BN64" s="1"/>
  <c r="AP65"/>
  <c r="BN65" s="1"/>
  <c r="AP66"/>
  <c r="BN66" s="1"/>
  <c r="AP67"/>
  <c r="BN67" s="1"/>
  <c r="AP68"/>
  <c r="BN68" s="1"/>
  <c r="AP69"/>
  <c r="BN69" s="1"/>
  <c r="AP70"/>
  <c r="BN70" s="1"/>
  <c r="AP71"/>
  <c r="BN71" s="1"/>
  <c r="AP72"/>
  <c r="BN72" s="1"/>
  <c r="AP73"/>
  <c r="BN73" s="1"/>
  <c r="AP74"/>
  <c r="BN74" s="1"/>
  <c r="AP75"/>
  <c r="BN75" s="1"/>
  <c r="AP76"/>
  <c r="BN76" s="1"/>
  <c r="AP77"/>
  <c r="BN77" s="1"/>
  <c r="AP78"/>
  <c r="BN78" s="1"/>
  <c r="AP79"/>
  <c r="BN79" s="1"/>
  <c r="AP80"/>
  <c r="BN80" s="1"/>
  <c r="AP81"/>
  <c r="BN81" s="1"/>
  <c r="AP82"/>
  <c r="BN82" s="1"/>
  <c r="AP83"/>
  <c r="BN83" s="1"/>
  <c r="AP84"/>
  <c r="BN84" s="1"/>
  <c r="AP85"/>
  <c r="BN85" s="1"/>
  <c r="AP86"/>
  <c r="BN86" s="1"/>
  <c r="AP87"/>
  <c r="BN87" s="1"/>
  <c r="AP88"/>
  <c r="BN88" s="1"/>
  <c r="AP89"/>
  <c r="BN89" s="1"/>
  <c r="AP90"/>
  <c r="BN90" s="1"/>
  <c r="AP91"/>
  <c r="BN91" s="1"/>
  <c r="AP92"/>
  <c r="BN92" s="1"/>
  <c r="AP93"/>
  <c r="BN93" s="1"/>
  <c r="AP94"/>
  <c r="BN94" s="1"/>
  <c r="AP95"/>
  <c r="BN95" s="1"/>
  <c r="AP96"/>
  <c r="BN96" s="1"/>
  <c r="AP97"/>
  <c r="BN97" s="1"/>
  <c r="AP98"/>
  <c r="BN98" s="1"/>
  <c r="AP99"/>
  <c r="BN99" s="1"/>
  <c r="AP100"/>
  <c r="BN100" s="1"/>
  <c r="AP101"/>
  <c r="BN101" s="1"/>
  <c r="AP102"/>
  <c r="BN102" s="1"/>
  <c r="AP103"/>
  <c r="BN103" s="1"/>
  <c r="AP104"/>
  <c r="BN104" s="1"/>
  <c r="AP105"/>
  <c r="BN105" s="1"/>
  <c r="AP106"/>
  <c r="BN106" s="1"/>
  <c r="AP107"/>
  <c r="BN107" s="1"/>
  <c r="AP108"/>
  <c r="BN108" s="1"/>
  <c r="AP110"/>
  <c r="BN110" s="1"/>
  <c r="AP111"/>
  <c r="BN111" s="1"/>
  <c r="AP112"/>
  <c r="BN112" s="1"/>
  <c r="AP113"/>
  <c r="BN113" s="1"/>
  <c r="AP114"/>
  <c r="BN114" s="1"/>
  <c r="AP115"/>
  <c r="BN115" s="1"/>
  <c r="AP116"/>
  <c r="BN116" s="1"/>
  <c r="AP117"/>
  <c r="BN117" s="1"/>
  <c r="AP118"/>
  <c r="BN118" s="1"/>
  <c r="AP119"/>
  <c r="BN119" s="1"/>
  <c r="AP120"/>
  <c r="BN120" s="1"/>
  <c r="AP121"/>
  <c r="BN121" s="1"/>
  <c r="AP122"/>
  <c r="BN122" s="1"/>
  <c r="AP123"/>
  <c r="BN123" s="1"/>
  <c r="AP124"/>
  <c r="BN124" s="1"/>
  <c r="AP127"/>
  <c r="BN127" s="1"/>
  <c r="AP128"/>
  <c r="BN128" s="1"/>
  <c r="AP129"/>
  <c r="BN129" s="1"/>
  <c r="AP130"/>
  <c r="BN130" s="1"/>
  <c r="AP132"/>
  <c r="BN132" s="1"/>
  <c r="AP135"/>
  <c r="BN135" s="1"/>
  <c r="AP136"/>
  <c r="BN136" s="1"/>
  <c r="AP137"/>
  <c r="BN137" s="1"/>
  <c r="AP138"/>
  <c r="BN138" s="1"/>
  <c r="AP139"/>
  <c r="BN139" s="1"/>
  <c r="AP140"/>
  <c r="BN140" s="1"/>
  <c r="AP141"/>
  <c r="BN141" s="1"/>
  <c r="AP142"/>
  <c r="BN142" s="1"/>
  <c r="AP143"/>
  <c r="BN143" s="1"/>
  <c r="AP144"/>
  <c r="BN144" s="1"/>
  <c r="AP145"/>
  <c r="BN145" s="1"/>
  <c r="AP146"/>
  <c r="BN146" s="1"/>
  <c r="AP147"/>
  <c r="BN147" s="1"/>
  <c r="AP148"/>
  <c r="BN148" s="1"/>
  <c r="AP149"/>
  <c r="BN149" s="1"/>
  <c r="AP150"/>
  <c r="BN150" s="1"/>
  <c r="AP151"/>
  <c r="BN151" s="1"/>
  <c r="AP152"/>
  <c r="BN152" s="1"/>
  <c r="AP153"/>
  <c r="BN153" s="1"/>
  <c r="AP154"/>
  <c r="BN154" s="1"/>
  <c r="AP155"/>
  <c r="BN155" s="1"/>
  <c r="AP156"/>
  <c r="BN156" s="1"/>
  <c r="AP157"/>
  <c r="BN157" s="1"/>
  <c r="AP160"/>
  <c r="BN160" s="1"/>
  <c r="AP161"/>
  <c r="BN161" s="1"/>
  <c r="AP162"/>
  <c r="BN162" s="1"/>
  <c r="AP163"/>
  <c r="BN163" s="1"/>
  <c r="AP164"/>
  <c r="BN164" s="1"/>
  <c r="AP166"/>
  <c r="BN166" s="1"/>
  <c r="AP167"/>
  <c r="BN167" s="1"/>
  <c r="AP169"/>
  <c r="BN169" s="1"/>
  <c r="AP170"/>
  <c r="BN170" s="1"/>
  <c r="AP171"/>
  <c r="BN171" s="1"/>
  <c r="AP172"/>
  <c r="BN172" s="1"/>
  <c r="AP173"/>
  <c r="BN173" s="1"/>
  <c r="AP174"/>
  <c r="BN174" s="1"/>
  <c r="AP175"/>
  <c r="BN175" s="1"/>
  <c r="AP176"/>
  <c r="BN176" s="1"/>
  <c r="AP177"/>
  <c r="BN177" s="1"/>
  <c r="AP178"/>
  <c r="BN178" s="1"/>
  <c r="AP179"/>
  <c r="BN179" s="1"/>
  <c r="AP180"/>
  <c r="BN180" s="1"/>
  <c r="AP181"/>
  <c r="BN181" s="1"/>
  <c r="AP182"/>
  <c r="BN182" s="1"/>
  <c r="AP184"/>
  <c r="BN184" s="1"/>
  <c r="AP185"/>
  <c r="BN185" s="1"/>
  <c r="AP186"/>
  <c r="BN186" s="1"/>
  <c r="AP187"/>
  <c r="BN187" s="1"/>
  <c r="AP189"/>
  <c r="BN189" s="1"/>
  <c r="AP190"/>
  <c r="BN190" s="1"/>
  <c r="AP191"/>
  <c r="BN191" s="1"/>
  <c r="AP192"/>
  <c r="BN192" s="1"/>
  <c r="AP193"/>
  <c r="BN193" s="1"/>
  <c r="AP194"/>
  <c r="BN194" s="1"/>
  <c r="AP195"/>
  <c r="BN195" s="1"/>
  <c r="AP196"/>
  <c r="BN196" s="1"/>
  <c r="AP198"/>
  <c r="BN198" s="1"/>
  <c r="AP199"/>
  <c r="BN199" s="1"/>
  <c r="AP200"/>
  <c r="BN200" s="1"/>
  <c r="AP201"/>
  <c r="BN201" s="1"/>
  <c r="AP203"/>
  <c r="BN203" s="1"/>
  <c r="AP204"/>
  <c r="BN204" s="1"/>
  <c r="AP205"/>
  <c r="BN205" s="1"/>
  <c r="AP206"/>
  <c r="BN206" s="1"/>
  <c r="AP207"/>
  <c r="BN207" s="1"/>
  <c r="AP209"/>
  <c r="BN209" s="1"/>
  <c r="AP210"/>
  <c r="BN210" s="1"/>
  <c r="AP211"/>
  <c r="BN211" s="1"/>
  <c r="AP212"/>
  <c r="BN212" s="1"/>
  <c r="AP213"/>
  <c r="BN213" s="1"/>
  <c r="AP214"/>
  <c r="BN214" s="1"/>
  <c r="AP215"/>
  <c r="BN215" s="1"/>
  <c r="AP216"/>
  <c r="BN216" s="1"/>
  <c r="AP217"/>
  <c r="BN217" s="1"/>
  <c r="AP218"/>
  <c r="BN218" s="1"/>
  <c r="AP219"/>
  <c r="BN219" s="1"/>
  <c r="AP222"/>
  <c r="BN222" s="1"/>
  <c r="AP224"/>
  <c r="BN224" s="1"/>
  <c r="AP226"/>
  <c r="BN226" s="1"/>
  <c r="AP228"/>
  <c r="BN228" s="1"/>
  <c r="AP230"/>
  <c r="BN230" s="1"/>
  <c r="AP231"/>
  <c r="BN231" s="1"/>
  <c r="AP232"/>
  <c r="BN232" s="1"/>
  <c r="AP234"/>
  <c r="BN234" s="1"/>
  <c r="AP237"/>
  <c r="BN237" s="1"/>
  <c r="AP238"/>
  <c r="BN238" s="1"/>
  <c r="AP240"/>
  <c r="BN240" s="1"/>
  <c r="AP241"/>
  <c r="BN241" s="1"/>
  <c r="AP243"/>
  <c r="BN243" s="1"/>
  <c r="AP244"/>
  <c r="BN244" s="1"/>
  <c r="AP246"/>
  <c r="BN246" s="1"/>
  <c r="AP247"/>
  <c r="BN247" s="1"/>
  <c r="AP248"/>
  <c r="BN248" s="1"/>
  <c r="AP249"/>
  <c r="BN249" s="1"/>
  <c r="AP250"/>
  <c r="BN250" s="1"/>
  <c r="AP251"/>
  <c r="BN251" s="1"/>
  <c r="AP252"/>
  <c r="BN252" s="1"/>
  <c r="AP254"/>
  <c r="BN254" s="1"/>
  <c r="AP255"/>
  <c r="BN255" s="1"/>
  <c r="AP256"/>
  <c r="BN256" s="1"/>
  <c r="AP257"/>
  <c r="BN257" s="1"/>
  <c r="AP259"/>
  <c r="BN259" s="1"/>
  <c r="AP260"/>
  <c r="BN260" s="1"/>
  <c r="AP262"/>
  <c r="BN262" s="1"/>
  <c r="AP263"/>
  <c r="BN263" s="1"/>
  <c r="AP265"/>
  <c r="BN265" s="1"/>
  <c r="AP266"/>
  <c r="BN266" s="1"/>
  <c r="AP267"/>
  <c r="BN267" s="1"/>
  <c r="AP268"/>
  <c r="BN268" s="1"/>
  <c r="AP269"/>
  <c r="BN269" s="1"/>
  <c r="AP271"/>
  <c r="BN271" s="1"/>
  <c r="AP272"/>
  <c r="BN272" s="1"/>
  <c r="AP274"/>
  <c r="BN274" s="1"/>
  <c r="AP275"/>
  <c r="BN275" s="1"/>
  <c r="AP276"/>
  <c r="BN276" s="1"/>
  <c r="AP277"/>
  <c r="BN277" s="1"/>
  <c r="AP278"/>
  <c r="BN278" s="1"/>
  <c r="AP279"/>
  <c r="BN279" s="1"/>
  <c r="AP280"/>
  <c r="BN280" s="1"/>
  <c r="AP282"/>
  <c r="BN282" s="1"/>
  <c r="AP283"/>
  <c r="BN283" s="1"/>
  <c r="AP284"/>
  <c r="BN284" s="1"/>
  <c r="AP285"/>
  <c r="BN285" s="1"/>
  <c r="AP287"/>
  <c r="BN287" s="1"/>
  <c r="AP288"/>
  <c r="BN288" s="1"/>
  <c r="AP290"/>
  <c r="BN290" s="1"/>
  <c r="AP291"/>
  <c r="BN291" s="1"/>
  <c r="AP293"/>
  <c r="BN293" s="1"/>
  <c r="AP294"/>
  <c r="BN294" s="1"/>
  <c r="AP295"/>
  <c r="BN295" s="1"/>
  <c r="AP296"/>
  <c r="BN296" s="1"/>
  <c r="AP297"/>
  <c r="BN297" s="1"/>
  <c r="AP298"/>
  <c r="BN298" s="1"/>
  <c r="AP300"/>
  <c r="BN300" s="1"/>
  <c r="AP301"/>
  <c r="BN301" s="1"/>
  <c r="AP303"/>
  <c r="BN303" s="1"/>
  <c r="AP304"/>
  <c r="BN304" s="1"/>
  <c r="AP305"/>
  <c r="BN305" s="1"/>
  <c r="AP307"/>
  <c r="BN307" s="1"/>
  <c r="AP308"/>
  <c r="BN308" s="1"/>
  <c r="AP309"/>
  <c r="BN309" s="1"/>
  <c r="AP311"/>
  <c r="BN311" s="1"/>
  <c r="AP312"/>
  <c r="BN312" s="1"/>
  <c r="AP313"/>
  <c r="BN313" s="1"/>
  <c r="AP315"/>
  <c r="BN315" s="1"/>
  <c r="AP316"/>
  <c r="BN316" s="1"/>
  <c r="AP317"/>
  <c r="BN317" s="1"/>
  <c r="AP318"/>
  <c r="BN318" s="1"/>
  <c r="AP320"/>
  <c r="BN320" s="1"/>
  <c r="AP321"/>
  <c r="BN321" s="1"/>
  <c r="AP323"/>
  <c r="BN323" s="1"/>
  <c r="AP324"/>
  <c r="BN324" s="1"/>
  <c r="AP326"/>
  <c r="BN326" s="1"/>
  <c r="AP327"/>
  <c r="BN327" s="1"/>
  <c r="AP329"/>
  <c r="BN329" s="1"/>
  <c r="AP330"/>
  <c r="BN330" s="1"/>
  <c r="AP331"/>
  <c r="BN331" s="1"/>
  <c r="AP332"/>
  <c r="BN332" s="1"/>
  <c r="AP334"/>
  <c r="BN334" s="1"/>
  <c r="AP335"/>
  <c r="BN335" s="1"/>
  <c r="AP336"/>
  <c r="BN336" s="1"/>
  <c r="AP337"/>
  <c r="BN337" s="1"/>
  <c r="AP338"/>
  <c r="BN338" s="1"/>
  <c r="AP339"/>
  <c r="BN339" s="1"/>
  <c r="AP340"/>
  <c r="BN340" s="1"/>
  <c r="AP341"/>
  <c r="BN341" s="1"/>
  <c r="AP343"/>
  <c r="BN343" s="1"/>
  <c r="AP344"/>
  <c r="BN344" s="1"/>
  <c r="AP346"/>
  <c r="BN346" s="1"/>
  <c r="AP347"/>
  <c r="BN347" s="1"/>
  <c r="AP348"/>
  <c r="BN348" s="1"/>
  <c r="AP349"/>
  <c r="BN349" s="1"/>
  <c r="AP350"/>
  <c r="BN350" s="1"/>
  <c r="AP351"/>
  <c r="BN351" s="1"/>
  <c r="AP352"/>
  <c r="BN352" s="1"/>
  <c r="AP353"/>
  <c r="BN353" s="1"/>
  <c r="AP354"/>
  <c r="BN354" s="1"/>
  <c r="AP355"/>
  <c r="BN355" s="1"/>
  <c r="AP356"/>
  <c r="BN356" s="1"/>
  <c r="AP358"/>
  <c r="BN358" s="1"/>
  <c r="AP360"/>
  <c r="BN360" s="1"/>
  <c r="AP361"/>
  <c r="BN361" s="1"/>
  <c r="AP362"/>
  <c r="BN362" s="1"/>
  <c r="AP363"/>
  <c r="BN363" s="1"/>
  <c r="AP364"/>
  <c r="BN364" s="1"/>
  <c r="AP365"/>
  <c r="BN365" s="1"/>
  <c r="AP366"/>
  <c r="BN366" s="1"/>
  <c r="AP367"/>
  <c r="BN367" s="1"/>
  <c r="AP368"/>
  <c r="BN368" s="1"/>
  <c r="AP369"/>
  <c r="BN369" s="1"/>
  <c r="AP370"/>
  <c r="BN370" s="1"/>
  <c r="AP371"/>
  <c r="BN371" s="1"/>
  <c r="AP372"/>
  <c r="BN372" s="1"/>
  <c r="AP373"/>
  <c r="BN373" s="1"/>
  <c r="AP374"/>
  <c r="BN374" s="1"/>
  <c r="AP375"/>
  <c r="BN375" s="1"/>
  <c r="AP376"/>
  <c r="BN376" s="1"/>
  <c r="AP377"/>
  <c r="BN377" s="1"/>
  <c r="AP378"/>
  <c r="BN378" s="1"/>
  <c r="AP379"/>
  <c r="BN379" s="1"/>
  <c r="AP380"/>
  <c r="BN380" s="1"/>
  <c r="AP381"/>
  <c r="BN381" s="1"/>
  <c r="AP382"/>
  <c r="BN382" s="1"/>
  <c r="AP383"/>
  <c r="BN383" s="1"/>
  <c r="AP384"/>
  <c r="BN384" s="1"/>
  <c r="AP385"/>
  <c r="BN385" s="1"/>
  <c r="AP386"/>
  <c r="BN386" s="1"/>
  <c r="AP387"/>
  <c r="BN387" s="1"/>
  <c r="AP388"/>
  <c r="BN388" s="1"/>
  <c r="AP389"/>
  <c r="BN389" s="1"/>
  <c r="AP390"/>
  <c r="BN390" s="1"/>
  <c r="AP391"/>
  <c r="BN391" s="1"/>
  <c r="AP392"/>
  <c r="BN392" s="1"/>
  <c r="AP393"/>
  <c r="BN393" s="1"/>
  <c r="AP394"/>
  <c r="BN394" s="1"/>
  <c r="AP395"/>
  <c r="BN395" s="1"/>
  <c r="AP396"/>
  <c r="BN396" s="1"/>
  <c r="AP397"/>
  <c r="BN397" s="1"/>
  <c r="AP398"/>
  <c r="BN398" s="1"/>
  <c r="AP399"/>
  <c r="BN399" s="1"/>
  <c r="AP400"/>
  <c r="BN400" s="1"/>
  <c r="AP401"/>
  <c r="BN401" s="1"/>
  <c r="AP402"/>
  <c r="BN402" s="1"/>
  <c r="AP403"/>
  <c r="BN403" s="1"/>
  <c r="AP404"/>
  <c r="BN404" s="1"/>
  <c r="AP405"/>
  <c r="BN405" s="1"/>
  <c r="AP406"/>
  <c r="BN406" s="1"/>
  <c r="AP407"/>
  <c r="BN407" s="1"/>
  <c r="AP408"/>
  <c r="BN408" s="1"/>
  <c r="AP409"/>
  <c r="BN409" s="1"/>
  <c r="AP410"/>
  <c r="BN410" s="1"/>
  <c r="AP411"/>
  <c r="BN411" s="1"/>
  <c r="AP412"/>
  <c r="BN412" s="1"/>
  <c r="AP413"/>
  <c r="BN413" s="1"/>
  <c r="AP414"/>
  <c r="BN414" s="1"/>
  <c r="AP415"/>
  <c r="BN415" s="1"/>
  <c r="AP416"/>
  <c r="BN416" s="1"/>
  <c r="AP417"/>
  <c r="BN417" s="1"/>
  <c r="AP418"/>
  <c r="BN418" s="1"/>
  <c r="AP419"/>
  <c r="BN419" s="1"/>
  <c r="AP420"/>
  <c r="BN420" s="1"/>
  <c r="AP421"/>
  <c r="BN421" s="1"/>
  <c r="AP422"/>
  <c r="BN422" s="1"/>
  <c r="AP423"/>
  <c r="BN423" s="1"/>
  <c r="AP424"/>
  <c r="BN424" s="1"/>
  <c r="AP425"/>
  <c r="BN425" s="1"/>
  <c r="AP426"/>
  <c r="BN426" s="1"/>
  <c r="AP427"/>
  <c r="BN427" s="1"/>
  <c r="AP428"/>
  <c r="BN428" s="1"/>
  <c r="AP429"/>
  <c r="BN429" s="1"/>
  <c r="AP430"/>
  <c r="BN430" s="1"/>
  <c r="AP431"/>
  <c r="BN431" s="1"/>
  <c r="AP432"/>
  <c r="BN432" s="1"/>
  <c r="AP433"/>
  <c r="BN433" s="1"/>
  <c r="AP434"/>
  <c r="BN434" s="1"/>
  <c r="AP435"/>
  <c r="BN435" s="1"/>
  <c r="AP436"/>
  <c r="BN436" s="1"/>
  <c r="AP437"/>
  <c r="BN437" s="1"/>
  <c r="AP438"/>
  <c r="BN438" s="1"/>
  <c r="AP439"/>
  <c r="BN439" s="1"/>
  <c r="AP440"/>
  <c r="BN440" s="1"/>
  <c r="AP441"/>
  <c r="BN441" s="1"/>
  <c r="AP442"/>
  <c r="BN442" s="1"/>
  <c r="AP443"/>
  <c r="BN443" s="1"/>
  <c r="AP444"/>
  <c r="BN444" s="1"/>
  <c r="AP445"/>
  <c r="BN445" s="1"/>
  <c r="AP446"/>
  <c r="BN446" s="1"/>
  <c r="AP447"/>
  <c r="BN447" s="1"/>
  <c r="AP448"/>
  <c r="BN448" s="1"/>
  <c r="AP449"/>
  <c r="BN449" s="1"/>
  <c r="AP450"/>
  <c r="BN450" s="1"/>
  <c r="AP451"/>
  <c r="BN451" s="1"/>
  <c r="AP452"/>
  <c r="BN452" s="1"/>
  <c r="AP453"/>
  <c r="BN453" s="1"/>
  <c r="AP454"/>
  <c r="BN454" s="1"/>
  <c r="AP455"/>
  <c r="BN455" s="1"/>
  <c r="AP456"/>
  <c r="BN456" s="1"/>
  <c r="AP457"/>
  <c r="BN457" s="1"/>
  <c r="AP458"/>
  <c r="BN458" s="1"/>
  <c r="AP459"/>
  <c r="BN459" s="1"/>
  <c r="AP460"/>
  <c r="BN460" s="1"/>
  <c r="AP461"/>
  <c r="BN461" s="1"/>
  <c r="AP462"/>
  <c r="BN462" s="1"/>
  <c r="AP463"/>
  <c r="BN463" s="1"/>
  <c r="AP464"/>
  <c r="BN464" s="1"/>
  <c r="AP465"/>
  <c r="BN465" s="1"/>
  <c r="AP466"/>
  <c r="BN466" s="1"/>
  <c r="AP467"/>
  <c r="BN467" s="1"/>
  <c r="AP468"/>
  <c r="BN468" s="1"/>
  <c r="AP469"/>
  <c r="BN469" s="1"/>
  <c r="AP470"/>
  <c r="BN470" s="1"/>
  <c r="AP471"/>
  <c r="BN471" s="1"/>
  <c r="AP472"/>
  <c r="BN472" s="1"/>
  <c r="AP473"/>
  <c r="BN473" s="1"/>
  <c r="AP474"/>
  <c r="BN474" s="1"/>
  <c r="AP475"/>
  <c r="BN475" s="1"/>
  <c r="AP476"/>
  <c r="BN476" s="1"/>
  <c r="AP477"/>
  <c r="BN477" s="1"/>
  <c r="AP478"/>
  <c r="BN478" s="1"/>
  <c r="AP479"/>
  <c r="BN479" s="1"/>
  <c r="AP480"/>
  <c r="BN480" s="1"/>
  <c r="AP481"/>
  <c r="BN481" s="1"/>
  <c r="AP482"/>
  <c r="BN482" s="1"/>
  <c r="AP483"/>
  <c r="BN483" s="1"/>
  <c r="AP485"/>
  <c r="BN485" s="1"/>
  <c r="AP486"/>
  <c r="BN486" s="1"/>
  <c r="AP487"/>
  <c r="BN487" s="1"/>
  <c r="AP488"/>
  <c r="BN488" s="1"/>
  <c r="AP489"/>
  <c r="BN489" s="1"/>
  <c r="AP490"/>
  <c r="BN490" s="1"/>
  <c r="AP491"/>
  <c r="BN491" s="1"/>
  <c r="AP492"/>
  <c r="BN492" s="1"/>
  <c r="AP494"/>
  <c r="BN494" s="1"/>
  <c r="AP495"/>
  <c r="BN495" s="1"/>
  <c r="AP496"/>
  <c r="BN496" s="1"/>
  <c r="AP497"/>
  <c r="BN497" s="1"/>
  <c r="AP498"/>
  <c r="BN498" s="1"/>
  <c r="AP499"/>
  <c r="BN499" s="1"/>
  <c r="AP500"/>
  <c r="BN500" s="1"/>
  <c r="AP501"/>
  <c r="BN501" s="1"/>
  <c r="AP503"/>
  <c r="BN503" s="1"/>
  <c r="AP504"/>
  <c r="BN504" s="1"/>
  <c r="AP505"/>
  <c r="BN505" s="1"/>
  <c r="AP506"/>
  <c r="BN506" s="1"/>
  <c r="AP507"/>
  <c r="BN507" s="1"/>
  <c r="AP508"/>
  <c r="BN508" s="1"/>
  <c r="AP509"/>
  <c r="BN509" s="1"/>
  <c r="AP510"/>
  <c r="BN510" s="1"/>
  <c r="AP511"/>
  <c r="BN511" s="1"/>
  <c r="AP512"/>
  <c r="BN512" s="1"/>
  <c r="AP513"/>
  <c r="BN513" s="1"/>
  <c r="AP514"/>
  <c r="BN514" s="1"/>
  <c r="AP515"/>
  <c r="BN515" s="1"/>
  <c r="AP517"/>
  <c r="BN517" s="1"/>
  <c r="AP518"/>
  <c r="BN518" s="1"/>
  <c r="AP519"/>
  <c r="BN519" s="1"/>
  <c r="AP520"/>
  <c r="BN520" s="1"/>
  <c r="AP522"/>
  <c r="BN522" s="1"/>
  <c r="AP523"/>
  <c r="BN523" s="1"/>
  <c r="AP524"/>
  <c r="BN524" s="1"/>
  <c r="AP525"/>
  <c r="BN525" s="1"/>
  <c r="AP526"/>
  <c r="BN526" s="1"/>
  <c r="AP527"/>
  <c r="BN527" s="1"/>
  <c r="AP529"/>
  <c r="BN529" s="1"/>
  <c r="AP530"/>
  <c r="BN530" s="1"/>
  <c r="AP531"/>
  <c r="BN531" s="1"/>
  <c r="AP533"/>
  <c r="BN533" s="1"/>
  <c r="AP534"/>
  <c r="BN534" s="1"/>
  <c r="AP535"/>
  <c r="BN535" s="1"/>
  <c r="AP536"/>
  <c r="BN536" s="1"/>
  <c r="AP537"/>
  <c r="BN537" s="1"/>
  <c r="AP538"/>
  <c r="BN538" s="1"/>
  <c r="AP539"/>
  <c r="BN539" s="1"/>
  <c r="AP540"/>
  <c r="BN540" s="1"/>
  <c r="AP541"/>
  <c r="BN541" s="1"/>
  <c r="AP542"/>
  <c r="BN542" s="1"/>
  <c r="AP543"/>
  <c r="BN543" s="1"/>
  <c r="AP544"/>
  <c r="BN544" s="1"/>
  <c r="AP545"/>
  <c r="BN545" s="1"/>
  <c r="AP548"/>
  <c r="BN548" s="1"/>
  <c r="AP549"/>
  <c r="BN549" s="1"/>
  <c r="AP551"/>
  <c r="BN551" s="1"/>
  <c r="AP552"/>
  <c r="BN552" s="1"/>
  <c r="AP553"/>
  <c r="BN553" s="1"/>
  <c r="AP555"/>
  <c r="BN555" s="1"/>
  <c r="AP556"/>
  <c r="BN556" s="1"/>
  <c r="AP557"/>
  <c r="BN557" s="1"/>
  <c r="AP559"/>
  <c r="BN559" s="1"/>
  <c r="AP560"/>
  <c r="BN560" s="1"/>
  <c r="AP561"/>
  <c r="BN561" s="1"/>
  <c r="AP562"/>
  <c r="BN562" s="1"/>
  <c r="AP563"/>
  <c r="BN563" s="1"/>
  <c r="AP565"/>
  <c r="BN565" s="1"/>
  <c r="AP566"/>
  <c r="BN566" s="1"/>
  <c r="AP567"/>
  <c r="BN567" s="1"/>
  <c r="AP569"/>
  <c r="BN569" s="1"/>
  <c r="AP570"/>
  <c r="BN570" s="1"/>
  <c r="AP572"/>
  <c r="BN572" s="1"/>
  <c r="AP573"/>
  <c r="BN573" s="1"/>
  <c r="AP575"/>
  <c r="BN575" s="1"/>
  <c r="AP576"/>
  <c r="BN576" s="1"/>
  <c r="AP577"/>
  <c r="BN577" s="1"/>
  <c r="AP578"/>
  <c r="BN578" s="1"/>
  <c r="AP580"/>
  <c r="BN580" s="1"/>
  <c r="AP581"/>
  <c r="BN581" s="1"/>
  <c r="AP582"/>
  <c r="BN582" s="1"/>
  <c r="AP583"/>
  <c r="BN583" s="1"/>
  <c r="AP584"/>
  <c r="BN584" s="1"/>
  <c r="AP586"/>
  <c r="BN586" s="1"/>
  <c r="AP587"/>
  <c r="BN587" s="1"/>
  <c r="AP589"/>
  <c r="BN589" s="1"/>
  <c r="AP590"/>
  <c r="BN590" s="1"/>
  <c r="AP592"/>
  <c r="BN592" s="1"/>
  <c r="AP593"/>
  <c r="BN593" s="1"/>
  <c r="AP595"/>
  <c r="BN595" s="1"/>
  <c r="AP596"/>
  <c r="BN596" s="1"/>
  <c r="AP597"/>
  <c r="BN597" s="1"/>
  <c r="AP598"/>
  <c r="BN598" s="1"/>
  <c r="AP599"/>
  <c r="BN599" s="1"/>
  <c r="AP600"/>
  <c r="BN600" s="1"/>
  <c r="AP601"/>
  <c r="BN601" s="1"/>
  <c r="AP603"/>
  <c r="BN603" s="1"/>
  <c r="AP604"/>
  <c r="BN604" s="1"/>
  <c r="AP606"/>
  <c r="BN606" s="1"/>
  <c r="AP607"/>
  <c r="BN607" s="1"/>
  <c r="AP608"/>
  <c r="BN608" s="1"/>
  <c r="AP609"/>
  <c r="BN609" s="1"/>
  <c r="AP610"/>
  <c r="BN610" s="1"/>
  <c r="AP611"/>
  <c r="BN611" s="1"/>
  <c r="AP612"/>
  <c r="BN612" s="1"/>
  <c r="AP614"/>
  <c r="BN614" s="1"/>
  <c r="AP615"/>
  <c r="BN615" s="1"/>
  <c r="AP616"/>
  <c r="BN616" s="1"/>
  <c r="AP618"/>
  <c r="BN618" s="1"/>
  <c r="AP619"/>
  <c r="BN619" s="1"/>
  <c r="AP621"/>
  <c r="BN621" s="1"/>
  <c r="AP622"/>
  <c r="BN622" s="1"/>
  <c r="AP623"/>
  <c r="BN623" s="1"/>
  <c r="AP625"/>
  <c r="BN625" s="1"/>
  <c r="AP626"/>
  <c r="BN626" s="1"/>
  <c r="AP628"/>
  <c r="BN628" s="1"/>
  <c r="AP630"/>
  <c r="BN630" s="1"/>
  <c r="AP631"/>
  <c r="BN631" s="1"/>
  <c r="AP633"/>
  <c r="BN633" s="1"/>
  <c r="AP634"/>
  <c r="BN634" s="1"/>
  <c r="AP635"/>
  <c r="BN635" s="1"/>
  <c r="AP637"/>
  <c r="BN637" s="1"/>
  <c r="AP638"/>
  <c r="BN638" s="1"/>
  <c r="AP639"/>
  <c r="BN639" s="1"/>
  <c r="AP641"/>
  <c r="BN641" s="1"/>
  <c r="AP642"/>
  <c r="BN642" s="1"/>
  <c r="AP644"/>
  <c r="BN644" s="1"/>
  <c r="AP645"/>
  <c r="BN645" s="1"/>
  <c r="AP646"/>
  <c r="BN646" s="1"/>
  <c r="AP647"/>
  <c r="BN647" s="1"/>
  <c r="AP648"/>
  <c r="BN648" s="1"/>
  <c r="AP649"/>
  <c r="BN649" s="1"/>
  <c r="AP651"/>
  <c r="BN651" s="1"/>
  <c r="AP652"/>
  <c r="BN652" s="1"/>
  <c r="AP654"/>
  <c r="BN654" s="1"/>
  <c r="AP655"/>
  <c r="BN655" s="1"/>
  <c r="AP657"/>
  <c r="BN657" s="1"/>
  <c r="AP658"/>
  <c r="BN658" s="1"/>
  <c r="AP660"/>
  <c r="BN660" s="1"/>
  <c r="AP661"/>
  <c r="BN661" s="1"/>
  <c r="AP662"/>
  <c r="BN662" s="1"/>
  <c r="AP664"/>
  <c r="BN664" s="1"/>
  <c r="AP665"/>
  <c r="BN665" s="1"/>
  <c r="AP666"/>
  <c r="BN666" s="1"/>
  <c r="AP667"/>
  <c r="BN667" s="1"/>
  <c r="AP668"/>
  <c r="BN668" s="1"/>
  <c r="AP669"/>
  <c r="BN669" s="1"/>
  <c r="AP671"/>
  <c r="BN671" s="1"/>
  <c r="AP672"/>
  <c r="BN672" s="1"/>
  <c r="AP673"/>
  <c r="BN673" s="1"/>
  <c r="AP674"/>
  <c r="BN674" s="1"/>
  <c r="AP676"/>
  <c r="BN676" s="1"/>
  <c r="AP677"/>
  <c r="BN677" s="1"/>
  <c r="AP679"/>
  <c r="BN679" s="1"/>
  <c r="AP680"/>
  <c r="BN680" s="1"/>
  <c r="AP681"/>
  <c r="BN681" s="1"/>
  <c r="AP682"/>
  <c r="BN682" s="1"/>
  <c r="AP683"/>
  <c r="BN683" s="1"/>
  <c r="AP684"/>
  <c r="BN684" s="1"/>
  <c r="AP685"/>
  <c r="BN685" s="1"/>
  <c r="AP686"/>
  <c r="BN686" s="1"/>
  <c r="AP687"/>
  <c r="BN687" s="1"/>
  <c r="AP689"/>
  <c r="BN689" s="1"/>
  <c r="AP690"/>
  <c r="BN690" s="1"/>
  <c r="AP17"/>
  <c r="BN17" s="1"/>
  <c r="E211" i="5"/>
  <c r="BI35" i="10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I110"/>
  <c r="BI111"/>
  <c r="BI112"/>
  <c r="BI113"/>
  <c r="BI114"/>
  <c r="BI115"/>
  <c r="BI116"/>
  <c r="BI117"/>
  <c r="BI118"/>
  <c r="BI119"/>
  <c r="BI120"/>
  <c r="BI121"/>
  <c r="BI122"/>
  <c r="BI123"/>
  <c r="BI124"/>
  <c r="BI125"/>
  <c r="BI126"/>
  <c r="BI127"/>
  <c r="BI128"/>
  <c r="BI129"/>
  <c r="BI130"/>
  <c r="BI131"/>
  <c r="BI132"/>
  <c r="BI133"/>
  <c r="BI134"/>
  <c r="BI135"/>
  <c r="BI136"/>
  <c r="BI137"/>
  <c r="BI138"/>
  <c r="BI139"/>
  <c r="BI140"/>
  <c r="BI141"/>
  <c r="BI142"/>
  <c r="BI143"/>
  <c r="BI144"/>
  <c r="BI145"/>
  <c r="BI146"/>
  <c r="BI147"/>
  <c r="BI148"/>
  <c r="BI149"/>
  <c r="BI150"/>
  <c r="BI151"/>
  <c r="BI152"/>
  <c r="BI153"/>
  <c r="BI154"/>
  <c r="BI155"/>
  <c r="BI156"/>
  <c r="BI157"/>
  <c r="BI158"/>
  <c r="BI159"/>
  <c r="BI160"/>
  <c r="BI161"/>
  <c r="BI162"/>
  <c r="BI163"/>
  <c r="BI164"/>
  <c r="BI165"/>
  <c r="BI166"/>
  <c r="BI167"/>
  <c r="BI168"/>
  <c r="BI169"/>
  <c r="BI170"/>
  <c r="BI171"/>
  <c r="BI172"/>
  <c r="BI173"/>
  <c r="BI174"/>
  <c r="BI175"/>
  <c r="BI176"/>
  <c r="BI177"/>
  <c r="BI178"/>
  <c r="BI179"/>
  <c r="BI180"/>
  <c r="BI181"/>
  <c r="BI182"/>
  <c r="BI183"/>
  <c r="BI184"/>
  <c r="BI185"/>
  <c r="BI186"/>
  <c r="BI187"/>
  <c r="BI188"/>
  <c r="BI189"/>
  <c r="BI190"/>
  <c r="BI191"/>
  <c r="BI192"/>
  <c r="BI193"/>
  <c r="BI194"/>
  <c r="BI195"/>
  <c r="BI196"/>
  <c r="BI197"/>
  <c r="BI198"/>
  <c r="BI199"/>
  <c r="BI200"/>
  <c r="BI201"/>
  <c r="BI202"/>
  <c r="BI203"/>
  <c r="BI204"/>
  <c r="BI205"/>
  <c r="BI206"/>
  <c r="BI207"/>
  <c r="BI208"/>
  <c r="BI209"/>
  <c r="BI210"/>
  <c r="BI211"/>
  <c r="BI212"/>
  <c r="BI213"/>
  <c r="BI214"/>
  <c r="BI215"/>
  <c r="BI216"/>
  <c r="BI217"/>
  <c r="BI218"/>
  <c r="BI219"/>
  <c r="BI220"/>
  <c r="BI221"/>
  <c r="BI222"/>
  <c r="BI223"/>
  <c r="BI224"/>
  <c r="BI225"/>
  <c r="BI226"/>
  <c r="BI227"/>
  <c r="BI228"/>
  <c r="BI229"/>
  <c r="BI230"/>
  <c r="BI231"/>
  <c r="BI232"/>
  <c r="BI233"/>
  <c r="BI234"/>
  <c r="BI235"/>
  <c r="BI236"/>
  <c r="BI237"/>
  <c r="BI238"/>
  <c r="BI239"/>
  <c r="BI240"/>
  <c r="BI241"/>
  <c r="BI242"/>
  <c r="BI243"/>
  <c r="BI244"/>
  <c r="BI245"/>
  <c r="BI246"/>
  <c r="BI247"/>
  <c r="BI248"/>
  <c r="BI249"/>
  <c r="BI250"/>
  <c r="BI251"/>
  <c r="BI252"/>
  <c r="BI253"/>
  <c r="BI254"/>
  <c r="BI255"/>
  <c r="BI256"/>
  <c r="BI257"/>
  <c r="BI258"/>
  <c r="BI259"/>
  <c r="BI260"/>
  <c r="BI261"/>
  <c r="BI262"/>
  <c r="BI263"/>
  <c r="BI264"/>
  <c r="BI265"/>
  <c r="BI266"/>
  <c r="BI267"/>
  <c r="BI268"/>
  <c r="BI269"/>
  <c r="BI270"/>
  <c r="BI271"/>
  <c r="BI272"/>
  <c r="BI273"/>
  <c r="BI274"/>
  <c r="BI275"/>
  <c r="BI276"/>
  <c r="BI277"/>
  <c r="BI278"/>
  <c r="BI279"/>
  <c r="BI280"/>
  <c r="BI281"/>
  <c r="BI282"/>
  <c r="BI283"/>
  <c r="BI284"/>
  <c r="BI285"/>
  <c r="BI286"/>
  <c r="BI287"/>
  <c r="BI288"/>
  <c r="BI289"/>
  <c r="BI290"/>
  <c r="BI291"/>
  <c r="BI292"/>
  <c r="BI293"/>
  <c r="BI294"/>
  <c r="BI295"/>
  <c r="BI296"/>
  <c r="BI297"/>
  <c r="BI298"/>
  <c r="BI299"/>
  <c r="BI300"/>
  <c r="BI301"/>
  <c r="BI302"/>
  <c r="BI303"/>
  <c r="BI304"/>
  <c r="BI305"/>
  <c r="BI306"/>
  <c r="BI307"/>
  <c r="BI308"/>
  <c r="BI309"/>
  <c r="BI310"/>
  <c r="BI311"/>
  <c r="BI312"/>
  <c r="BI313"/>
  <c r="BI314"/>
  <c r="BI315"/>
  <c r="BI316"/>
  <c r="BI317"/>
  <c r="BI318"/>
  <c r="BI319"/>
  <c r="BI320"/>
  <c r="BI321"/>
  <c r="BI322"/>
  <c r="BI323"/>
  <c r="BI324"/>
  <c r="BI325"/>
  <c r="BI326"/>
  <c r="BI327"/>
  <c r="BI328"/>
  <c r="BI329"/>
  <c r="BI330"/>
  <c r="BI331"/>
  <c r="BI332"/>
  <c r="BI333"/>
  <c r="BI334"/>
  <c r="BI335"/>
  <c r="BI336"/>
  <c r="BI337"/>
  <c r="BI338"/>
  <c r="BI339"/>
  <c r="BI340"/>
  <c r="BI341"/>
  <c r="BI342"/>
  <c r="BI343"/>
  <c r="BI344"/>
  <c r="BI345"/>
  <c r="BI346"/>
  <c r="BI347"/>
  <c r="BI348"/>
  <c r="BI349"/>
  <c r="BI350"/>
  <c r="BI351"/>
  <c r="BI352"/>
  <c r="BI353"/>
  <c r="BI354"/>
  <c r="BI355"/>
  <c r="BI356"/>
  <c r="BI357"/>
  <c r="BI358"/>
  <c r="BI359"/>
  <c r="BI360"/>
  <c r="BI361"/>
  <c r="BI362"/>
  <c r="BI363"/>
  <c r="BI364"/>
  <c r="BI365"/>
  <c r="BI366"/>
  <c r="BI367"/>
  <c r="BI368"/>
  <c r="BI369"/>
  <c r="BI370"/>
  <c r="BI371"/>
  <c r="BI372"/>
  <c r="BI373"/>
  <c r="BI374"/>
  <c r="BI375"/>
  <c r="BI376"/>
  <c r="BI377"/>
  <c r="BI378"/>
  <c r="BI379"/>
  <c r="BI380"/>
  <c r="BI381"/>
  <c r="BI382"/>
  <c r="BI383"/>
  <c r="BI384"/>
  <c r="BI385"/>
  <c r="BI386"/>
  <c r="BI387"/>
  <c r="BI388"/>
  <c r="BI389"/>
  <c r="BI390"/>
  <c r="BI391"/>
  <c r="BI392"/>
  <c r="BI393"/>
  <c r="BI394"/>
  <c r="BI395"/>
  <c r="BI396"/>
  <c r="BI397"/>
  <c r="BI398"/>
  <c r="BI399"/>
  <c r="BI400"/>
  <c r="BI401"/>
  <c r="BI402"/>
  <c r="BI403"/>
  <c r="BI404"/>
  <c r="BI405"/>
  <c r="BI406"/>
  <c r="BI407"/>
  <c r="BI408"/>
  <c r="BI409"/>
  <c r="BI410"/>
  <c r="BI411"/>
  <c r="BI412"/>
  <c r="BI413"/>
  <c r="BI414"/>
  <c r="BI415"/>
  <c r="BI416"/>
  <c r="BI417"/>
  <c r="BI418"/>
  <c r="BI419"/>
  <c r="BI420"/>
  <c r="BI421"/>
  <c r="BI422"/>
  <c r="BI423"/>
  <c r="BI424"/>
  <c r="BI425"/>
  <c r="BI426"/>
  <c r="BI427"/>
  <c r="BI428"/>
  <c r="BI429"/>
  <c r="BI430"/>
  <c r="BI431"/>
  <c r="BI432"/>
  <c r="BI433"/>
  <c r="BI434"/>
  <c r="BI435"/>
  <c r="BI436"/>
  <c r="BI437"/>
  <c r="BI438"/>
  <c r="BI439"/>
  <c r="BI440"/>
  <c r="BI441"/>
  <c r="BI442"/>
  <c r="BI443"/>
  <c r="BI444"/>
  <c r="BI445"/>
  <c r="BI446"/>
  <c r="BI447"/>
  <c r="BI448"/>
  <c r="BI449"/>
  <c r="BI450"/>
  <c r="BI451"/>
  <c r="BI452"/>
  <c r="BI453"/>
  <c r="BI454"/>
  <c r="BI455"/>
  <c r="BI456"/>
  <c r="BI457"/>
  <c r="BI458"/>
  <c r="BI459"/>
  <c r="BI460"/>
  <c r="BI461"/>
  <c r="BI462"/>
  <c r="BI463"/>
  <c r="BI464"/>
  <c r="BI465"/>
  <c r="BI466"/>
  <c r="BI467"/>
  <c r="BI468"/>
  <c r="BI469"/>
  <c r="BI470"/>
  <c r="BI471"/>
  <c r="BI472"/>
  <c r="BI473"/>
  <c r="BI474"/>
  <c r="BI475"/>
  <c r="BI476"/>
  <c r="BI477"/>
  <c r="BI478"/>
  <c r="BI479"/>
  <c r="BI480"/>
  <c r="BI481"/>
  <c r="BI482"/>
  <c r="BI483"/>
  <c r="BI484"/>
  <c r="BI485"/>
  <c r="BI486"/>
  <c r="BI487"/>
  <c r="BI488"/>
  <c r="BI489"/>
  <c r="BI490"/>
  <c r="BI491"/>
  <c r="BI492"/>
  <c r="BI493"/>
  <c r="BI494"/>
  <c r="BI495"/>
  <c r="BI496"/>
  <c r="BI497"/>
  <c r="BI498"/>
  <c r="BI499"/>
  <c r="BI500"/>
  <c r="BI501"/>
  <c r="BI502"/>
  <c r="BI503"/>
  <c r="BI504"/>
  <c r="BI505"/>
  <c r="BI506"/>
  <c r="BI507"/>
  <c r="BI508"/>
  <c r="BI509"/>
  <c r="BI510"/>
  <c r="BI511"/>
  <c r="BI512"/>
  <c r="BI513"/>
  <c r="BI514"/>
  <c r="BI515"/>
  <c r="BI516"/>
  <c r="BI517"/>
  <c r="BI518"/>
  <c r="BI519"/>
  <c r="BI520"/>
  <c r="BI521"/>
  <c r="BI522"/>
  <c r="BI523"/>
  <c r="BI524"/>
  <c r="BI525"/>
  <c r="BI526"/>
  <c r="BI527"/>
  <c r="BI528"/>
  <c r="BI529"/>
  <c r="BI530"/>
  <c r="BI531"/>
  <c r="BI532"/>
  <c r="BI533"/>
  <c r="BI534"/>
  <c r="BI535"/>
  <c r="BI536"/>
  <c r="BI537"/>
  <c r="BI538"/>
  <c r="BI539"/>
  <c r="BI540"/>
  <c r="BI541"/>
  <c r="BI542"/>
  <c r="BI543"/>
  <c r="BI544"/>
  <c r="BI545"/>
  <c r="BI546"/>
  <c r="BI547"/>
  <c r="BI548"/>
  <c r="BI549"/>
  <c r="BI550"/>
  <c r="BI551"/>
  <c r="BI552"/>
  <c r="BI553"/>
  <c r="BI554"/>
  <c r="BI555"/>
  <c r="BI556"/>
  <c r="BI557"/>
  <c r="BI558"/>
  <c r="BI559"/>
  <c r="BI560"/>
  <c r="BI561"/>
  <c r="BI562"/>
  <c r="BI563"/>
  <c r="BI564"/>
  <c r="BI565"/>
  <c r="BI566"/>
  <c r="BI567"/>
  <c r="BI568"/>
  <c r="BI569"/>
  <c r="BI570"/>
  <c r="BI571"/>
  <c r="BI572"/>
  <c r="BI573"/>
  <c r="BI574"/>
  <c r="BI575"/>
  <c r="BI576"/>
  <c r="BI577"/>
  <c r="BI578"/>
  <c r="BI579"/>
  <c r="BI580"/>
  <c r="BI581"/>
  <c r="BI582"/>
  <c r="BI583"/>
  <c r="BI584"/>
  <c r="BI585"/>
  <c r="BI586"/>
  <c r="BI587"/>
  <c r="BI588"/>
  <c r="BI589"/>
  <c r="BI590"/>
  <c r="BI591"/>
  <c r="BI592"/>
  <c r="BI593"/>
  <c r="BI594"/>
  <c r="BI595"/>
  <c r="BI596"/>
  <c r="BI597"/>
  <c r="BI598"/>
  <c r="BI599"/>
  <c r="BI600"/>
  <c r="BI601"/>
  <c r="BI602"/>
  <c r="BI603"/>
  <c r="BI604"/>
  <c r="BI605"/>
  <c r="BI606"/>
  <c r="BI607"/>
  <c r="BI608"/>
  <c r="BI609"/>
  <c r="BI610"/>
  <c r="BI611"/>
  <c r="BI612"/>
  <c r="BI613"/>
  <c r="BI614"/>
  <c r="BI615"/>
  <c r="BI616"/>
  <c r="BI617"/>
  <c r="BI618"/>
  <c r="BI619"/>
  <c r="BI620"/>
  <c r="BI621"/>
  <c r="BI622"/>
  <c r="BI623"/>
  <c r="BI624"/>
  <c r="BI625"/>
  <c r="BI626"/>
  <c r="BI627"/>
  <c r="BI628"/>
  <c r="BI629"/>
  <c r="BI630"/>
  <c r="BI631"/>
  <c r="BI632"/>
  <c r="BI633"/>
  <c r="BI634"/>
  <c r="BI635"/>
  <c r="BI636"/>
  <c r="BI637"/>
  <c r="BI638"/>
  <c r="BI639"/>
  <c r="BI640"/>
  <c r="BI641"/>
  <c r="BI642"/>
  <c r="BI643"/>
  <c r="BI644"/>
  <c r="BI645"/>
  <c r="BI646"/>
  <c r="BI647"/>
  <c r="BI648"/>
  <c r="BI649"/>
  <c r="BI650"/>
  <c r="BI651"/>
  <c r="BI652"/>
  <c r="BI653"/>
  <c r="BI654"/>
  <c r="BI655"/>
  <c r="BI656"/>
  <c r="BI657"/>
  <c r="BI658"/>
  <c r="BI659"/>
  <c r="BI660"/>
  <c r="BI661"/>
  <c r="BI662"/>
  <c r="BI663"/>
  <c r="BI664"/>
  <c r="BI665"/>
  <c r="BI666"/>
  <c r="BI667"/>
  <c r="BI668"/>
  <c r="BI669"/>
  <c r="BI670"/>
  <c r="BI671"/>
  <c r="BI672"/>
  <c r="BI673"/>
  <c r="BI674"/>
  <c r="BI675"/>
  <c r="BI676"/>
  <c r="BI677"/>
  <c r="BI678"/>
  <c r="BI679"/>
  <c r="BI680"/>
  <c r="BI681"/>
  <c r="BI682"/>
  <c r="BI683"/>
  <c r="BI684"/>
  <c r="BI685"/>
  <c r="BI686"/>
  <c r="BI687"/>
  <c r="BI688"/>
  <c r="BI689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S1030" i="7" l="1"/>
  <c r="V1030" s="1"/>
  <c r="R1030"/>
  <c r="S908"/>
  <c r="V908" s="1"/>
  <c r="R908"/>
  <c r="R906"/>
  <c r="S906"/>
  <c r="V906" s="1"/>
  <c r="S726"/>
  <c r="V726" s="1"/>
  <c r="R726"/>
  <c r="R654"/>
  <c r="S654"/>
  <c r="V654" s="1"/>
  <c r="S556"/>
  <c r="V556" s="1"/>
  <c r="R556"/>
  <c r="S480"/>
  <c r="V480" s="1"/>
  <c r="R480"/>
  <c r="S476"/>
  <c r="V476" s="1"/>
  <c r="R476"/>
  <c r="S397"/>
  <c r="V397" s="1"/>
  <c r="R397"/>
  <c r="E953" i="5"/>
  <c r="E880"/>
  <c r="E869"/>
  <c r="E363"/>
  <c r="P361"/>
  <c r="F361"/>
  <c r="R503" i="7"/>
  <c r="S503"/>
  <c r="R888"/>
  <c r="S888"/>
  <c r="V888" s="1"/>
  <c r="R880"/>
  <c r="S880"/>
  <c r="V880" s="1"/>
  <c r="R876"/>
  <c r="S876"/>
  <c r="V876" s="1"/>
  <c r="R854"/>
  <c r="S854"/>
  <c r="V854" s="1"/>
  <c r="R842"/>
  <c r="S842"/>
  <c r="V842" s="1"/>
  <c r="R822"/>
  <c r="S822"/>
  <c r="V822" s="1"/>
  <c r="S564"/>
  <c r="V564" s="1"/>
  <c r="R564"/>
  <c r="R482"/>
  <c r="S482"/>
  <c r="V482" s="1"/>
  <c r="R373"/>
  <c r="S373"/>
  <c r="V373" s="1"/>
  <c r="H361" i="5"/>
  <c r="Y507"/>
  <c r="Z507" s="1"/>
  <c r="L361"/>
  <c r="E1036"/>
  <c r="N1035" i="7"/>
  <c r="R1029"/>
  <c r="S1029"/>
  <c r="V1029" s="1"/>
  <c r="R1025"/>
  <c r="N1033"/>
  <c r="E1007" i="5"/>
  <c r="N1007" i="7"/>
  <c r="R825"/>
  <c r="S825"/>
  <c r="V825" s="1"/>
  <c r="R821"/>
  <c r="S821"/>
  <c r="V821" s="1"/>
  <c r="R817"/>
  <c r="S817"/>
  <c r="V817" s="1"/>
  <c r="R855"/>
  <c r="S855"/>
  <c r="V855" s="1"/>
  <c r="E693" i="5"/>
  <c r="N693" i="7"/>
  <c r="E662" i="5"/>
  <c r="N661" i="7"/>
  <c r="E658" i="5"/>
  <c r="N657" i="7"/>
  <c r="E654" i="5"/>
  <c r="N653" i="7"/>
  <c r="E650" i="5"/>
  <c r="N649" i="7"/>
  <c r="E621" i="5"/>
  <c r="N621" i="7"/>
  <c r="E612" i="5"/>
  <c r="N611" i="7"/>
  <c r="E606" i="5"/>
  <c r="N605" i="7"/>
  <c r="E577" i="5"/>
  <c r="N576" i="7"/>
  <c r="S563"/>
  <c r="V563" s="1"/>
  <c r="R563"/>
  <c r="S559"/>
  <c r="V559" s="1"/>
  <c r="R559"/>
  <c r="S555"/>
  <c r="V555" s="1"/>
  <c r="R555"/>
  <c r="E550" i="5"/>
  <c r="N549" i="7"/>
  <c r="E545" i="5"/>
  <c r="N545" i="7"/>
  <c r="N542"/>
  <c r="S542" s="1"/>
  <c r="V542" s="1"/>
  <c r="R535"/>
  <c r="E531" i="5"/>
  <c r="N531" i="7"/>
  <c r="R398"/>
  <c r="S398"/>
  <c r="V398" s="1"/>
  <c r="S374"/>
  <c r="V374" s="1"/>
  <c r="R374"/>
  <c r="N892"/>
  <c r="S892" s="1"/>
  <c r="V892" s="1"/>
  <c r="R879"/>
  <c r="N877"/>
  <c r="S877" s="1"/>
  <c r="V877" s="1"/>
  <c r="R875"/>
  <c r="R877" s="1"/>
  <c r="R868"/>
  <c r="N873"/>
  <c r="S873" s="1"/>
  <c r="V873" s="1"/>
  <c r="R1032"/>
  <c r="S1032"/>
  <c r="V1032" s="1"/>
  <c r="N1022"/>
  <c r="E1023" i="5"/>
  <c r="E919"/>
  <c r="N918" i="7"/>
  <c r="S890"/>
  <c r="V890" s="1"/>
  <c r="R890"/>
  <c r="S882"/>
  <c r="V882" s="1"/>
  <c r="R882"/>
  <c r="N866"/>
  <c r="S866" s="1"/>
  <c r="V866" s="1"/>
  <c r="R864"/>
  <c r="R856"/>
  <c r="S856"/>
  <c r="V856" s="1"/>
  <c r="R852"/>
  <c r="S852"/>
  <c r="V852" s="1"/>
  <c r="R844"/>
  <c r="S844"/>
  <c r="V844" s="1"/>
  <c r="S828"/>
  <c r="R828"/>
  <c r="R820"/>
  <c r="S820"/>
  <c r="V820" s="1"/>
  <c r="S728"/>
  <c r="V728" s="1"/>
  <c r="R728"/>
  <c r="S720"/>
  <c r="V720" s="1"/>
  <c r="R720"/>
  <c r="S565"/>
  <c r="V565" s="1"/>
  <c r="R565"/>
  <c r="S558"/>
  <c r="V558" s="1"/>
  <c r="R558"/>
  <c r="N533"/>
  <c r="S533" s="1"/>
  <c r="V533" s="1"/>
  <c r="R530"/>
  <c r="R506"/>
  <c r="R475"/>
  <c r="S475"/>
  <c r="V475" s="1"/>
  <c r="S444"/>
  <c r="V444" s="1"/>
  <c r="R444"/>
  <c r="R436"/>
  <c r="S436"/>
  <c r="V436" s="1"/>
  <c r="R421"/>
  <c r="S421"/>
  <c r="V421" s="1"/>
  <c r="N895"/>
  <c r="S895" s="1"/>
  <c r="V895" s="1"/>
  <c r="R894"/>
  <c r="R895" s="1"/>
  <c r="N1003"/>
  <c r="E1004" i="5"/>
  <c r="R866" i="7"/>
  <c r="R1020"/>
  <c r="S504"/>
  <c r="V504" s="1"/>
  <c r="N702"/>
  <c r="S702" s="1"/>
  <c r="N626"/>
  <c r="S626" s="1"/>
  <c r="V626" s="1"/>
  <c r="N547"/>
  <c r="S547" s="1"/>
  <c r="V547" s="1"/>
  <c r="E972" i="5"/>
  <c r="R1031" i="7"/>
  <c r="S1031"/>
  <c r="V1031" s="1"/>
  <c r="R1027"/>
  <c r="S1027"/>
  <c r="V1027" s="1"/>
  <c r="E1011" i="5"/>
  <c r="N1011" i="7"/>
  <c r="E1001" i="5"/>
  <c r="N1000" i="7"/>
  <c r="E850" i="5"/>
  <c r="N849" i="7"/>
  <c r="E841" i="5"/>
  <c r="N841" i="7"/>
  <c r="S827"/>
  <c r="V827" s="1"/>
  <c r="R827"/>
  <c r="R823"/>
  <c r="S823"/>
  <c r="V823" s="1"/>
  <c r="R819"/>
  <c r="S819"/>
  <c r="V819" s="1"/>
  <c r="R815"/>
  <c r="R838" s="1"/>
  <c r="S815"/>
  <c r="V815" s="1"/>
  <c r="E690" i="5"/>
  <c r="N689" i="7"/>
  <c r="E681" i="5"/>
  <c r="N681" i="7"/>
  <c r="E670" i="5"/>
  <c r="N669" i="7"/>
  <c r="E634" i="5"/>
  <c r="N633" i="7"/>
  <c r="E629" i="5"/>
  <c r="N629" i="7"/>
  <c r="E618" i="5"/>
  <c r="N617" i="7"/>
  <c r="R613"/>
  <c r="S613"/>
  <c r="V613" s="1"/>
  <c r="E587" i="5"/>
  <c r="N586" i="7"/>
  <c r="S561"/>
  <c r="V561" s="1"/>
  <c r="R561"/>
  <c r="S557"/>
  <c r="V557" s="1"/>
  <c r="R557"/>
  <c r="E507" i="5"/>
  <c r="N509" i="7"/>
  <c r="N513" s="1"/>
  <c r="R612"/>
  <c r="S612"/>
  <c r="V612" s="1"/>
  <c r="R414"/>
  <c r="S414"/>
  <c r="V414" s="1"/>
  <c r="R400"/>
  <c r="S400"/>
  <c r="V400" s="1"/>
  <c r="R388"/>
  <c r="S388"/>
  <c r="V388" s="1"/>
  <c r="S372"/>
  <c r="V372" s="1"/>
  <c r="R372"/>
  <c r="R1028"/>
  <c r="S1028"/>
  <c r="V1028" s="1"/>
  <c r="E936" i="5"/>
  <c r="N935" i="7"/>
  <c r="N899"/>
  <c r="S899" s="1"/>
  <c r="V899" s="1"/>
  <c r="R897"/>
  <c r="R899" s="1"/>
  <c r="S886"/>
  <c r="V886" s="1"/>
  <c r="R886"/>
  <c r="R870"/>
  <c r="S870"/>
  <c r="V870" s="1"/>
  <c r="R860"/>
  <c r="S860"/>
  <c r="R840"/>
  <c r="N847"/>
  <c r="S847" s="1"/>
  <c r="V847" s="1"/>
  <c r="R824"/>
  <c r="S824"/>
  <c r="V824" s="1"/>
  <c r="R816"/>
  <c r="S816"/>
  <c r="V816" s="1"/>
  <c r="S724"/>
  <c r="V724" s="1"/>
  <c r="R724"/>
  <c r="E673" i="5"/>
  <c r="N672" i="7"/>
  <c r="E667" i="5"/>
  <c r="N666" i="7"/>
  <c r="E637" i="5"/>
  <c r="N636" i="7"/>
  <c r="S630"/>
  <c r="V630" s="1"/>
  <c r="R630"/>
  <c r="S562"/>
  <c r="V562" s="1"/>
  <c r="R562"/>
  <c r="S552"/>
  <c r="V552" s="1"/>
  <c r="R552"/>
  <c r="S508"/>
  <c r="V508" s="1"/>
  <c r="R508"/>
  <c r="R440"/>
  <c r="S440"/>
  <c r="V440" s="1"/>
  <c r="S430"/>
  <c r="V430" s="1"/>
  <c r="R430"/>
  <c r="R425"/>
  <c r="S425"/>
  <c r="V425" s="1"/>
  <c r="R399"/>
  <c r="S399"/>
  <c r="V399" s="1"/>
  <c r="S375"/>
  <c r="V375" s="1"/>
  <c r="R375"/>
  <c r="E999" i="5"/>
  <c r="F998"/>
  <c r="F996" s="1"/>
  <c r="S901" i="7"/>
  <c r="R901"/>
  <c r="R903" s="1"/>
  <c r="R873"/>
  <c r="N838"/>
  <c r="S838" s="1"/>
  <c r="V838" s="1"/>
  <c r="E707" i="5"/>
  <c r="E912"/>
  <c r="R542" i="7"/>
  <c r="Y850" i="5"/>
  <c r="Z850" s="1"/>
  <c r="L705"/>
  <c r="Y705" s="1"/>
  <c r="Z705" s="1"/>
  <c r="Y363"/>
  <c r="Z363" s="1"/>
  <c r="Y361"/>
  <c r="Z361" s="1"/>
  <c r="E1026"/>
  <c r="E1018"/>
  <c r="E676"/>
  <c r="E593"/>
  <c r="E556"/>
  <c r="E536"/>
  <c r="E516"/>
  <c r="R528" i="7"/>
  <c r="S903"/>
  <c r="V903" s="1"/>
  <c r="R644"/>
  <c r="AW204" i="10"/>
  <c r="BU689"/>
  <c r="BU679"/>
  <c r="BU671"/>
  <c r="BU657"/>
  <c r="BU651"/>
  <c r="BU641"/>
  <c r="BU637"/>
  <c r="BU633"/>
  <c r="BU627"/>
  <c r="BU625"/>
  <c r="BU621"/>
  <c r="BU603"/>
  <c r="BU595"/>
  <c r="BU589"/>
  <c r="BU579"/>
  <c r="BU575"/>
  <c r="BU569"/>
  <c r="BU565"/>
  <c r="BU563"/>
  <c r="BU561"/>
  <c r="BU559"/>
  <c r="BU557"/>
  <c r="BU555"/>
  <c r="BU551"/>
  <c r="BU533"/>
  <c r="BU529"/>
  <c r="BU517"/>
  <c r="BU503"/>
  <c r="BU487"/>
  <c r="BU343"/>
  <c r="BU329"/>
  <c r="BU323"/>
  <c r="BU297"/>
  <c r="BU295"/>
  <c r="BU293"/>
  <c r="BU287"/>
  <c r="BU271"/>
  <c r="BU257"/>
  <c r="BU253"/>
  <c r="BU243"/>
  <c r="BU237"/>
  <c r="BU223"/>
  <c r="BU676"/>
  <c r="BU664"/>
  <c r="BU660"/>
  <c r="BU654"/>
  <c r="BU644"/>
  <c r="BU630"/>
  <c r="BU628"/>
  <c r="BU626"/>
  <c r="BU618"/>
  <c r="BU614"/>
  <c r="BU606"/>
  <c r="BU592"/>
  <c r="BU586"/>
  <c r="BU572"/>
  <c r="BU562"/>
  <c r="BU560"/>
  <c r="BU556"/>
  <c r="BU548"/>
  <c r="BU546"/>
  <c r="BU522"/>
  <c r="BU494"/>
  <c r="BU486"/>
  <c r="BU484"/>
  <c r="BU383"/>
  <c r="BU315"/>
  <c r="BU311"/>
  <c r="BU307"/>
  <c r="BU303"/>
  <c r="BU265"/>
  <c r="BU259"/>
  <c r="BU235"/>
  <c r="BU227"/>
  <c r="BU221"/>
  <c r="BU360"/>
  <c r="BU358"/>
  <c r="BU346"/>
  <c r="BU334"/>
  <c r="BU326"/>
  <c r="BU320"/>
  <c r="BU300"/>
  <c r="BU298"/>
  <c r="BU296"/>
  <c r="BU294"/>
  <c r="BU290"/>
  <c r="BU282"/>
  <c r="BU274"/>
  <c r="BU262"/>
  <c r="BU246"/>
  <c r="BU240"/>
  <c r="BU234"/>
  <c r="BU230"/>
  <c r="BU226"/>
  <c r="BU220"/>
  <c r="BU198"/>
  <c r="BU184"/>
  <c r="BU172"/>
  <c r="BU162"/>
  <c r="BU160"/>
  <c r="BU158"/>
  <c r="BU152"/>
  <c r="BU150"/>
  <c r="BU148"/>
  <c r="BU146"/>
  <c r="BU144"/>
  <c r="BU140"/>
  <c r="BU138"/>
  <c r="BU136"/>
  <c r="BU126"/>
  <c r="BU122"/>
  <c r="BU88"/>
  <c r="BU209"/>
  <c r="BU203"/>
  <c r="BU189"/>
  <c r="BU169"/>
  <c r="BU167"/>
  <c r="BU165"/>
  <c r="BU155"/>
  <c r="BU153"/>
  <c r="BU151"/>
  <c r="BU149"/>
  <c r="BU147"/>
  <c r="BU145"/>
  <c r="BU143"/>
  <c r="BU137"/>
  <c r="BU135"/>
  <c r="BU133"/>
  <c r="BU131"/>
  <c r="BU129"/>
  <c r="BU125"/>
  <c r="BU109"/>
  <c r="BU81"/>
  <c r="BU63"/>
  <c r="J156" i="7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M135"/>
  <c r="N135"/>
  <c r="O135"/>
  <c r="P135"/>
  <c r="Q135"/>
  <c r="R135"/>
  <c r="S135"/>
  <c r="T135"/>
  <c r="U135"/>
  <c r="V135"/>
  <c r="R504" i="7" l="1"/>
  <c r="R909"/>
  <c r="S513"/>
  <c r="V513" s="1"/>
  <c r="E998" i="5"/>
  <c r="N997" i="7"/>
  <c r="R1003"/>
  <c r="R1004" s="1"/>
  <c r="N1004"/>
  <c r="S1004" s="1"/>
  <c r="V1004" s="1"/>
  <c r="S1003"/>
  <c r="V1003" s="1"/>
  <c r="R1022"/>
  <c r="R1023" s="1"/>
  <c r="S1022"/>
  <c r="V1022" s="1"/>
  <c r="N1023"/>
  <c r="S1023" s="1"/>
  <c r="V1023" s="1"/>
  <c r="E996" i="5"/>
  <c r="N994" i="7" s="1"/>
  <c r="F995" i="5"/>
  <c r="N637" i="7"/>
  <c r="S637" s="1"/>
  <c r="V637" s="1"/>
  <c r="R636"/>
  <c r="R637" s="1"/>
  <c r="S636"/>
  <c r="V636" s="1"/>
  <c r="R666"/>
  <c r="R667" s="1"/>
  <c r="S666"/>
  <c r="V666" s="1"/>
  <c r="N667"/>
  <c r="S667" s="1"/>
  <c r="V667" s="1"/>
  <c r="R672"/>
  <c r="N673"/>
  <c r="S673" s="1"/>
  <c r="V673" s="1"/>
  <c r="R935"/>
  <c r="R936" s="1"/>
  <c r="N936"/>
  <c r="S936" s="1"/>
  <c r="V936" s="1"/>
  <c r="S935"/>
  <c r="V935" s="1"/>
  <c r="S509"/>
  <c r="V509" s="1"/>
  <c r="R509"/>
  <c r="R586"/>
  <c r="R587" s="1"/>
  <c r="N587"/>
  <c r="S587" s="1"/>
  <c r="V587" s="1"/>
  <c r="S586"/>
  <c r="V586" s="1"/>
  <c r="N618"/>
  <c r="S618" s="1"/>
  <c r="V618" s="1"/>
  <c r="R617"/>
  <c r="R618" s="1"/>
  <c r="S617"/>
  <c r="V617" s="1"/>
  <c r="R629"/>
  <c r="R631" s="1"/>
  <c r="S629"/>
  <c r="V629" s="1"/>
  <c r="N631"/>
  <c r="S631" s="1"/>
  <c r="V631" s="1"/>
  <c r="N634"/>
  <c r="S634" s="1"/>
  <c r="V634" s="1"/>
  <c r="R633"/>
  <c r="R634" s="1"/>
  <c r="S633"/>
  <c r="V633" s="1"/>
  <c r="R669"/>
  <c r="R670" s="1"/>
  <c r="S669"/>
  <c r="V669" s="1"/>
  <c r="N670"/>
  <c r="S670" s="1"/>
  <c r="V670" s="1"/>
  <c r="R681"/>
  <c r="R687" s="1"/>
  <c r="S681"/>
  <c r="V681" s="1"/>
  <c r="N687"/>
  <c r="S687" s="1"/>
  <c r="V687" s="1"/>
  <c r="R689"/>
  <c r="R690" s="1"/>
  <c r="N690"/>
  <c r="S690" s="1"/>
  <c r="V690" s="1"/>
  <c r="S689"/>
  <c r="V689" s="1"/>
  <c r="R841"/>
  <c r="R847" s="1"/>
  <c r="S841"/>
  <c r="V841" s="1"/>
  <c r="R849"/>
  <c r="R861" s="1"/>
  <c r="S849"/>
  <c r="V849" s="1"/>
  <c r="N861"/>
  <c r="R1000"/>
  <c r="R1001" s="1"/>
  <c r="N1001"/>
  <c r="S1001" s="1"/>
  <c r="V1001" s="1"/>
  <c r="S1000"/>
  <c r="V1000" s="1"/>
  <c r="R1011"/>
  <c r="R1015" s="1"/>
  <c r="S1011"/>
  <c r="V1011" s="1"/>
  <c r="N1015"/>
  <c r="S1015" s="1"/>
  <c r="V1015" s="1"/>
  <c r="R918"/>
  <c r="R919" s="1"/>
  <c r="N919"/>
  <c r="S919" s="1"/>
  <c r="V919" s="1"/>
  <c r="S918"/>
  <c r="V918" s="1"/>
  <c r="S531"/>
  <c r="V531" s="1"/>
  <c r="R531"/>
  <c r="S545"/>
  <c r="V545" s="1"/>
  <c r="R545"/>
  <c r="R547" s="1"/>
  <c r="N553"/>
  <c r="S553" s="1"/>
  <c r="V553" s="1"/>
  <c r="R549"/>
  <c r="R553" s="1"/>
  <c r="S549"/>
  <c r="V549" s="1"/>
  <c r="R576"/>
  <c r="R578" s="1"/>
  <c r="S576"/>
  <c r="V576" s="1"/>
  <c r="N578"/>
  <c r="S578" s="1"/>
  <c r="V578" s="1"/>
  <c r="R605"/>
  <c r="R606" s="1"/>
  <c r="S605"/>
  <c r="V605" s="1"/>
  <c r="N606"/>
  <c r="S606" s="1"/>
  <c r="V606" s="1"/>
  <c r="R611"/>
  <c r="R615" s="1"/>
  <c r="N615"/>
  <c r="S615" s="1"/>
  <c r="V615" s="1"/>
  <c r="S611"/>
  <c r="V611" s="1"/>
  <c r="S621"/>
  <c r="V621" s="1"/>
  <c r="R621"/>
  <c r="R626" s="1"/>
  <c r="R649"/>
  <c r="R651" s="1"/>
  <c r="N651"/>
  <c r="S651" s="1"/>
  <c r="S649"/>
  <c r="R653"/>
  <c r="R655" s="1"/>
  <c r="S653"/>
  <c r="N655"/>
  <c r="R657"/>
  <c r="R659" s="1"/>
  <c r="S657"/>
  <c r="V657" s="1"/>
  <c r="N659"/>
  <c r="S659" s="1"/>
  <c r="V659" s="1"/>
  <c r="R661"/>
  <c r="R664" s="1"/>
  <c r="S661"/>
  <c r="V661" s="1"/>
  <c r="N664"/>
  <c r="S664" s="1"/>
  <c r="V664" s="1"/>
  <c r="R693"/>
  <c r="R702" s="1"/>
  <c r="S693"/>
  <c r="V693" s="1"/>
  <c r="R1007"/>
  <c r="R1008" s="1"/>
  <c r="S1007"/>
  <c r="V1007" s="1"/>
  <c r="N1008"/>
  <c r="S1008" s="1"/>
  <c r="V1008" s="1"/>
  <c r="S1033"/>
  <c r="R1033"/>
  <c r="N1036"/>
  <c r="S1036" s="1"/>
  <c r="R1035"/>
  <c r="R1036" s="1"/>
  <c r="S1035"/>
  <c r="V1035" s="1"/>
  <c r="R513"/>
  <c r="R533"/>
  <c r="R892"/>
  <c r="R570"/>
  <c r="E361" i="5"/>
  <c r="AB162" i="10"/>
  <c r="AJ164"/>
  <c r="AK164"/>
  <c r="X166"/>
  <c r="AW166" s="1"/>
  <c r="BU166" s="1"/>
  <c r="E132" i="5"/>
  <c r="N129" i="7" s="1"/>
  <c r="R129" s="1"/>
  <c r="E49" i="11"/>
  <c r="E12"/>
  <c r="E11" s="1"/>
  <c r="N360" i="7" l="1"/>
  <c r="F994" i="5"/>
  <c r="E995"/>
  <c r="N993" i="7" s="1"/>
  <c r="S655"/>
  <c r="V655" s="1"/>
  <c r="V653"/>
  <c r="S861"/>
  <c r="V861" s="1"/>
  <c r="R673"/>
  <c r="R360" s="1"/>
  <c r="S672"/>
  <c r="V672" s="1"/>
  <c r="R994"/>
  <c r="S994"/>
  <c r="V994" s="1"/>
  <c r="R997"/>
  <c r="R998" s="1"/>
  <c r="N998"/>
  <c r="S998" s="1"/>
  <c r="V998" s="1"/>
  <c r="S997"/>
  <c r="V997" s="1"/>
  <c r="AJ166" i="10"/>
  <c r="AK166"/>
  <c r="S129" i="7"/>
  <c r="V129" s="1"/>
  <c r="AJ162" i="10"/>
  <c r="AY162"/>
  <c r="BW162" s="1"/>
  <c r="AK162"/>
  <c r="AB144"/>
  <c r="AB145"/>
  <c r="J604" i="9"/>
  <c r="K604"/>
  <c r="D69" i="11" s="1"/>
  <c r="M604" i="9"/>
  <c r="N604"/>
  <c r="O604"/>
  <c r="Q604"/>
  <c r="R604"/>
  <c r="I604"/>
  <c r="C69" i="11" s="1"/>
  <c r="J612" i="9"/>
  <c r="K612"/>
  <c r="D70" i="11" s="1"/>
  <c r="M612" i="9"/>
  <c r="N612"/>
  <c r="O612"/>
  <c r="Q612"/>
  <c r="R612"/>
  <c r="I612"/>
  <c r="C70" i="11" s="1"/>
  <c r="J616" i="9"/>
  <c r="K616"/>
  <c r="D71" i="11" s="1"/>
  <c r="M616" i="9"/>
  <c r="N616"/>
  <c r="O616"/>
  <c r="Q616"/>
  <c r="R616"/>
  <c r="I616"/>
  <c r="C71" i="11" s="1"/>
  <c r="J619" i="9"/>
  <c r="K619"/>
  <c r="D72" i="11" s="1"/>
  <c r="M619" i="9"/>
  <c r="N619"/>
  <c r="O619"/>
  <c r="Q619"/>
  <c r="R619"/>
  <c r="I619"/>
  <c r="C72" i="11" s="1"/>
  <c r="J623" i="9"/>
  <c r="K623"/>
  <c r="D73" i="11" s="1"/>
  <c r="M623" i="9"/>
  <c r="N623"/>
  <c r="O623"/>
  <c r="Q623"/>
  <c r="R623"/>
  <c r="I623"/>
  <c r="C73" i="11" s="1"/>
  <c r="J628" i="9"/>
  <c r="K628"/>
  <c r="D74" i="11" s="1"/>
  <c r="M628" i="9"/>
  <c r="N628"/>
  <c r="O628"/>
  <c r="Q628"/>
  <c r="R628"/>
  <c r="I628"/>
  <c r="C74" i="11" s="1"/>
  <c r="J631" i="9"/>
  <c r="K631"/>
  <c r="D75" i="11" s="1"/>
  <c r="M631" i="9"/>
  <c r="N631"/>
  <c r="O631"/>
  <c r="Q631"/>
  <c r="R631"/>
  <c r="I631"/>
  <c r="C75" i="11" s="1"/>
  <c r="J635" i="9"/>
  <c r="K635"/>
  <c r="D76" i="11" s="1"/>
  <c r="M635" i="9"/>
  <c r="N635"/>
  <c r="O635"/>
  <c r="Q635"/>
  <c r="R635"/>
  <c r="J639"/>
  <c r="K639"/>
  <c r="D77" i="11" s="1"/>
  <c r="M639" i="9"/>
  <c r="N639"/>
  <c r="O639"/>
  <c r="Q639"/>
  <c r="R639"/>
  <c r="I639"/>
  <c r="C77" i="11" s="1"/>
  <c r="J642" i="9"/>
  <c r="K642"/>
  <c r="D78" i="11" s="1"/>
  <c r="M642" i="9"/>
  <c r="N642"/>
  <c r="O642"/>
  <c r="Q642"/>
  <c r="R642"/>
  <c r="I642"/>
  <c r="C78" i="11" s="1"/>
  <c r="J649" i="9"/>
  <c r="K649"/>
  <c r="D79" i="11" s="1"/>
  <c r="M649" i="9"/>
  <c r="N649"/>
  <c r="O649"/>
  <c r="Q649"/>
  <c r="R649"/>
  <c r="I649"/>
  <c r="C79" i="11" s="1"/>
  <c r="J652" i="9"/>
  <c r="K652"/>
  <c r="D80" i="11" s="1"/>
  <c r="M652" i="9"/>
  <c r="N652"/>
  <c r="O652"/>
  <c r="Q652"/>
  <c r="R652"/>
  <c r="I652"/>
  <c r="C80" i="11" s="1"/>
  <c r="J655" i="9"/>
  <c r="K655"/>
  <c r="D81" i="11" s="1"/>
  <c r="M655" i="9"/>
  <c r="N655"/>
  <c r="O655"/>
  <c r="Q655"/>
  <c r="R655"/>
  <c r="I655"/>
  <c r="C81" i="11" s="1"/>
  <c r="J658" i="9"/>
  <c r="K658"/>
  <c r="D82" i="11" s="1"/>
  <c r="M658" i="9"/>
  <c r="N658"/>
  <c r="O658"/>
  <c r="Q658"/>
  <c r="R658"/>
  <c r="I658"/>
  <c r="C82" i="11" s="1"/>
  <c r="J662" i="9"/>
  <c r="K662"/>
  <c r="D83" i="11" s="1"/>
  <c r="M662" i="9"/>
  <c r="N662"/>
  <c r="O662"/>
  <c r="Q662"/>
  <c r="R662"/>
  <c r="I662"/>
  <c r="C83" i="11" s="1"/>
  <c r="J669" i="9"/>
  <c r="K669"/>
  <c r="D84" i="11" s="1"/>
  <c r="M669" i="9"/>
  <c r="N669"/>
  <c r="O669"/>
  <c r="Q669"/>
  <c r="R669"/>
  <c r="I669"/>
  <c r="C84" i="11" s="1"/>
  <c r="J674" i="9"/>
  <c r="K674"/>
  <c r="D85" i="11" s="1"/>
  <c r="M674" i="9"/>
  <c r="N674"/>
  <c r="O674"/>
  <c r="Q674"/>
  <c r="R674"/>
  <c r="I674"/>
  <c r="C85" i="11" s="1"/>
  <c r="J677" i="9"/>
  <c r="K677"/>
  <c r="D86" i="11" s="1"/>
  <c r="M677" i="9"/>
  <c r="N677"/>
  <c r="O677"/>
  <c r="Q677"/>
  <c r="R677"/>
  <c r="I677"/>
  <c r="C86" i="11" s="1"/>
  <c r="J687" i="9"/>
  <c r="K687"/>
  <c r="D87" i="11" s="1"/>
  <c r="M687" i="9"/>
  <c r="N687"/>
  <c r="O687"/>
  <c r="Q687"/>
  <c r="R687"/>
  <c r="I687"/>
  <c r="C87" i="11" s="1"/>
  <c r="J690" i="9"/>
  <c r="K690"/>
  <c r="D88" i="11" s="1"/>
  <c r="M690" i="9"/>
  <c r="N690"/>
  <c r="O690"/>
  <c r="Q690"/>
  <c r="R690"/>
  <c r="I690"/>
  <c r="C88" i="11" s="1"/>
  <c r="L689" i="9"/>
  <c r="P689" s="1"/>
  <c r="P690" s="1"/>
  <c r="L684"/>
  <c r="P684" s="1"/>
  <c r="L682"/>
  <c r="P682" s="1"/>
  <c r="L680"/>
  <c r="P680" s="1"/>
  <c r="L686"/>
  <c r="P686" s="1"/>
  <c r="L685"/>
  <c r="P685" s="1"/>
  <c r="L683"/>
  <c r="P683" s="1"/>
  <c r="L681"/>
  <c r="P681" s="1"/>
  <c r="L679"/>
  <c r="P679" s="1"/>
  <c r="L676"/>
  <c r="P676" s="1"/>
  <c r="P677" s="1"/>
  <c r="L673"/>
  <c r="P673" s="1"/>
  <c r="L672"/>
  <c r="P672" s="1"/>
  <c r="L671"/>
  <c r="P671" s="1"/>
  <c r="L667"/>
  <c r="P667" s="1"/>
  <c r="L665"/>
  <c r="P665" s="1"/>
  <c r="L668"/>
  <c r="P668" s="1"/>
  <c r="L666"/>
  <c r="P666" s="1"/>
  <c r="L664"/>
  <c r="P664" s="1"/>
  <c r="L661"/>
  <c r="P661" s="1"/>
  <c r="L660"/>
  <c r="P660" s="1"/>
  <c r="L657"/>
  <c r="P657" s="1"/>
  <c r="P658" s="1"/>
  <c r="L651"/>
  <c r="P651" s="1"/>
  <c r="P652" s="1"/>
  <c r="L654"/>
  <c r="P654" s="1"/>
  <c r="P655" s="1"/>
  <c r="L647"/>
  <c r="P647" s="1"/>
  <c r="L645"/>
  <c r="P645" s="1"/>
  <c r="L648"/>
  <c r="P648" s="1"/>
  <c r="L646"/>
  <c r="P646" s="1"/>
  <c r="L644"/>
  <c r="P644" s="1"/>
  <c r="L641"/>
  <c r="P641" s="1"/>
  <c r="P642" s="1"/>
  <c r="L638"/>
  <c r="P638" s="1"/>
  <c r="L637"/>
  <c r="P637" s="1"/>
  <c r="L634"/>
  <c r="P634" s="1"/>
  <c r="L633"/>
  <c r="P633" s="1"/>
  <c r="L630"/>
  <c r="P630" s="1"/>
  <c r="P631" s="1"/>
  <c r="L627"/>
  <c r="P627" s="1"/>
  <c r="L626"/>
  <c r="P626" s="1"/>
  <c r="L625"/>
  <c r="P625" s="1"/>
  <c r="L622"/>
  <c r="P622" s="1"/>
  <c r="L621"/>
  <c r="P621" s="1"/>
  <c r="L618"/>
  <c r="P618" s="1"/>
  <c r="P619" s="1"/>
  <c r="L615"/>
  <c r="P615" s="1"/>
  <c r="L614"/>
  <c r="P614" s="1"/>
  <c r="L607"/>
  <c r="P607" s="1"/>
  <c r="L608"/>
  <c r="P608" s="1"/>
  <c r="L609"/>
  <c r="P609" s="1"/>
  <c r="L610"/>
  <c r="P610" s="1"/>
  <c r="L611"/>
  <c r="P611" s="1"/>
  <c r="L606"/>
  <c r="P606" s="1"/>
  <c r="L603"/>
  <c r="P603" s="1"/>
  <c r="P604" s="1"/>
  <c r="J627" i="10"/>
  <c r="AP627" s="1"/>
  <c r="BN627" s="1"/>
  <c r="AK627"/>
  <c r="AJ627"/>
  <c r="N627"/>
  <c r="AR627" s="1"/>
  <c r="BP627" s="1"/>
  <c r="AB627"/>
  <c r="N626"/>
  <c r="AK628"/>
  <c r="AK626"/>
  <c r="AJ628"/>
  <c r="AJ626"/>
  <c r="N628"/>
  <c r="AR628" s="1"/>
  <c r="BP628" s="1"/>
  <c r="X604"/>
  <c r="J605"/>
  <c r="AP605" s="1"/>
  <c r="BN605" s="1"/>
  <c r="K605"/>
  <c r="L605"/>
  <c r="M605"/>
  <c r="N605"/>
  <c r="O605"/>
  <c r="P605"/>
  <c r="Q605"/>
  <c r="R605"/>
  <c r="S605"/>
  <c r="T605"/>
  <c r="U605"/>
  <c r="V605"/>
  <c r="W605"/>
  <c r="Y605"/>
  <c r="Z605"/>
  <c r="AA605"/>
  <c r="AB605"/>
  <c r="AC605"/>
  <c r="AD605"/>
  <c r="AE605"/>
  <c r="AF605"/>
  <c r="AG605"/>
  <c r="AH605"/>
  <c r="AI605"/>
  <c r="AL605"/>
  <c r="H605"/>
  <c r="C605"/>
  <c r="J613"/>
  <c r="AP613" s="1"/>
  <c r="BN613" s="1"/>
  <c r="K613"/>
  <c r="L613"/>
  <c r="M613"/>
  <c r="N613"/>
  <c r="O613"/>
  <c r="P613"/>
  <c r="Q613"/>
  <c r="R613"/>
  <c r="S613"/>
  <c r="T613"/>
  <c r="U613"/>
  <c r="V613"/>
  <c r="W613"/>
  <c r="Y613"/>
  <c r="Z613"/>
  <c r="AA613"/>
  <c r="AB613"/>
  <c r="AC613"/>
  <c r="AD613"/>
  <c r="AE613"/>
  <c r="AF613"/>
  <c r="AG613"/>
  <c r="AH613"/>
  <c r="AI613"/>
  <c r="AL613"/>
  <c r="AM613"/>
  <c r="AN613"/>
  <c r="H613"/>
  <c r="C613"/>
  <c r="J617"/>
  <c r="AP617" s="1"/>
  <c r="BN617" s="1"/>
  <c r="K617"/>
  <c r="L617"/>
  <c r="M617"/>
  <c r="N617"/>
  <c r="O617"/>
  <c r="P617"/>
  <c r="Q617"/>
  <c r="R617"/>
  <c r="S617"/>
  <c r="T617"/>
  <c r="U617"/>
  <c r="V617"/>
  <c r="W617"/>
  <c r="Y617"/>
  <c r="Z617"/>
  <c r="AA617"/>
  <c r="AB617"/>
  <c r="AC617"/>
  <c r="AD617"/>
  <c r="AE617"/>
  <c r="AF617"/>
  <c r="AG617"/>
  <c r="AH617"/>
  <c r="AI617"/>
  <c r="AL617"/>
  <c r="H617"/>
  <c r="C617"/>
  <c r="X616"/>
  <c r="AW616" s="1"/>
  <c r="BU616" s="1"/>
  <c r="J620"/>
  <c r="AP620" s="1"/>
  <c r="BN620" s="1"/>
  <c r="K620"/>
  <c r="L620"/>
  <c r="M620"/>
  <c r="N620"/>
  <c r="O620"/>
  <c r="P620"/>
  <c r="Q620"/>
  <c r="R620"/>
  <c r="S620"/>
  <c r="T620"/>
  <c r="U620"/>
  <c r="V620"/>
  <c r="W620"/>
  <c r="Y620"/>
  <c r="Z620"/>
  <c r="AA620"/>
  <c r="AB620"/>
  <c r="AC620"/>
  <c r="AD620"/>
  <c r="AE620"/>
  <c r="AF620"/>
  <c r="AG620"/>
  <c r="AH620"/>
  <c r="AI620"/>
  <c r="AL620"/>
  <c r="H620"/>
  <c r="X619"/>
  <c r="C620"/>
  <c r="J624"/>
  <c r="AP624" s="1"/>
  <c r="BN624" s="1"/>
  <c r="K624"/>
  <c r="L624"/>
  <c r="M624"/>
  <c r="N624"/>
  <c r="O624"/>
  <c r="P624"/>
  <c r="Q624"/>
  <c r="R624"/>
  <c r="S624"/>
  <c r="T624"/>
  <c r="U624"/>
  <c r="V624"/>
  <c r="W624"/>
  <c r="Y624"/>
  <c r="Z624"/>
  <c r="AA624"/>
  <c r="AB624"/>
  <c r="AC624"/>
  <c r="AD624"/>
  <c r="AE624"/>
  <c r="AF624"/>
  <c r="AG624"/>
  <c r="AH624"/>
  <c r="AI624"/>
  <c r="AL624"/>
  <c r="H624"/>
  <c r="C624"/>
  <c r="J629"/>
  <c r="AP629" s="1"/>
  <c r="BN629" s="1"/>
  <c r="K629"/>
  <c r="L629"/>
  <c r="M629"/>
  <c r="O629"/>
  <c r="P629"/>
  <c r="Q629"/>
  <c r="R629"/>
  <c r="S629"/>
  <c r="T629"/>
  <c r="U629"/>
  <c r="V629"/>
  <c r="W629"/>
  <c r="X629"/>
  <c r="Y629"/>
  <c r="Z629"/>
  <c r="AA629"/>
  <c r="AC629"/>
  <c r="AD629"/>
  <c r="AE629"/>
  <c r="AF629"/>
  <c r="AG629"/>
  <c r="AH629"/>
  <c r="AI629"/>
  <c r="AL629"/>
  <c r="H629"/>
  <c r="C629"/>
  <c r="J632"/>
  <c r="AP632" s="1"/>
  <c r="BN632" s="1"/>
  <c r="K632"/>
  <c r="L632"/>
  <c r="M632"/>
  <c r="N632"/>
  <c r="O632"/>
  <c r="P632"/>
  <c r="Q632"/>
  <c r="R632"/>
  <c r="S632"/>
  <c r="T632"/>
  <c r="U632"/>
  <c r="V632"/>
  <c r="W632"/>
  <c r="Y632"/>
  <c r="Z632"/>
  <c r="AA632"/>
  <c r="AB632"/>
  <c r="AC632"/>
  <c r="AD632"/>
  <c r="AE632"/>
  <c r="AF632"/>
  <c r="AG632"/>
  <c r="AH632"/>
  <c r="AI632"/>
  <c r="AL632"/>
  <c r="AM632"/>
  <c r="AN632"/>
  <c r="H632"/>
  <c r="C632"/>
  <c r="J636"/>
  <c r="AP636" s="1"/>
  <c r="BN636" s="1"/>
  <c r="K636"/>
  <c r="L636"/>
  <c r="M636"/>
  <c r="N636"/>
  <c r="O636"/>
  <c r="P636"/>
  <c r="Q636"/>
  <c r="R636"/>
  <c r="S636"/>
  <c r="T636"/>
  <c r="U636"/>
  <c r="V636"/>
  <c r="W636"/>
  <c r="Y636"/>
  <c r="Z636"/>
  <c r="AA636"/>
  <c r="AB636"/>
  <c r="AC636"/>
  <c r="AD636"/>
  <c r="AE636"/>
  <c r="AF636"/>
  <c r="AG636"/>
  <c r="AH636"/>
  <c r="AI636"/>
  <c r="AL636"/>
  <c r="AM636"/>
  <c r="AN636"/>
  <c r="H636"/>
  <c r="C636"/>
  <c r="J640"/>
  <c r="AP640" s="1"/>
  <c r="BN640" s="1"/>
  <c r="K640"/>
  <c r="L640"/>
  <c r="M640"/>
  <c r="N640"/>
  <c r="O640"/>
  <c r="P640"/>
  <c r="Q640"/>
  <c r="R640"/>
  <c r="S640"/>
  <c r="T640"/>
  <c r="U640"/>
  <c r="V640"/>
  <c r="W640"/>
  <c r="Y640"/>
  <c r="Z640"/>
  <c r="AA640"/>
  <c r="AB640"/>
  <c r="AC640"/>
  <c r="AD640"/>
  <c r="AE640"/>
  <c r="AF640"/>
  <c r="AG640"/>
  <c r="AH640"/>
  <c r="AI640"/>
  <c r="AL640"/>
  <c r="H640"/>
  <c r="C640"/>
  <c r="J643"/>
  <c r="AP643" s="1"/>
  <c r="BN643" s="1"/>
  <c r="K643"/>
  <c r="L643"/>
  <c r="M643"/>
  <c r="N643"/>
  <c r="O643"/>
  <c r="P643"/>
  <c r="Q643"/>
  <c r="R643"/>
  <c r="S643"/>
  <c r="T643"/>
  <c r="U643"/>
  <c r="V643"/>
  <c r="W643"/>
  <c r="Y643"/>
  <c r="Z643"/>
  <c r="AA643"/>
  <c r="AB643"/>
  <c r="AC643"/>
  <c r="AD643"/>
  <c r="AE643"/>
  <c r="AF643"/>
  <c r="AG643"/>
  <c r="AH643"/>
  <c r="AI643"/>
  <c r="AL643"/>
  <c r="H643"/>
  <c r="C643"/>
  <c r="J650"/>
  <c r="AP650" s="1"/>
  <c r="BN650" s="1"/>
  <c r="K650"/>
  <c r="L650"/>
  <c r="M650"/>
  <c r="N650"/>
  <c r="O650"/>
  <c r="P650"/>
  <c r="Q650"/>
  <c r="R650"/>
  <c r="S650"/>
  <c r="T650"/>
  <c r="U650"/>
  <c r="V650"/>
  <c r="W650"/>
  <c r="Y650"/>
  <c r="Z650"/>
  <c r="AA650"/>
  <c r="AB650"/>
  <c r="AC650"/>
  <c r="AD650"/>
  <c r="AE650"/>
  <c r="AF650"/>
  <c r="AG650"/>
  <c r="AH650"/>
  <c r="AI650"/>
  <c r="AL650"/>
  <c r="AM650"/>
  <c r="AN650"/>
  <c r="H650"/>
  <c r="C650"/>
  <c r="J653"/>
  <c r="AP653" s="1"/>
  <c r="BN653" s="1"/>
  <c r="K653"/>
  <c r="L653"/>
  <c r="M653"/>
  <c r="N653"/>
  <c r="O653"/>
  <c r="P653"/>
  <c r="Q653"/>
  <c r="R653"/>
  <c r="S653"/>
  <c r="T653"/>
  <c r="U653"/>
  <c r="V653"/>
  <c r="W653"/>
  <c r="Y653"/>
  <c r="Z653"/>
  <c r="AA653"/>
  <c r="AB653"/>
  <c r="AC653"/>
  <c r="AD653"/>
  <c r="AE653"/>
  <c r="AF653"/>
  <c r="AG653"/>
  <c r="AH653"/>
  <c r="AI653"/>
  <c r="AL653"/>
  <c r="H653"/>
  <c r="C653"/>
  <c r="J656"/>
  <c r="AP656" s="1"/>
  <c r="BN656" s="1"/>
  <c r="K656"/>
  <c r="L656"/>
  <c r="M656"/>
  <c r="N656"/>
  <c r="O656"/>
  <c r="P656"/>
  <c r="Q656"/>
  <c r="R656"/>
  <c r="S656"/>
  <c r="T656"/>
  <c r="U656"/>
  <c r="V656"/>
  <c r="W656"/>
  <c r="Y656"/>
  <c r="Z656"/>
  <c r="AA656"/>
  <c r="AB656"/>
  <c r="AC656"/>
  <c r="AD656"/>
  <c r="AE656"/>
  <c r="AF656"/>
  <c r="AG656"/>
  <c r="AH656"/>
  <c r="AI656"/>
  <c r="AL656"/>
  <c r="AM656"/>
  <c r="AN656"/>
  <c r="H656"/>
  <c r="C656"/>
  <c r="J659"/>
  <c r="AP659" s="1"/>
  <c r="BN659" s="1"/>
  <c r="K659"/>
  <c r="L659"/>
  <c r="M659"/>
  <c r="N659"/>
  <c r="O659"/>
  <c r="P659"/>
  <c r="Q659"/>
  <c r="R659"/>
  <c r="S659"/>
  <c r="T659"/>
  <c r="U659"/>
  <c r="V659"/>
  <c r="W659"/>
  <c r="Y659"/>
  <c r="Z659"/>
  <c r="AA659"/>
  <c r="AB659"/>
  <c r="AC659"/>
  <c r="AD659"/>
  <c r="AE659"/>
  <c r="AF659"/>
  <c r="AG659"/>
  <c r="AH659"/>
  <c r="AI659"/>
  <c r="AL659"/>
  <c r="H659"/>
  <c r="C659"/>
  <c r="J663"/>
  <c r="AP663" s="1"/>
  <c r="BN663" s="1"/>
  <c r="K663"/>
  <c r="L663"/>
  <c r="M663"/>
  <c r="N663"/>
  <c r="O663"/>
  <c r="P663"/>
  <c r="Q663"/>
  <c r="R663"/>
  <c r="S663"/>
  <c r="T663"/>
  <c r="U663"/>
  <c r="V663"/>
  <c r="W663"/>
  <c r="Y663"/>
  <c r="Z663"/>
  <c r="AA663"/>
  <c r="AB663"/>
  <c r="AC663"/>
  <c r="AD663"/>
  <c r="AE663"/>
  <c r="AF663"/>
  <c r="AG663"/>
  <c r="AH663"/>
  <c r="AI663"/>
  <c r="AL663"/>
  <c r="AM663"/>
  <c r="AN663"/>
  <c r="H663"/>
  <c r="C663"/>
  <c r="J670"/>
  <c r="AP670" s="1"/>
  <c r="BN670" s="1"/>
  <c r="K670"/>
  <c r="L670"/>
  <c r="M670"/>
  <c r="N670"/>
  <c r="O670"/>
  <c r="P670"/>
  <c r="Q670"/>
  <c r="R670"/>
  <c r="S670"/>
  <c r="T670"/>
  <c r="U670"/>
  <c r="V670"/>
  <c r="W670"/>
  <c r="Y670"/>
  <c r="Z670"/>
  <c r="AA670"/>
  <c r="AB670"/>
  <c r="AC670"/>
  <c r="AD670"/>
  <c r="AE670"/>
  <c r="AF670"/>
  <c r="AG670"/>
  <c r="AH670"/>
  <c r="AI670"/>
  <c r="AL670"/>
  <c r="H670"/>
  <c r="C670"/>
  <c r="J675"/>
  <c r="AP675" s="1"/>
  <c r="BN675" s="1"/>
  <c r="K675"/>
  <c r="L675"/>
  <c r="M675"/>
  <c r="N675"/>
  <c r="O675"/>
  <c r="P675"/>
  <c r="Q675"/>
  <c r="R675"/>
  <c r="S675"/>
  <c r="T675"/>
  <c r="U675"/>
  <c r="V675"/>
  <c r="W675"/>
  <c r="Y675"/>
  <c r="Z675"/>
  <c r="AA675"/>
  <c r="AB675"/>
  <c r="AC675"/>
  <c r="AD675"/>
  <c r="AE675"/>
  <c r="AF675"/>
  <c r="AG675"/>
  <c r="AH675"/>
  <c r="AI675"/>
  <c r="AL675"/>
  <c r="H675"/>
  <c r="C675"/>
  <c r="J678"/>
  <c r="AP678" s="1"/>
  <c r="BN678" s="1"/>
  <c r="K678"/>
  <c r="L678"/>
  <c r="M678"/>
  <c r="N678"/>
  <c r="O678"/>
  <c r="P678"/>
  <c r="Q678"/>
  <c r="R678"/>
  <c r="S678"/>
  <c r="T678"/>
  <c r="U678"/>
  <c r="V678"/>
  <c r="W678"/>
  <c r="Y678"/>
  <c r="Z678"/>
  <c r="AA678"/>
  <c r="AB678"/>
  <c r="AC678"/>
  <c r="AD678"/>
  <c r="AE678"/>
  <c r="AF678"/>
  <c r="AG678"/>
  <c r="AH678"/>
  <c r="AI678"/>
  <c r="AL678"/>
  <c r="AM678"/>
  <c r="AN678"/>
  <c r="H678"/>
  <c r="C678"/>
  <c r="J688"/>
  <c r="AP688" s="1"/>
  <c r="BN688" s="1"/>
  <c r="K688"/>
  <c r="L688"/>
  <c r="M688"/>
  <c r="N688"/>
  <c r="O688"/>
  <c r="P688"/>
  <c r="Q688"/>
  <c r="R688"/>
  <c r="S688"/>
  <c r="T688"/>
  <c r="U688"/>
  <c r="V688"/>
  <c r="W688"/>
  <c r="Y688"/>
  <c r="Z688"/>
  <c r="AA688"/>
  <c r="AB688"/>
  <c r="AC688"/>
  <c r="AD688"/>
  <c r="AE688"/>
  <c r="AF688"/>
  <c r="AG688"/>
  <c r="AH688"/>
  <c r="AI688"/>
  <c r="AL688"/>
  <c r="H688"/>
  <c r="C688"/>
  <c r="J691"/>
  <c r="AP691" s="1"/>
  <c r="BN691" s="1"/>
  <c r="K691"/>
  <c r="L691"/>
  <c r="M691"/>
  <c r="N691"/>
  <c r="O691"/>
  <c r="P691"/>
  <c r="Q691"/>
  <c r="R691"/>
  <c r="S691"/>
  <c r="T691"/>
  <c r="U691"/>
  <c r="V691"/>
  <c r="W691"/>
  <c r="Y691"/>
  <c r="Z691"/>
  <c r="AA691"/>
  <c r="AB691"/>
  <c r="AC691"/>
  <c r="AD691"/>
  <c r="AE691"/>
  <c r="AF691"/>
  <c r="AG691"/>
  <c r="AH691"/>
  <c r="AI691"/>
  <c r="AL691"/>
  <c r="H691"/>
  <c r="C691"/>
  <c r="AK690"/>
  <c r="AK691" s="1"/>
  <c r="AJ690"/>
  <c r="AJ691" s="1"/>
  <c r="X690"/>
  <c r="I690"/>
  <c r="I691" s="1"/>
  <c r="AK687"/>
  <c r="AJ687"/>
  <c r="X687"/>
  <c r="AW687" s="1"/>
  <c r="BU687" s="1"/>
  <c r="I687"/>
  <c r="AK686"/>
  <c r="AJ686"/>
  <c r="X686"/>
  <c r="AW686" s="1"/>
  <c r="BU686" s="1"/>
  <c r="I686"/>
  <c r="AK685"/>
  <c r="AJ685"/>
  <c r="X685"/>
  <c r="AW685" s="1"/>
  <c r="BU685" s="1"/>
  <c r="I685"/>
  <c r="AK684"/>
  <c r="AJ684"/>
  <c r="X684"/>
  <c r="AW684" s="1"/>
  <c r="BU684" s="1"/>
  <c r="I684"/>
  <c r="AK683"/>
  <c r="AJ683"/>
  <c r="X683"/>
  <c r="AW683" s="1"/>
  <c r="BU683" s="1"/>
  <c r="I683"/>
  <c r="AK682"/>
  <c r="AJ682"/>
  <c r="X682"/>
  <c r="AW682" s="1"/>
  <c r="BU682" s="1"/>
  <c r="I682"/>
  <c r="AK681"/>
  <c r="AJ681"/>
  <c r="X681"/>
  <c r="AW681" s="1"/>
  <c r="BU681" s="1"/>
  <c r="I681"/>
  <c r="AK680"/>
  <c r="AK688" s="1"/>
  <c r="AJ680"/>
  <c r="AJ688" s="1"/>
  <c r="X680"/>
  <c r="I680"/>
  <c r="I688" s="1"/>
  <c r="AK677"/>
  <c r="AK678" s="1"/>
  <c r="AJ677"/>
  <c r="AJ678" s="1"/>
  <c r="X677"/>
  <c r="I677"/>
  <c r="I678" s="1"/>
  <c r="AK674"/>
  <c r="AJ674"/>
  <c r="X674"/>
  <c r="AW674" s="1"/>
  <c r="BU674" s="1"/>
  <c r="I674"/>
  <c r="AK673"/>
  <c r="AJ673"/>
  <c r="X673"/>
  <c r="AW673" s="1"/>
  <c r="BU673" s="1"/>
  <c r="I673"/>
  <c r="AK672"/>
  <c r="AK675" s="1"/>
  <c r="AJ672"/>
  <c r="AJ675" s="1"/>
  <c r="X672"/>
  <c r="I672"/>
  <c r="I675" s="1"/>
  <c r="AK669"/>
  <c r="AJ669"/>
  <c r="X669"/>
  <c r="AW669" s="1"/>
  <c r="BU669" s="1"/>
  <c r="I669"/>
  <c r="AK668"/>
  <c r="AJ668"/>
  <c r="X668"/>
  <c r="AW668" s="1"/>
  <c r="BU668" s="1"/>
  <c r="I668"/>
  <c r="AK667"/>
  <c r="AJ667"/>
  <c r="X667"/>
  <c r="AW667" s="1"/>
  <c r="BU667" s="1"/>
  <c r="I667"/>
  <c r="AK665"/>
  <c r="AJ665"/>
  <c r="X665"/>
  <c r="AW665" s="1"/>
  <c r="BU665" s="1"/>
  <c r="I665"/>
  <c r="AK666"/>
  <c r="AJ666"/>
  <c r="X666"/>
  <c r="AW666" s="1"/>
  <c r="BU666" s="1"/>
  <c r="I666"/>
  <c r="AK662"/>
  <c r="AJ662"/>
  <c r="X662"/>
  <c r="AW662" s="1"/>
  <c r="BU662" s="1"/>
  <c r="I662"/>
  <c r="AK661"/>
  <c r="AK663" s="1"/>
  <c r="AJ661"/>
  <c r="AJ663" s="1"/>
  <c r="X661"/>
  <c r="I661"/>
  <c r="I663" s="1"/>
  <c r="AK658"/>
  <c r="AK659" s="1"/>
  <c r="AJ658"/>
  <c r="AJ659" s="1"/>
  <c r="X658"/>
  <c r="I658"/>
  <c r="I659" s="1"/>
  <c r="AK655"/>
  <c r="AK656" s="1"/>
  <c r="AJ655"/>
  <c r="AJ656" s="1"/>
  <c r="X655"/>
  <c r="I655"/>
  <c r="I656" s="1"/>
  <c r="AK652"/>
  <c r="AK653" s="1"/>
  <c r="AJ652"/>
  <c r="AJ653" s="1"/>
  <c r="X652"/>
  <c r="I652"/>
  <c r="I653" s="1"/>
  <c r="AK649"/>
  <c r="AJ649"/>
  <c r="X649"/>
  <c r="AW649" s="1"/>
  <c r="BU649" s="1"/>
  <c r="I649"/>
  <c r="AK648"/>
  <c r="AJ648"/>
  <c r="X648"/>
  <c r="AW648" s="1"/>
  <c r="BU648" s="1"/>
  <c r="I648"/>
  <c r="AK647"/>
  <c r="AJ647"/>
  <c r="X647"/>
  <c r="AW647" s="1"/>
  <c r="BU647" s="1"/>
  <c r="I647"/>
  <c r="AK646"/>
  <c r="AJ646"/>
  <c r="X646"/>
  <c r="AW646" s="1"/>
  <c r="BU646" s="1"/>
  <c r="I646"/>
  <c r="AK645"/>
  <c r="AK650" s="1"/>
  <c r="AJ645"/>
  <c r="AJ650" s="1"/>
  <c r="X645"/>
  <c r="I645"/>
  <c r="I650" s="1"/>
  <c r="AK642"/>
  <c r="AK643" s="1"/>
  <c r="AJ642"/>
  <c r="AJ643" s="1"/>
  <c r="X642"/>
  <c r="I642"/>
  <c r="I643" s="1"/>
  <c r="AK639"/>
  <c r="AJ639"/>
  <c r="X639"/>
  <c r="AW639" s="1"/>
  <c r="BU639" s="1"/>
  <c r="I639"/>
  <c r="AK638"/>
  <c r="AK640" s="1"/>
  <c r="AJ638"/>
  <c r="AJ640" s="1"/>
  <c r="X638"/>
  <c r="I638"/>
  <c r="I640" s="1"/>
  <c r="AK635"/>
  <c r="AJ635"/>
  <c r="X635"/>
  <c r="AW635" s="1"/>
  <c r="BU635" s="1"/>
  <c r="I635"/>
  <c r="AK634"/>
  <c r="AK636" s="1"/>
  <c r="AJ634"/>
  <c r="AJ636" s="1"/>
  <c r="X634"/>
  <c r="I634"/>
  <c r="I636" s="1"/>
  <c r="AK631"/>
  <c r="AK632" s="1"/>
  <c r="AJ631"/>
  <c r="AJ632" s="1"/>
  <c r="X631"/>
  <c r="I631"/>
  <c r="I632" s="1"/>
  <c r="AK623"/>
  <c r="AJ623"/>
  <c r="X623"/>
  <c r="AW623" s="1"/>
  <c r="BU623" s="1"/>
  <c r="I623"/>
  <c r="AK622"/>
  <c r="AK624" s="1"/>
  <c r="AJ622"/>
  <c r="AJ624" s="1"/>
  <c r="X622"/>
  <c r="I622"/>
  <c r="I624" s="1"/>
  <c r="AK619"/>
  <c r="AK620" s="1"/>
  <c r="AJ619"/>
  <c r="AJ620" s="1"/>
  <c r="I619"/>
  <c r="I620" s="1"/>
  <c r="AK616"/>
  <c r="AJ616"/>
  <c r="I616"/>
  <c r="AK615"/>
  <c r="AJ615"/>
  <c r="X615"/>
  <c r="AW615" s="1"/>
  <c r="BU615" s="1"/>
  <c r="I615"/>
  <c r="I617" s="1"/>
  <c r="AK612"/>
  <c r="AJ612"/>
  <c r="X612"/>
  <c r="AW612" s="1"/>
  <c r="BU612" s="1"/>
  <c r="I612"/>
  <c r="AK611"/>
  <c r="AJ611"/>
  <c r="X611"/>
  <c r="AW611" s="1"/>
  <c r="BU611" s="1"/>
  <c r="I611"/>
  <c r="AK610"/>
  <c r="AJ610"/>
  <c r="X610"/>
  <c r="AW610" s="1"/>
  <c r="BU610" s="1"/>
  <c r="I610"/>
  <c r="AK609"/>
  <c r="AJ609"/>
  <c r="X609"/>
  <c r="AW609" s="1"/>
  <c r="BU609" s="1"/>
  <c r="I609"/>
  <c r="AK608"/>
  <c r="AJ608"/>
  <c r="X608"/>
  <c r="AW608" s="1"/>
  <c r="BU608" s="1"/>
  <c r="I608"/>
  <c r="AK607"/>
  <c r="AK613" s="1"/>
  <c r="AJ607"/>
  <c r="AJ613" s="1"/>
  <c r="X607"/>
  <c r="I607"/>
  <c r="I613" s="1"/>
  <c r="AK604"/>
  <c r="AK605" s="1"/>
  <c r="AJ604"/>
  <c r="AJ605" s="1"/>
  <c r="I604"/>
  <c r="I605" s="1"/>
  <c r="J567" i="9"/>
  <c r="K567"/>
  <c r="D61" i="11" s="1"/>
  <c r="M567" i="9"/>
  <c r="N567"/>
  <c r="O567"/>
  <c r="Q567"/>
  <c r="R567"/>
  <c r="I567"/>
  <c r="C61" i="11" s="1"/>
  <c r="J570" i="9"/>
  <c r="K570"/>
  <c r="D62" i="11" s="1"/>
  <c r="M570" i="9"/>
  <c r="N570"/>
  <c r="O570"/>
  <c r="Q570"/>
  <c r="R570"/>
  <c r="I570"/>
  <c r="C62" i="11" s="1"/>
  <c r="J573" i="9"/>
  <c r="K573"/>
  <c r="D63" i="11" s="1"/>
  <c r="M573" i="9"/>
  <c r="N573"/>
  <c r="O573"/>
  <c r="Q573"/>
  <c r="R573"/>
  <c r="I573"/>
  <c r="C63" i="11" s="1"/>
  <c r="J584" i="9"/>
  <c r="K584"/>
  <c r="D64" i="11" s="1"/>
  <c r="M584" i="9"/>
  <c r="N584"/>
  <c r="O584"/>
  <c r="Q584"/>
  <c r="R584"/>
  <c r="I584"/>
  <c r="C64" i="11" s="1"/>
  <c r="J587" i="9"/>
  <c r="K587"/>
  <c r="D65" i="11" s="1"/>
  <c r="M587" i="9"/>
  <c r="N587"/>
  <c r="O587"/>
  <c r="Q587"/>
  <c r="R587"/>
  <c r="I587"/>
  <c r="C65" i="11" s="1"/>
  <c r="J590" i="9"/>
  <c r="K590"/>
  <c r="D66" i="11" s="1"/>
  <c r="M590" i="9"/>
  <c r="N590"/>
  <c r="O590"/>
  <c r="Q590"/>
  <c r="R590"/>
  <c r="I590"/>
  <c r="C66" i="11" s="1"/>
  <c r="J593" i="9"/>
  <c r="K593"/>
  <c r="D67" i="11" s="1"/>
  <c r="M593" i="9"/>
  <c r="N593"/>
  <c r="O593"/>
  <c r="Q593"/>
  <c r="R593"/>
  <c r="I593"/>
  <c r="C67" i="11" s="1"/>
  <c r="J601" i="9"/>
  <c r="K601"/>
  <c r="D68" i="11" s="1"/>
  <c r="M601" i="9"/>
  <c r="N601"/>
  <c r="O601"/>
  <c r="Q601"/>
  <c r="R601"/>
  <c r="I601"/>
  <c r="C68" i="11" s="1"/>
  <c r="L600" i="9"/>
  <c r="P600" s="1"/>
  <c r="L599"/>
  <c r="P599" s="1"/>
  <c r="L598"/>
  <c r="P598" s="1"/>
  <c r="L597"/>
  <c r="P597" s="1"/>
  <c r="L596"/>
  <c r="P596" s="1"/>
  <c r="L595"/>
  <c r="P595" s="1"/>
  <c r="L592"/>
  <c r="P592" s="1"/>
  <c r="P593" s="1"/>
  <c r="L589"/>
  <c r="P589" s="1"/>
  <c r="P590" s="1"/>
  <c r="L586"/>
  <c r="P586" s="1"/>
  <c r="P587" s="1"/>
  <c r="L576"/>
  <c r="P576" s="1"/>
  <c r="L577"/>
  <c r="P577" s="1"/>
  <c r="L578"/>
  <c r="P578" s="1"/>
  <c r="L579"/>
  <c r="P579" s="1"/>
  <c r="L580"/>
  <c r="P580" s="1"/>
  <c r="L581"/>
  <c r="P581" s="1"/>
  <c r="L582"/>
  <c r="P582" s="1"/>
  <c r="L583"/>
  <c r="P583" s="1"/>
  <c r="L575"/>
  <c r="P575" s="1"/>
  <c r="L572"/>
  <c r="P572" s="1"/>
  <c r="P573" s="1"/>
  <c r="L569"/>
  <c r="P569" s="1"/>
  <c r="P570" s="1"/>
  <c r="L566"/>
  <c r="P566" s="1"/>
  <c r="L565"/>
  <c r="P565" s="1"/>
  <c r="AJ579" i="10"/>
  <c r="AK579"/>
  <c r="AI579"/>
  <c r="R579"/>
  <c r="T579"/>
  <c r="P579"/>
  <c r="N579"/>
  <c r="L579"/>
  <c r="J579"/>
  <c r="X587"/>
  <c r="X580"/>
  <c r="AW580" s="1"/>
  <c r="BU580" s="1"/>
  <c r="J568"/>
  <c r="AP568" s="1"/>
  <c r="BN568" s="1"/>
  <c r="K568"/>
  <c r="L568"/>
  <c r="M568"/>
  <c r="N568"/>
  <c r="O568"/>
  <c r="P568"/>
  <c r="Q568"/>
  <c r="R568"/>
  <c r="S568"/>
  <c r="T568"/>
  <c r="U568"/>
  <c r="V568"/>
  <c r="W568"/>
  <c r="Y568"/>
  <c r="Z568"/>
  <c r="AA568"/>
  <c r="AB568"/>
  <c r="AC568"/>
  <c r="AD568"/>
  <c r="AE568"/>
  <c r="AF568"/>
  <c r="AG568"/>
  <c r="AH568"/>
  <c r="AI568"/>
  <c r="AL568"/>
  <c r="AM568"/>
  <c r="AN568"/>
  <c r="H568"/>
  <c r="C568"/>
  <c r="J571"/>
  <c r="AP571" s="1"/>
  <c r="BN571" s="1"/>
  <c r="K571"/>
  <c r="L571"/>
  <c r="M571"/>
  <c r="N571"/>
  <c r="O571"/>
  <c r="P571"/>
  <c r="Q571"/>
  <c r="R571"/>
  <c r="S571"/>
  <c r="T571"/>
  <c r="U571"/>
  <c r="V571"/>
  <c r="W571"/>
  <c r="Y571"/>
  <c r="Z571"/>
  <c r="AA571"/>
  <c r="AB571"/>
  <c r="AC571"/>
  <c r="AD571"/>
  <c r="AE571"/>
  <c r="AF571"/>
  <c r="AG571"/>
  <c r="AH571"/>
  <c r="AI571"/>
  <c r="AL571"/>
  <c r="H571"/>
  <c r="C571"/>
  <c r="J574"/>
  <c r="AP574" s="1"/>
  <c r="BN574" s="1"/>
  <c r="K574"/>
  <c r="L574"/>
  <c r="M574"/>
  <c r="N574"/>
  <c r="O574"/>
  <c r="P574"/>
  <c r="Q574"/>
  <c r="R574"/>
  <c r="S574"/>
  <c r="T574"/>
  <c r="U574"/>
  <c r="V574"/>
  <c r="W574"/>
  <c r="Y574"/>
  <c r="Z574"/>
  <c r="AA574"/>
  <c r="AB574"/>
  <c r="AC574"/>
  <c r="AD574"/>
  <c r="AE574"/>
  <c r="AF574"/>
  <c r="AG574"/>
  <c r="AH574"/>
  <c r="AI574"/>
  <c r="AL574"/>
  <c r="H574"/>
  <c r="C574"/>
  <c r="K585"/>
  <c r="M585"/>
  <c r="O585"/>
  <c r="Q585"/>
  <c r="S585"/>
  <c r="U585"/>
  <c r="V585"/>
  <c r="W585"/>
  <c r="Y585"/>
  <c r="Z585"/>
  <c r="AA585"/>
  <c r="AB585"/>
  <c r="AC585"/>
  <c r="AD585"/>
  <c r="AE585"/>
  <c r="AF585"/>
  <c r="AG585"/>
  <c r="AH585"/>
  <c r="AL585"/>
  <c r="AM585"/>
  <c r="AN585"/>
  <c r="H585"/>
  <c r="C585"/>
  <c r="J588"/>
  <c r="AP588" s="1"/>
  <c r="BN588" s="1"/>
  <c r="K588"/>
  <c r="L588"/>
  <c r="M588"/>
  <c r="N588"/>
  <c r="O588"/>
  <c r="P588"/>
  <c r="Q588"/>
  <c r="R588"/>
  <c r="S588"/>
  <c r="T588"/>
  <c r="U588"/>
  <c r="V588"/>
  <c r="W588"/>
  <c r="Y588"/>
  <c r="Z588"/>
  <c r="AA588"/>
  <c r="AB588"/>
  <c r="AC588"/>
  <c r="AD588"/>
  <c r="AE588"/>
  <c r="AF588"/>
  <c r="AG588"/>
  <c r="AH588"/>
  <c r="AI588"/>
  <c r="AL588"/>
  <c r="H588"/>
  <c r="C588"/>
  <c r="J591"/>
  <c r="AP591" s="1"/>
  <c r="BN591" s="1"/>
  <c r="K591"/>
  <c r="L591"/>
  <c r="M591"/>
  <c r="N591"/>
  <c r="O591"/>
  <c r="P591"/>
  <c r="Q591"/>
  <c r="R591"/>
  <c r="S591"/>
  <c r="T591"/>
  <c r="U591"/>
  <c r="V591"/>
  <c r="W591"/>
  <c r="Y591"/>
  <c r="Z591"/>
  <c r="AA591"/>
  <c r="AB591"/>
  <c r="AC591"/>
  <c r="AD591"/>
  <c r="AE591"/>
  <c r="AF591"/>
  <c r="AG591"/>
  <c r="AH591"/>
  <c r="AI591"/>
  <c r="AL591"/>
  <c r="H591"/>
  <c r="C591"/>
  <c r="J594"/>
  <c r="AP594" s="1"/>
  <c r="BN594" s="1"/>
  <c r="K594"/>
  <c r="L594"/>
  <c r="M594"/>
  <c r="N594"/>
  <c r="O594"/>
  <c r="P594"/>
  <c r="Q594"/>
  <c r="R594"/>
  <c r="S594"/>
  <c r="T594"/>
  <c r="U594"/>
  <c r="V594"/>
  <c r="W594"/>
  <c r="Y594"/>
  <c r="Z594"/>
  <c r="AA594"/>
  <c r="AB594"/>
  <c r="AC594"/>
  <c r="AD594"/>
  <c r="AE594"/>
  <c r="AF594"/>
  <c r="AG594"/>
  <c r="AH594"/>
  <c r="AI594"/>
  <c r="AL594"/>
  <c r="H594"/>
  <c r="C594"/>
  <c r="J602"/>
  <c r="AP602" s="1"/>
  <c r="BN602" s="1"/>
  <c r="K602"/>
  <c r="L602"/>
  <c r="M602"/>
  <c r="N602"/>
  <c r="O602"/>
  <c r="P602"/>
  <c r="Q602"/>
  <c r="R602"/>
  <c r="S602"/>
  <c r="T602"/>
  <c r="U602"/>
  <c r="V602"/>
  <c r="W602"/>
  <c r="Y602"/>
  <c r="Z602"/>
  <c r="AA602"/>
  <c r="AB602"/>
  <c r="AC602"/>
  <c r="AD602"/>
  <c r="AE602"/>
  <c r="AF602"/>
  <c r="AG602"/>
  <c r="AH602"/>
  <c r="AI602"/>
  <c r="AL602"/>
  <c r="H602"/>
  <c r="C602"/>
  <c r="AK601"/>
  <c r="AJ601"/>
  <c r="X601"/>
  <c r="AW601" s="1"/>
  <c r="BU601" s="1"/>
  <c r="I601"/>
  <c r="AK600"/>
  <c r="AJ600"/>
  <c r="X600"/>
  <c r="AW600" s="1"/>
  <c r="BU600" s="1"/>
  <c r="I600"/>
  <c r="AK599"/>
  <c r="AJ599"/>
  <c r="X599"/>
  <c r="AW599" s="1"/>
  <c r="BU599" s="1"/>
  <c r="I599"/>
  <c r="AK598"/>
  <c r="AJ598"/>
  <c r="X598"/>
  <c r="AW598" s="1"/>
  <c r="BU598" s="1"/>
  <c r="I598"/>
  <c r="AK597"/>
  <c r="AJ597"/>
  <c r="X597"/>
  <c r="AW597" s="1"/>
  <c r="BU597" s="1"/>
  <c r="I597"/>
  <c r="AK596"/>
  <c r="AK602" s="1"/>
  <c r="AJ596"/>
  <c r="AJ602" s="1"/>
  <c r="X596"/>
  <c r="I596"/>
  <c r="AK593"/>
  <c r="AK594" s="1"/>
  <c r="AJ593"/>
  <c r="AJ594" s="1"/>
  <c r="X593"/>
  <c r="I593"/>
  <c r="I594" s="1"/>
  <c r="AK590"/>
  <c r="AK591" s="1"/>
  <c r="AJ590"/>
  <c r="AJ591" s="1"/>
  <c r="X590"/>
  <c r="I590"/>
  <c r="I591" s="1"/>
  <c r="AK587"/>
  <c r="AK588" s="1"/>
  <c r="AJ587"/>
  <c r="AJ588" s="1"/>
  <c r="I587"/>
  <c r="I588" s="1"/>
  <c r="AK584"/>
  <c r="AJ584"/>
  <c r="X584"/>
  <c r="AW584" s="1"/>
  <c r="BU584" s="1"/>
  <c r="I584"/>
  <c r="AK583"/>
  <c r="AJ583"/>
  <c r="X583"/>
  <c r="AW583" s="1"/>
  <c r="BU583" s="1"/>
  <c r="I583"/>
  <c r="AK582"/>
  <c r="AJ582"/>
  <c r="X582"/>
  <c r="AW582" s="1"/>
  <c r="BU582" s="1"/>
  <c r="I582"/>
  <c r="AK581"/>
  <c r="AJ581"/>
  <c r="X581"/>
  <c r="AW581" s="1"/>
  <c r="BU581" s="1"/>
  <c r="I581"/>
  <c r="AK580"/>
  <c r="AJ580"/>
  <c r="I580"/>
  <c r="AK578"/>
  <c r="AJ578"/>
  <c r="X578"/>
  <c r="AW578" s="1"/>
  <c r="BU578" s="1"/>
  <c r="I578"/>
  <c r="AK577"/>
  <c r="AJ577"/>
  <c r="X577"/>
  <c r="AW577" s="1"/>
  <c r="BU577" s="1"/>
  <c r="I577"/>
  <c r="AK576"/>
  <c r="AJ576"/>
  <c r="X576"/>
  <c r="AW576" s="1"/>
  <c r="BU576" s="1"/>
  <c r="I576"/>
  <c r="AK573"/>
  <c r="AK574" s="1"/>
  <c r="AJ573"/>
  <c r="AJ574" s="1"/>
  <c r="X573"/>
  <c r="I573"/>
  <c r="I574" s="1"/>
  <c r="AK570"/>
  <c r="AK571" s="1"/>
  <c r="AJ570"/>
  <c r="AJ571" s="1"/>
  <c r="X570"/>
  <c r="I570"/>
  <c r="I571" s="1"/>
  <c r="AK567"/>
  <c r="AJ567"/>
  <c r="X567"/>
  <c r="AW567" s="1"/>
  <c r="BU567" s="1"/>
  <c r="I567"/>
  <c r="AK566"/>
  <c r="AK568" s="1"/>
  <c r="AJ566"/>
  <c r="AJ568" s="1"/>
  <c r="X566"/>
  <c r="I566"/>
  <c r="I568" s="1"/>
  <c r="J549" i="9"/>
  <c r="K549"/>
  <c r="D57" i="11" s="1"/>
  <c r="M549" i="9"/>
  <c r="N549"/>
  <c r="O549"/>
  <c r="Q549"/>
  <c r="R549"/>
  <c r="I549"/>
  <c r="C57" i="11" s="1"/>
  <c r="R557" i="9"/>
  <c r="J553"/>
  <c r="K553"/>
  <c r="D58" i="11" s="1"/>
  <c r="M553" i="9"/>
  <c r="N553"/>
  <c r="O553"/>
  <c r="Q553"/>
  <c r="R553"/>
  <c r="I553"/>
  <c r="C58" i="11" s="1"/>
  <c r="J557" i="9"/>
  <c r="K557"/>
  <c r="D59" i="11" s="1"/>
  <c r="M557" i="9"/>
  <c r="N557"/>
  <c r="O557"/>
  <c r="Q557"/>
  <c r="I557"/>
  <c r="C59" i="11" s="1"/>
  <c r="J563" i="9"/>
  <c r="K563"/>
  <c r="D60" i="11" s="1"/>
  <c r="M563" i="9"/>
  <c r="N563"/>
  <c r="O563"/>
  <c r="Q563"/>
  <c r="R563"/>
  <c r="I563"/>
  <c r="C60" i="11" s="1"/>
  <c r="L562" i="9"/>
  <c r="P562" s="1"/>
  <c r="L561"/>
  <c r="P561" s="1"/>
  <c r="L560"/>
  <c r="P560" s="1"/>
  <c r="L559"/>
  <c r="P559" s="1"/>
  <c r="L556"/>
  <c r="P556" s="1"/>
  <c r="L555"/>
  <c r="P555" s="1"/>
  <c r="L552"/>
  <c r="P552" s="1"/>
  <c r="L551"/>
  <c r="P551" s="1"/>
  <c r="L548"/>
  <c r="P548" s="1"/>
  <c r="P549" s="1"/>
  <c r="J564" i="10"/>
  <c r="AP564" s="1"/>
  <c r="BN564" s="1"/>
  <c r="K564"/>
  <c r="L564"/>
  <c r="M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L564"/>
  <c r="H564"/>
  <c r="C564"/>
  <c r="N561"/>
  <c r="AR561" s="1"/>
  <c r="BP561" s="1"/>
  <c r="N563"/>
  <c r="AJ561"/>
  <c r="AJ562"/>
  <c r="AJ563"/>
  <c r="AJ560"/>
  <c r="AK561"/>
  <c r="AK562"/>
  <c r="AK563"/>
  <c r="AK560"/>
  <c r="AI563"/>
  <c r="BA563" s="1"/>
  <c r="BY563" s="1"/>
  <c r="AI562"/>
  <c r="BA562" s="1"/>
  <c r="BY562" s="1"/>
  <c r="AI561"/>
  <c r="BA561" s="1"/>
  <c r="BY561" s="1"/>
  <c r="AI560"/>
  <c r="BA560" s="1"/>
  <c r="BY560" s="1"/>
  <c r="N562"/>
  <c r="N560"/>
  <c r="AR560" s="1"/>
  <c r="BP560" s="1"/>
  <c r="I561"/>
  <c r="J558"/>
  <c r="AP558" s="1"/>
  <c r="BN558" s="1"/>
  <c r="K558"/>
  <c r="L558"/>
  <c r="M558"/>
  <c r="N558"/>
  <c r="O558"/>
  <c r="P558"/>
  <c r="Q558"/>
  <c r="R558"/>
  <c r="S558"/>
  <c r="U558"/>
  <c r="V558"/>
  <c r="W558"/>
  <c r="X558"/>
  <c r="Y558"/>
  <c r="Z558"/>
  <c r="AA558"/>
  <c r="AB558"/>
  <c r="AC558"/>
  <c r="AD558"/>
  <c r="AE558"/>
  <c r="AF558"/>
  <c r="AG558"/>
  <c r="AH558"/>
  <c r="AI558"/>
  <c r="AL558"/>
  <c r="H558"/>
  <c r="C558"/>
  <c r="AK557"/>
  <c r="AK558" s="1"/>
  <c r="AJ557"/>
  <c r="T557"/>
  <c r="AK556"/>
  <c r="AJ556"/>
  <c r="AI556"/>
  <c r="BA556" s="1"/>
  <c r="BY556" s="1"/>
  <c r="T556"/>
  <c r="AU556" s="1"/>
  <c r="BS556" s="1"/>
  <c r="P556"/>
  <c r="AS556" s="1"/>
  <c r="BQ556" s="1"/>
  <c r="J554"/>
  <c r="AP554" s="1"/>
  <c r="BN554" s="1"/>
  <c r="K554"/>
  <c r="L554"/>
  <c r="M554"/>
  <c r="N554"/>
  <c r="O554"/>
  <c r="P554"/>
  <c r="Q554"/>
  <c r="R554"/>
  <c r="S554"/>
  <c r="T554"/>
  <c r="U554"/>
  <c r="V554"/>
  <c r="W554"/>
  <c r="Y554"/>
  <c r="Z554"/>
  <c r="AA554"/>
  <c r="AB554"/>
  <c r="AC554"/>
  <c r="AD554"/>
  <c r="AE554"/>
  <c r="AF554"/>
  <c r="AG554"/>
  <c r="AH554"/>
  <c r="AI554"/>
  <c r="AL554"/>
  <c r="H554"/>
  <c r="C554"/>
  <c r="J550"/>
  <c r="AP550" s="1"/>
  <c r="BN550" s="1"/>
  <c r="K550"/>
  <c r="L550"/>
  <c r="M550"/>
  <c r="N550"/>
  <c r="O550"/>
  <c r="P550"/>
  <c r="Q550"/>
  <c r="R550"/>
  <c r="S550"/>
  <c r="T550"/>
  <c r="U550"/>
  <c r="V550"/>
  <c r="W550"/>
  <c r="Y550"/>
  <c r="Z550"/>
  <c r="AA550"/>
  <c r="AB550"/>
  <c r="AC550"/>
  <c r="AD550"/>
  <c r="AE550"/>
  <c r="AF550"/>
  <c r="AG550"/>
  <c r="AH550"/>
  <c r="AI550"/>
  <c r="AL550"/>
  <c r="H550"/>
  <c r="C550"/>
  <c r="R520" i="9"/>
  <c r="Q520"/>
  <c r="O520"/>
  <c r="N520"/>
  <c r="M520"/>
  <c r="K520"/>
  <c r="D53" i="11" s="1"/>
  <c r="J520" i="9"/>
  <c r="I520"/>
  <c r="C53" i="11" s="1"/>
  <c r="R531" i="9"/>
  <c r="R527"/>
  <c r="Q527"/>
  <c r="O527"/>
  <c r="N527"/>
  <c r="M527"/>
  <c r="K527"/>
  <c r="D54" i="11" s="1"/>
  <c r="J527" i="9"/>
  <c r="I527"/>
  <c r="C54" i="11" s="1"/>
  <c r="Q531" i="9"/>
  <c r="O531"/>
  <c r="N531"/>
  <c r="M531"/>
  <c r="K531"/>
  <c r="D55" i="11" s="1"/>
  <c r="J531" i="9"/>
  <c r="I553" i="10"/>
  <c r="I552"/>
  <c r="AK549"/>
  <c r="AK550" s="1"/>
  <c r="AJ549"/>
  <c r="AJ550" s="1"/>
  <c r="X549"/>
  <c r="I549"/>
  <c r="I550" s="1"/>
  <c r="I531" i="9"/>
  <c r="C55" i="11" s="1"/>
  <c r="L530" i="9"/>
  <c r="P530" s="1"/>
  <c r="L529"/>
  <c r="P529" s="1"/>
  <c r="L526"/>
  <c r="P526" s="1"/>
  <c r="L525"/>
  <c r="P525" s="1"/>
  <c r="L524"/>
  <c r="P524" s="1"/>
  <c r="L523"/>
  <c r="P523" s="1"/>
  <c r="L522"/>
  <c r="L519"/>
  <c r="P519" s="1"/>
  <c r="L518"/>
  <c r="P518" s="1"/>
  <c r="L517"/>
  <c r="P517" s="1"/>
  <c r="L534"/>
  <c r="P534" s="1"/>
  <c r="L535"/>
  <c r="P535" s="1"/>
  <c r="L536"/>
  <c r="P536" s="1"/>
  <c r="L537"/>
  <c r="P537" s="1"/>
  <c r="L538"/>
  <c r="P538" s="1"/>
  <c r="L539"/>
  <c r="P539" s="1"/>
  <c r="L540"/>
  <c r="P540" s="1"/>
  <c r="L541"/>
  <c r="P541" s="1"/>
  <c r="L542"/>
  <c r="P542" s="1"/>
  <c r="L543"/>
  <c r="P543" s="1"/>
  <c r="L544"/>
  <c r="P544" s="1"/>
  <c r="L545"/>
  <c r="P545" s="1"/>
  <c r="L533"/>
  <c r="P533" s="1"/>
  <c r="J546"/>
  <c r="K546"/>
  <c r="D56" i="11" s="1"/>
  <c r="M546" i="9"/>
  <c r="N546"/>
  <c r="O546"/>
  <c r="Q546"/>
  <c r="R546"/>
  <c r="I546"/>
  <c r="C56" i="11" s="1"/>
  <c r="AK546" i="10"/>
  <c r="AJ546"/>
  <c r="AI546"/>
  <c r="P546"/>
  <c r="T546"/>
  <c r="N546"/>
  <c r="L546"/>
  <c r="J546"/>
  <c r="AP546" s="1"/>
  <c r="BN546" s="1"/>
  <c r="K547"/>
  <c r="M547"/>
  <c r="O547"/>
  <c r="Q547"/>
  <c r="R547"/>
  <c r="S547"/>
  <c r="U547"/>
  <c r="V547"/>
  <c r="W547"/>
  <c r="Y547"/>
  <c r="Z547"/>
  <c r="AA547"/>
  <c r="AB547"/>
  <c r="AC547"/>
  <c r="AD547"/>
  <c r="AE547"/>
  <c r="AF547"/>
  <c r="AG547"/>
  <c r="AH547"/>
  <c r="AL547"/>
  <c r="H547"/>
  <c r="C547"/>
  <c r="J532"/>
  <c r="AP532" s="1"/>
  <c r="BN532" s="1"/>
  <c r="K532"/>
  <c r="L532"/>
  <c r="M532"/>
  <c r="N532"/>
  <c r="O532"/>
  <c r="P532"/>
  <c r="Q532"/>
  <c r="R532"/>
  <c r="S532"/>
  <c r="T532"/>
  <c r="U532"/>
  <c r="V532"/>
  <c r="W532"/>
  <c r="Y532"/>
  <c r="Z532"/>
  <c r="AA532"/>
  <c r="AB532"/>
  <c r="AC532"/>
  <c r="AD532"/>
  <c r="AE532"/>
  <c r="AF532"/>
  <c r="AG532"/>
  <c r="AH532"/>
  <c r="AI532"/>
  <c r="AL532"/>
  <c r="AM532"/>
  <c r="AN532"/>
  <c r="H532"/>
  <c r="C532"/>
  <c r="C528"/>
  <c r="J528"/>
  <c r="AP528" s="1"/>
  <c r="BN528" s="1"/>
  <c r="K528"/>
  <c r="L528"/>
  <c r="M528"/>
  <c r="N528"/>
  <c r="O528"/>
  <c r="P528"/>
  <c r="Q528"/>
  <c r="R528"/>
  <c r="S528"/>
  <c r="T528"/>
  <c r="U528"/>
  <c r="V528"/>
  <c r="W528"/>
  <c r="Y528"/>
  <c r="Z528"/>
  <c r="AA528"/>
  <c r="AB528"/>
  <c r="AC528"/>
  <c r="AD528"/>
  <c r="AE528"/>
  <c r="AF528"/>
  <c r="AG528"/>
  <c r="AH528"/>
  <c r="AI528"/>
  <c r="AL528"/>
  <c r="H528"/>
  <c r="J521"/>
  <c r="AP521" s="1"/>
  <c r="BN521" s="1"/>
  <c r="K521"/>
  <c r="L521"/>
  <c r="M521"/>
  <c r="N521"/>
  <c r="O521"/>
  <c r="P521"/>
  <c r="Q521"/>
  <c r="R521"/>
  <c r="S521"/>
  <c r="T521"/>
  <c r="U521"/>
  <c r="V521"/>
  <c r="W521"/>
  <c r="Y521"/>
  <c r="Z521"/>
  <c r="AA521"/>
  <c r="AB521"/>
  <c r="AC521"/>
  <c r="AD521"/>
  <c r="AE521"/>
  <c r="AF521"/>
  <c r="AG521"/>
  <c r="AH521"/>
  <c r="AI521"/>
  <c r="AL521"/>
  <c r="H521"/>
  <c r="C521"/>
  <c r="I536"/>
  <c r="X536"/>
  <c r="AW536" s="1"/>
  <c r="BU536" s="1"/>
  <c r="AJ536"/>
  <c r="AK536"/>
  <c r="I537"/>
  <c r="X537"/>
  <c r="AW537" s="1"/>
  <c r="BU537" s="1"/>
  <c r="AJ537"/>
  <c r="AK537"/>
  <c r="I538"/>
  <c r="X538"/>
  <c r="AW538" s="1"/>
  <c r="BU538" s="1"/>
  <c r="AJ538"/>
  <c r="AK538"/>
  <c r="I539"/>
  <c r="X539"/>
  <c r="AW539" s="1"/>
  <c r="BU539" s="1"/>
  <c r="AJ539"/>
  <c r="AK539"/>
  <c r="I540"/>
  <c r="X540"/>
  <c r="AW540" s="1"/>
  <c r="BU540" s="1"/>
  <c r="AJ540"/>
  <c r="AK540"/>
  <c r="I541"/>
  <c r="X541"/>
  <c r="AW541" s="1"/>
  <c r="BU541" s="1"/>
  <c r="AJ541"/>
  <c r="AK541"/>
  <c r="I542"/>
  <c r="X542"/>
  <c r="AW542" s="1"/>
  <c r="BU542" s="1"/>
  <c r="AJ542"/>
  <c r="AK542"/>
  <c r="I543"/>
  <c r="X543"/>
  <c r="AW543" s="1"/>
  <c r="BU543" s="1"/>
  <c r="AJ543"/>
  <c r="AK543"/>
  <c r="I544"/>
  <c r="X544"/>
  <c r="AW544" s="1"/>
  <c r="BU544" s="1"/>
  <c r="AJ544"/>
  <c r="AK544"/>
  <c r="I545"/>
  <c r="X545"/>
  <c r="AW545" s="1"/>
  <c r="BU545" s="1"/>
  <c r="AJ545"/>
  <c r="AK545"/>
  <c r="AK535"/>
  <c r="AJ535"/>
  <c r="X535"/>
  <c r="AW535" s="1"/>
  <c r="BU535" s="1"/>
  <c r="I535"/>
  <c r="AK534"/>
  <c r="AJ534"/>
  <c r="X534"/>
  <c r="AW534" s="1"/>
  <c r="BU534" s="1"/>
  <c r="I534"/>
  <c r="AK531"/>
  <c r="AJ531"/>
  <c r="X531"/>
  <c r="AW531" s="1"/>
  <c r="BU531" s="1"/>
  <c r="I531"/>
  <c r="AK530"/>
  <c r="AK532" s="1"/>
  <c r="AJ530"/>
  <c r="AJ532" s="1"/>
  <c r="X530"/>
  <c r="I530"/>
  <c r="I532" s="1"/>
  <c r="AK527"/>
  <c r="AJ527"/>
  <c r="X527"/>
  <c r="AW527" s="1"/>
  <c r="BU527" s="1"/>
  <c r="I527"/>
  <c r="AK526"/>
  <c r="AJ526"/>
  <c r="X526"/>
  <c r="AW526" s="1"/>
  <c r="BU526" s="1"/>
  <c r="I526"/>
  <c r="AK525"/>
  <c r="AJ525"/>
  <c r="X525"/>
  <c r="AW525" s="1"/>
  <c r="BU525" s="1"/>
  <c r="I525"/>
  <c r="AK524"/>
  <c r="AJ524"/>
  <c r="X524"/>
  <c r="AW524" s="1"/>
  <c r="BU524" s="1"/>
  <c r="I524"/>
  <c r="AK523"/>
  <c r="AK528" s="1"/>
  <c r="AJ523"/>
  <c r="AJ528" s="1"/>
  <c r="X523"/>
  <c r="I523"/>
  <c r="I528" s="1"/>
  <c r="AK520"/>
  <c r="AJ520"/>
  <c r="X520"/>
  <c r="AW520" s="1"/>
  <c r="BU520" s="1"/>
  <c r="I520"/>
  <c r="AK519"/>
  <c r="AJ519"/>
  <c r="X519"/>
  <c r="AW519" s="1"/>
  <c r="BU519" s="1"/>
  <c r="I519"/>
  <c r="AK518"/>
  <c r="AK521" s="1"/>
  <c r="AJ518"/>
  <c r="AJ521" s="1"/>
  <c r="X518"/>
  <c r="I518"/>
  <c r="I521" s="1"/>
  <c r="L504" i="9"/>
  <c r="P504" s="1"/>
  <c r="L505"/>
  <c r="P505" s="1"/>
  <c r="L506"/>
  <c r="P506" s="1"/>
  <c r="L507"/>
  <c r="P507" s="1"/>
  <c r="L508"/>
  <c r="P508" s="1"/>
  <c r="L509"/>
  <c r="P509" s="1"/>
  <c r="L510"/>
  <c r="P510" s="1"/>
  <c r="L511"/>
  <c r="P511" s="1"/>
  <c r="L512"/>
  <c r="P512" s="1"/>
  <c r="L513"/>
  <c r="P513" s="1"/>
  <c r="L514"/>
  <c r="P514" s="1"/>
  <c r="L503"/>
  <c r="P503" s="1"/>
  <c r="J515"/>
  <c r="K515"/>
  <c r="D52" i="11" s="1"/>
  <c r="M515" i="9"/>
  <c r="N515"/>
  <c r="O515"/>
  <c r="Q515"/>
  <c r="R515"/>
  <c r="I515"/>
  <c r="C52" i="11" s="1"/>
  <c r="J516" i="10"/>
  <c r="AP516" s="1"/>
  <c r="BN516" s="1"/>
  <c r="K516"/>
  <c r="L516"/>
  <c r="M516"/>
  <c r="N516"/>
  <c r="O516"/>
  <c r="P516"/>
  <c r="Q516"/>
  <c r="R516"/>
  <c r="S516"/>
  <c r="T516"/>
  <c r="U516"/>
  <c r="V516"/>
  <c r="W516"/>
  <c r="Y516"/>
  <c r="Z516"/>
  <c r="AA516"/>
  <c r="AB516"/>
  <c r="AC516"/>
  <c r="AD516"/>
  <c r="AE516"/>
  <c r="AF516"/>
  <c r="AG516"/>
  <c r="AH516"/>
  <c r="AI516"/>
  <c r="AL516"/>
  <c r="H516"/>
  <c r="C516"/>
  <c r="I507"/>
  <c r="X507"/>
  <c r="AW507" s="1"/>
  <c r="BU507" s="1"/>
  <c r="AJ507"/>
  <c r="AK507"/>
  <c r="I508"/>
  <c r="X508"/>
  <c r="AW508" s="1"/>
  <c r="BU508" s="1"/>
  <c r="AJ508"/>
  <c r="AK508"/>
  <c r="I509"/>
  <c r="X509"/>
  <c r="AW509" s="1"/>
  <c r="BU509" s="1"/>
  <c r="AJ509"/>
  <c r="AK509"/>
  <c r="I510"/>
  <c r="X510"/>
  <c r="AW510" s="1"/>
  <c r="BU510" s="1"/>
  <c r="AJ510"/>
  <c r="AK510"/>
  <c r="I511"/>
  <c r="X511"/>
  <c r="AW511" s="1"/>
  <c r="BU511" s="1"/>
  <c r="AJ511"/>
  <c r="AK511"/>
  <c r="I512"/>
  <c r="X512"/>
  <c r="AW512" s="1"/>
  <c r="BU512" s="1"/>
  <c r="AJ512"/>
  <c r="AK512"/>
  <c r="I513"/>
  <c r="X513"/>
  <c r="AW513" s="1"/>
  <c r="BU513" s="1"/>
  <c r="AJ513"/>
  <c r="AK513"/>
  <c r="I514"/>
  <c r="X514"/>
  <c r="AW514" s="1"/>
  <c r="BU514" s="1"/>
  <c r="AJ514"/>
  <c r="AK514"/>
  <c r="I515"/>
  <c r="X515"/>
  <c r="AW515" s="1"/>
  <c r="BU515" s="1"/>
  <c r="AJ515"/>
  <c r="AK515"/>
  <c r="AK506"/>
  <c r="AJ506"/>
  <c r="X506"/>
  <c r="AW506" s="1"/>
  <c r="BU506" s="1"/>
  <c r="I506"/>
  <c r="AK505"/>
  <c r="AJ505"/>
  <c r="X505"/>
  <c r="AW505" s="1"/>
  <c r="BU505" s="1"/>
  <c r="I505"/>
  <c r="AK504"/>
  <c r="AJ504"/>
  <c r="X504"/>
  <c r="AW504" s="1"/>
  <c r="BU504" s="1"/>
  <c r="I504"/>
  <c r="L495" i="9"/>
  <c r="P495" s="1"/>
  <c r="L496"/>
  <c r="P496" s="1"/>
  <c r="L497"/>
  <c r="P497" s="1"/>
  <c r="L498"/>
  <c r="P498" s="1"/>
  <c r="L499"/>
  <c r="P499" s="1"/>
  <c r="L500"/>
  <c r="P500" s="1"/>
  <c r="L494"/>
  <c r="P494" s="1"/>
  <c r="J501"/>
  <c r="K501"/>
  <c r="D51" i="11" s="1"/>
  <c r="M501" i="9"/>
  <c r="N501"/>
  <c r="O501"/>
  <c r="Q501"/>
  <c r="R501"/>
  <c r="I501"/>
  <c r="C51" i="11" s="1"/>
  <c r="J502" i="10"/>
  <c r="AP502" s="1"/>
  <c r="BN502" s="1"/>
  <c r="K502"/>
  <c r="L502"/>
  <c r="M502"/>
  <c r="N502"/>
  <c r="O502"/>
  <c r="P502"/>
  <c r="Q502"/>
  <c r="R502"/>
  <c r="S502"/>
  <c r="T502"/>
  <c r="U502"/>
  <c r="V502"/>
  <c r="W502"/>
  <c r="Y502"/>
  <c r="Z502"/>
  <c r="AA502"/>
  <c r="AB502"/>
  <c r="AC502"/>
  <c r="AD502"/>
  <c r="AE502"/>
  <c r="AF502"/>
  <c r="AG502"/>
  <c r="AH502"/>
  <c r="AI502"/>
  <c r="AL502"/>
  <c r="H502"/>
  <c r="C502"/>
  <c r="X495"/>
  <c r="AW495" s="1"/>
  <c r="BU495" s="1"/>
  <c r="I497"/>
  <c r="X497"/>
  <c r="AW497" s="1"/>
  <c r="BU497" s="1"/>
  <c r="AJ497"/>
  <c r="AK497"/>
  <c r="I498"/>
  <c r="X498"/>
  <c r="AW498" s="1"/>
  <c r="BU498" s="1"/>
  <c r="AJ498"/>
  <c r="AK498"/>
  <c r="I499"/>
  <c r="X499"/>
  <c r="AW499" s="1"/>
  <c r="BU499" s="1"/>
  <c r="AJ499"/>
  <c r="AK499"/>
  <c r="I500"/>
  <c r="X500"/>
  <c r="AW500" s="1"/>
  <c r="BU500" s="1"/>
  <c r="AJ500"/>
  <c r="AK500"/>
  <c r="I501"/>
  <c r="X501"/>
  <c r="AW501" s="1"/>
  <c r="BU501" s="1"/>
  <c r="AJ501"/>
  <c r="AK501"/>
  <c r="AK496"/>
  <c r="AJ496"/>
  <c r="X496"/>
  <c r="AW496" s="1"/>
  <c r="BU496" s="1"/>
  <c r="I496"/>
  <c r="AK495"/>
  <c r="AJ495"/>
  <c r="I495"/>
  <c r="K492" i="9"/>
  <c r="D50" i="11" s="1"/>
  <c r="D49" s="1"/>
  <c r="M492" i="9"/>
  <c r="M358" s="1"/>
  <c r="N492"/>
  <c r="N358" s="1"/>
  <c r="O492"/>
  <c r="O358" s="1"/>
  <c r="Q492"/>
  <c r="Q358" s="1"/>
  <c r="R492"/>
  <c r="R358" s="1"/>
  <c r="I492"/>
  <c r="C50" i="11" s="1"/>
  <c r="L361" i="9"/>
  <c r="P361" s="1"/>
  <c r="L362"/>
  <c r="P362" s="1"/>
  <c r="L363"/>
  <c r="P363" s="1"/>
  <c r="L364"/>
  <c r="P364" s="1"/>
  <c r="L365"/>
  <c r="P365" s="1"/>
  <c r="L366"/>
  <c r="P366" s="1"/>
  <c r="L367"/>
  <c r="P367" s="1"/>
  <c r="L368"/>
  <c r="P368" s="1"/>
  <c r="L369"/>
  <c r="P369" s="1"/>
  <c r="L370"/>
  <c r="P370" s="1"/>
  <c r="L371"/>
  <c r="P371" s="1"/>
  <c r="L372"/>
  <c r="P372" s="1"/>
  <c r="L373"/>
  <c r="P373" s="1"/>
  <c r="L374"/>
  <c r="P374" s="1"/>
  <c r="L375"/>
  <c r="P375" s="1"/>
  <c r="L376"/>
  <c r="P376" s="1"/>
  <c r="L377"/>
  <c r="P377" s="1"/>
  <c r="L378"/>
  <c r="P378" s="1"/>
  <c r="L379"/>
  <c r="P379" s="1"/>
  <c r="L380"/>
  <c r="P380" s="1"/>
  <c r="L381"/>
  <c r="P381" s="1"/>
  <c r="L382"/>
  <c r="P382" s="1"/>
  <c r="L383"/>
  <c r="P383" s="1"/>
  <c r="L384"/>
  <c r="P384" s="1"/>
  <c r="L385"/>
  <c r="P385" s="1"/>
  <c r="L386"/>
  <c r="P386" s="1"/>
  <c r="L387"/>
  <c r="P387" s="1"/>
  <c r="L388"/>
  <c r="P388" s="1"/>
  <c r="L389"/>
  <c r="P389" s="1"/>
  <c r="L390"/>
  <c r="P390" s="1"/>
  <c r="L391"/>
  <c r="P391" s="1"/>
  <c r="L392"/>
  <c r="P392" s="1"/>
  <c r="L393"/>
  <c r="P393" s="1"/>
  <c r="L394"/>
  <c r="P394" s="1"/>
  <c r="L395"/>
  <c r="P395" s="1"/>
  <c r="L396"/>
  <c r="P396" s="1"/>
  <c r="L397"/>
  <c r="P397" s="1"/>
  <c r="L398"/>
  <c r="P398" s="1"/>
  <c r="L399"/>
  <c r="P399" s="1"/>
  <c r="L400"/>
  <c r="P400" s="1"/>
  <c r="L401"/>
  <c r="P401" s="1"/>
  <c r="L402"/>
  <c r="P402" s="1"/>
  <c r="L403"/>
  <c r="P403" s="1"/>
  <c r="L404"/>
  <c r="P404" s="1"/>
  <c r="L405"/>
  <c r="P405" s="1"/>
  <c r="L406"/>
  <c r="P406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69"/>
  <c r="P469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8"/>
  <c r="P478" s="1"/>
  <c r="L479"/>
  <c r="P479" s="1"/>
  <c r="L480"/>
  <c r="P480" s="1"/>
  <c r="L481"/>
  <c r="P481" s="1"/>
  <c r="L482"/>
  <c r="P482" s="1"/>
  <c r="L483"/>
  <c r="P483" s="1"/>
  <c r="L484"/>
  <c r="P484" s="1"/>
  <c r="L485"/>
  <c r="P485" s="1"/>
  <c r="L486"/>
  <c r="P486" s="1"/>
  <c r="L487"/>
  <c r="P487" s="1"/>
  <c r="L488"/>
  <c r="P488" s="1"/>
  <c r="L489"/>
  <c r="P489" s="1"/>
  <c r="L490"/>
  <c r="P490" s="1"/>
  <c r="L360"/>
  <c r="P360" s="1"/>
  <c r="C493" i="10"/>
  <c r="K493"/>
  <c r="M493"/>
  <c r="O493"/>
  <c r="Q493"/>
  <c r="S493"/>
  <c r="U493"/>
  <c r="W493"/>
  <c r="Y493"/>
  <c r="Z493"/>
  <c r="AA493"/>
  <c r="AB493"/>
  <c r="AC493"/>
  <c r="AD493"/>
  <c r="AE493"/>
  <c r="AF493"/>
  <c r="AG493"/>
  <c r="AH493"/>
  <c r="AL493"/>
  <c r="X397"/>
  <c r="AW397" s="1"/>
  <c r="BU397" s="1"/>
  <c r="X441"/>
  <c r="AW441" s="1"/>
  <c r="BU441" s="1"/>
  <c r="X445"/>
  <c r="AW445" s="1"/>
  <c r="BU445" s="1"/>
  <c r="V486"/>
  <c r="AV486" s="1"/>
  <c r="BT486" s="1"/>
  <c r="AK492"/>
  <c r="AJ492"/>
  <c r="X492"/>
  <c r="AW492" s="1"/>
  <c r="BU492" s="1"/>
  <c r="I492"/>
  <c r="AK487"/>
  <c r="AJ487"/>
  <c r="AK486"/>
  <c r="AJ486"/>
  <c r="V487"/>
  <c r="AV487" s="1"/>
  <c r="BT487" s="1"/>
  <c r="AK484"/>
  <c r="AJ484"/>
  <c r="AI484"/>
  <c r="BA484" s="1"/>
  <c r="BY484" s="1"/>
  <c r="T484"/>
  <c r="R484"/>
  <c r="N484"/>
  <c r="J484"/>
  <c r="L484"/>
  <c r="AQ484" s="1"/>
  <c r="BO484" s="1"/>
  <c r="AK383"/>
  <c r="AJ383"/>
  <c r="AI383"/>
  <c r="P383"/>
  <c r="L383"/>
  <c r="AQ383" s="1"/>
  <c r="BO383" s="1"/>
  <c r="I369"/>
  <c r="X369"/>
  <c r="AW369" s="1"/>
  <c r="BU369" s="1"/>
  <c r="AJ369"/>
  <c r="AK369"/>
  <c r="I370"/>
  <c r="X370"/>
  <c r="AW370" s="1"/>
  <c r="BU370" s="1"/>
  <c r="AJ370"/>
  <c r="AK370"/>
  <c r="I371"/>
  <c r="X371"/>
  <c r="AW371" s="1"/>
  <c r="BU371" s="1"/>
  <c r="AJ371"/>
  <c r="AK371"/>
  <c r="I372"/>
  <c r="X372"/>
  <c r="AW372" s="1"/>
  <c r="BU372" s="1"/>
  <c r="AJ372"/>
  <c r="AK372"/>
  <c r="I373"/>
  <c r="X373"/>
  <c r="AW373" s="1"/>
  <c r="BU373" s="1"/>
  <c r="AJ373"/>
  <c r="AK373"/>
  <c r="I374"/>
  <c r="X374"/>
  <c r="AW374" s="1"/>
  <c r="BU374" s="1"/>
  <c r="AJ374"/>
  <c r="AK374"/>
  <c r="I375"/>
  <c r="X375"/>
  <c r="AW375" s="1"/>
  <c r="BU375" s="1"/>
  <c r="AJ375"/>
  <c r="AK375"/>
  <c r="I376"/>
  <c r="X376"/>
  <c r="AW376" s="1"/>
  <c r="BU376" s="1"/>
  <c r="AJ376"/>
  <c r="AK376"/>
  <c r="I377"/>
  <c r="X377"/>
  <c r="AW377" s="1"/>
  <c r="BU377" s="1"/>
  <c r="AJ377"/>
  <c r="AK377"/>
  <c r="I378"/>
  <c r="X378"/>
  <c r="AW378" s="1"/>
  <c r="BU378" s="1"/>
  <c r="AJ378"/>
  <c r="AK378"/>
  <c r="I379"/>
  <c r="X379"/>
  <c r="AW379" s="1"/>
  <c r="BU379" s="1"/>
  <c r="AJ379"/>
  <c r="AK379"/>
  <c r="I380"/>
  <c r="X380"/>
  <c r="AW380" s="1"/>
  <c r="BU380" s="1"/>
  <c r="AJ380"/>
  <c r="AK380"/>
  <c r="I381"/>
  <c r="X381"/>
  <c r="AW381" s="1"/>
  <c r="BU381" s="1"/>
  <c r="AJ381"/>
  <c r="AK381"/>
  <c r="I382"/>
  <c r="X382"/>
  <c r="AW382" s="1"/>
  <c r="BU382" s="1"/>
  <c r="AJ382"/>
  <c r="AK382"/>
  <c r="I384"/>
  <c r="X384"/>
  <c r="AW384" s="1"/>
  <c r="BU384" s="1"/>
  <c r="AJ384"/>
  <c r="AK384"/>
  <c r="I385"/>
  <c r="X385"/>
  <c r="AW385" s="1"/>
  <c r="BU385" s="1"/>
  <c r="AJ385"/>
  <c r="AK385"/>
  <c r="I386"/>
  <c r="X386"/>
  <c r="AW386" s="1"/>
  <c r="BU386" s="1"/>
  <c r="AJ386"/>
  <c r="AK386"/>
  <c r="I387"/>
  <c r="X387"/>
  <c r="AW387" s="1"/>
  <c r="BU387" s="1"/>
  <c r="AJ387"/>
  <c r="AK387"/>
  <c r="I388"/>
  <c r="X388"/>
  <c r="AW388" s="1"/>
  <c r="BU388" s="1"/>
  <c r="AJ388"/>
  <c r="AK388"/>
  <c r="I389"/>
  <c r="X389"/>
  <c r="AW389" s="1"/>
  <c r="BU389" s="1"/>
  <c r="AJ389"/>
  <c r="AK389"/>
  <c r="I390"/>
  <c r="X390"/>
  <c r="AW390" s="1"/>
  <c r="BU390" s="1"/>
  <c r="AJ390"/>
  <c r="AK390"/>
  <c r="I391"/>
  <c r="X391"/>
  <c r="AW391" s="1"/>
  <c r="BU391" s="1"/>
  <c r="AJ391"/>
  <c r="AK391"/>
  <c r="I392"/>
  <c r="X392"/>
  <c r="AW392" s="1"/>
  <c r="BU392" s="1"/>
  <c r="AJ392"/>
  <c r="AK392"/>
  <c r="I393"/>
  <c r="X393"/>
  <c r="AW393" s="1"/>
  <c r="BU393" s="1"/>
  <c r="AJ393"/>
  <c r="AK393"/>
  <c r="I394"/>
  <c r="X394"/>
  <c r="AW394" s="1"/>
  <c r="BU394" s="1"/>
  <c r="AJ394"/>
  <c r="AK394"/>
  <c r="I395"/>
  <c r="X395"/>
  <c r="AW395" s="1"/>
  <c r="BU395" s="1"/>
  <c r="AJ395"/>
  <c r="AK395"/>
  <c r="I396"/>
  <c r="X396"/>
  <c r="AW396" s="1"/>
  <c r="BU396" s="1"/>
  <c r="AJ396"/>
  <c r="AK396"/>
  <c r="I397"/>
  <c r="AJ397"/>
  <c r="AK397"/>
  <c r="I398"/>
  <c r="X398"/>
  <c r="AW398" s="1"/>
  <c r="BU398" s="1"/>
  <c r="AJ398"/>
  <c r="AK398"/>
  <c r="I399"/>
  <c r="X399"/>
  <c r="AW399" s="1"/>
  <c r="BU399" s="1"/>
  <c r="AJ399"/>
  <c r="AK399"/>
  <c r="I400"/>
  <c r="X400"/>
  <c r="AW400" s="1"/>
  <c r="BU400" s="1"/>
  <c r="AJ400"/>
  <c r="AK400"/>
  <c r="I401"/>
  <c r="X401"/>
  <c r="AW401" s="1"/>
  <c r="BU401" s="1"/>
  <c r="AJ401"/>
  <c r="AK401"/>
  <c r="I402"/>
  <c r="X402"/>
  <c r="AW402" s="1"/>
  <c r="BU402" s="1"/>
  <c r="AJ402"/>
  <c r="AK402"/>
  <c r="I403"/>
  <c r="X403"/>
  <c r="AW403" s="1"/>
  <c r="BU403" s="1"/>
  <c r="AJ403"/>
  <c r="AK403"/>
  <c r="I404"/>
  <c r="X404"/>
  <c r="AW404" s="1"/>
  <c r="BU404" s="1"/>
  <c r="AJ404"/>
  <c r="AK404"/>
  <c r="I405"/>
  <c r="X405"/>
  <c r="AW405" s="1"/>
  <c r="BU405" s="1"/>
  <c r="AJ405"/>
  <c r="AK405"/>
  <c r="I406"/>
  <c r="X406"/>
  <c r="AW406" s="1"/>
  <c r="BU406" s="1"/>
  <c r="AJ406"/>
  <c r="AK406"/>
  <c r="I407"/>
  <c r="X407"/>
  <c r="AW407" s="1"/>
  <c r="BU407" s="1"/>
  <c r="AJ407"/>
  <c r="AK407"/>
  <c r="I408"/>
  <c r="X408"/>
  <c r="AW408" s="1"/>
  <c r="BU408" s="1"/>
  <c r="AJ408"/>
  <c r="AK408"/>
  <c r="I409"/>
  <c r="X409"/>
  <c r="AW409" s="1"/>
  <c r="BU409" s="1"/>
  <c r="AJ409"/>
  <c r="AK409"/>
  <c r="I410"/>
  <c r="X410"/>
  <c r="AW410" s="1"/>
  <c r="BU410" s="1"/>
  <c r="AJ410"/>
  <c r="AK410"/>
  <c r="I411"/>
  <c r="X411"/>
  <c r="AW411" s="1"/>
  <c r="BU411" s="1"/>
  <c r="AJ411"/>
  <c r="AK411"/>
  <c r="I412"/>
  <c r="X412"/>
  <c r="AW412" s="1"/>
  <c r="BU412" s="1"/>
  <c r="AJ412"/>
  <c r="AK412"/>
  <c r="I413"/>
  <c r="X413"/>
  <c r="AW413" s="1"/>
  <c r="BU413" s="1"/>
  <c r="AJ413"/>
  <c r="AK413"/>
  <c r="I414"/>
  <c r="X414"/>
  <c r="AW414" s="1"/>
  <c r="BU414" s="1"/>
  <c r="AJ414"/>
  <c r="AK414"/>
  <c r="I415"/>
  <c r="X415"/>
  <c r="AW415" s="1"/>
  <c r="BU415" s="1"/>
  <c r="AJ415"/>
  <c r="AK415"/>
  <c r="I416"/>
  <c r="X416"/>
  <c r="AW416" s="1"/>
  <c r="BU416" s="1"/>
  <c r="AJ416"/>
  <c r="AK416"/>
  <c r="I417"/>
  <c r="X417"/>
  <c r="AW417" s="1"/>
  <c r="BU417" s="1"/>
  <c r="AJ417"/>
  <c r="AK417"/>
  <c r="I418"/>
  <c r="X418"/>
  <c r="AW418" s="1"/>
  <c r="BU418" s="1"/>
  <c r="AJ418"/>
  <c r="AK418"/>
  <c r="I419"/>
  <c r="X419"/>
  <c r="AW419" s="1"/>
  <c r="BU419" s="1"/>
  <c r="AJ419"/>
  <c r="AK419"/>
  <c r="I420"/>
  <c r="X420"/>
  <c r="AW420" s="1"/>
  <c r="BU420" s="1"/>
  <c r="AJ420"/>
  <c r="AK420"/>
  <c r="I421"/>
  <c r="X421"/>
  <c r="AW421" s="1"/>
  <c r="BU421" s="1"/>
  <c r="AJ421"/>
  <c r="AK421"/>
  <c r="I422"/>
  <c r="X422"/>
  <c r="AW422" s="1"/>
  <c r="BU422" s="1"/>
  <c r="AJ422"/>
  <c r="AK422"/>
  <c r="I423"/>
  <c r="X423"/>
  <c r="AW423" s="1"/>
  <c r="BU423" s="1"/>
  <c r="AJ423"/>
  <c r="AK423"/>
  <c r="I424"/>
  <c r="X424"/>
  <c r="AW424" s="1"/>
  <c r="BU424" s="1"/>
  <c r="AJ424"/>
  <c r="AK424"/>
  <c r="I425"/>
  <c r="X425"/>
  <c r="AW425" s="1"/>
  <c r="BU425" s="1"/>
  <c r="AJ425"/>
  <c r="AK425"/>
  <c r="I426"/>
  <c r="X426"/>
  <c r="AW426" s="1"/>
  <c r="BU426" s="1"/>
  <c r="AJ426"/>
  <c r="AK426"/>
  <c r="I427"/>
  <c r="X427"/>
  <c r="AW427" s="1"/>
  <c r="BU427" s="1"/>
  <c r="AJ427"/>
  <c r="AK427"/>
  <c r="I428"/>
  <c r="X428"/>
  <c r="AW428" s="1"/>
  <c r="BU428" s="1"/>
  <c r="AJ428"/>
  <c r="AK428"/>
  <c r="I429"/>
  <c r="X429"/>
  <c r="AW429" s="1"/>
  <c r="BU429" s="1"/>
  <c r="AJ429"/>
  <c r="AK429"/>
  <c r="I430"/>
  <c r="X430"/>
  <c r="AW430" s="1"/>
  <c r="BU430" s="1"/>
  <c r="AJ430"/>
  <c r="AK430"/>
  <c r="I431"/>
  <c r="X431"/>
  <c r="AW431" s="1"/>
  <c r="BU431" s="1"/>
  <c r="AJ431"/>
  <c r="AK431"/>
  <c r="I432"/>
  <c r="X432"/>
  <c r="AW432" s="1"/>
  <c r="BU432" s="1"/>
  <c r="AJ432"/>
  <c r="AK432"/>
  <c r="I433"/>
  <c r="X433"/>
  <c r="AW433" s="1"/>
  <c r="BU433" s="1"/>
  <c r="AJ433"/>
  <c r="AK433"/>
  <c r="I434"/>
  <c r="X434"/>
  <c r="AW434" s="1"/>
  <c r="BU434" s="1"/>
  <c r="AJ434"/>
  <c r="AK434"/>
  <c r="I435"/>
  <c r="X435"/>
  <c r="AW435" s="1"/>
  <c r="BU435" s="1"/>
  <c r="AJ435"/>
  <c r="AK435"/>
  <c r="I436"/>
  <c r="X436"/>
  <c r="AW436" s="1"/>
  <c r="BU436" s="1"/>
  <c r="AJ436"/>
  <c r="AK436"/>
  <c r="I437"/>
  <c r="X437"/>
  <c r="AW437" s="1"/>
  <c r="BU437" s="1"/>
  <c r="AJ437"/>
  <c r="AK437"/>
  <c r="I438"/>
  <c r="X438"/>
  <c r="AW438" s="1"/>
  <c r="BU438" s="1"/>
  <c r="AJ438"/>
  <c r="AK438"/>
  <c r="I439"/>
  <c r="X439"/>
  <c r="AW439" s="1"/>
  <c r="BU439" s="1"/>
  <c r="AJ439"/>
  <c r="AK439"/>
  <c r="I440"/>
  <c r="X440"/>
  <c r="AW440" s="1"/>
  <c r="BU440" s="1"/>
  <c r="AJ440"/>
  <c r="AK440"/>
  <c r="I441"/>
  <c r="AJ441"/>
  <c r="AK441"/>
  <c r="I442"/>
  <c r="X442"/>
  <c r="AW442" s="1"/>
  <c r="BU442" s="1"/>
  <c r="AJ442"/>
  <c r="AK442"/>
  <c r="I443"/>
  <c r="X443"/>
  <c r="AW443" s="1"/>
  <c r="BU443" s="1"/>
  <c r="AJ443"/>
  <c r="AK443"/>
  <c r="I444"/>
  <c r="X444"/>
  <c r="AW444" s="1"/>
  <c r="BU444" s="1"/>
  <c r="AJ444"/>
  <c r="AK444"/>
  <c r="I445"/>
  <c r="AJ445"/>
  <c r="AK445"/>
  <c r="I446"/>
  <c r="X446"/>
  <c r="AW446" s="1"/>
  <c r="BU446" s="1"/>
  <c r="AJ446"/>
  <c r="AK446"/>
  <c r="I447"/>
  <c r="X447"/>
  <c r="AW447" s="1"/>
  <c r="BU447" s="1"/>
  <c r="AJ447"/>
  <c r="AK447"/>
  <c r="I448"/>
  <c r="X448"/>
  <c r="AW448" s="1"/>
  <c r="BU448" s="1"/>
  <c r="AJ448"/>
  <c r="AK448"/>
  <c r="I449"/>
  <c r="X449"/>
  <c r="AW449" s="1"/>
  <c r="BU449" s="1"/>
  <c r="AJ449"/>
  <c r="AK449"/>
  <c r="I450"/>
  <c r="X450"/>
  <c r="AW450" s="1"/>
  <c r="BU450" s="1"/>
  <c r="AJ450"/>
  <c r="AK450"/>
  <c r="I451"/>
  <c r="X451"/>
  <c r="AW451" s="1"/>
  <c r="BU451" s="1"/>
  <c r="AJ451"/>
  <c r="AK451"/>
  <c r="I452"/>
  <c r="X452"/>
  <c r="AW452" s="1"/>
  <c r="BU452" s="1"/>
  <c r="AJ452"/>
  <c r="AK452"/>
  <c r="I453"/>
  <c r="X453"/>
  <c r="AW453" s="1"/>
  <c r="BU453" s="1"/>
  <c r="AJ453"/>
  <c r="AK453"/>
  <c r="I454"/>
  <c r="X454"/>
  <c r="AW454" s="1"/>
  <c r="BU454" s="1"/>
  <c r="AJ454"/>
  <c r="AK454"/>
  <c r="I455"/>
  <c r="X455"/>
  <c r="AW455" s="1"/>
  <c r="BU455" s="1"/>
  <c r="AJ455"/>
  <c r="AK455"/>
  <c r="I456"/>
  <c r="X456"/>
  <c r="AW456" s="1"/>
  <c r="BU456" s="1"/>
  <c r="AJ456"/>
  <c r="AK456"/>
  <c r="I457"/>
  <c r="X457"/>
  <c r="AW457" s="1"/>
  <c r="BU457" s="1"/>
  <c r="AJ457"/>
  <c r="AK457"/>
  <c r="I458"/>
  <c r="X458"/>
  <c r="AW458" s="1"/>
  <c r="BU458" s="1"/>
  <c r="AJ458"/>
  <c r="AK458"/>
  <c r="I459"/>
  <c r="X459"/>
  <c r="AW459" s="1"/>
  <c r="BU459" s="1"/>
  <c r="AJ459"/>
  <c r="AK459"/>
  <c r="I460"/>
  <c r="X460"/>
  <c r="AW460" s="1"/>
  <c r="BU460" s="1"/>
  <c r="AJ460"/>
  <c r="AK460"/>
  <c r="I461"/>
  <c r="X461"/>
  <c r="AW461" s="1"/>
  <c r="BU461" s="1"/>
  <c r="AJ461"/>
  <c r="AK461"/>
  <c r="I462"/>
  <c r="X462"/>
  <c r="AW462" s="1"/>
  <c r="BU462" s="1"/>
  <c r="AJ462"/>
  <c r="AK462"/>
  <c r="I463"/>
  <c r="X463"/>
  <c r="AW463" s="1"/>
  <c r="BU463" s="1"/>
  <c r="AJ463"/>
  <c r="AK463"/>
  <c r="I464"/>
  <c r="X464"/>
  <c r="AW464" s="1"/>
  <c r="BU464" s="1"/>
  <c r="AJ464"/>
  <c r="AK464"/>
  <c r="I465"/>
  <c r="X465"/>
  <c r="AW465" s="1"/>
  <c r="BU465" s="1"/>
  <c r="AJ465"/>
  <c r="AK465"/>
  <c r="I466"/>
  <c r="X466"/>
  <c r="AW466" s="1"/>
  <c r="BU466" s="1"/>
  <c r="AJ466"/>
  <c r="AK466"/>
  <c r="I467"/>
  <c r="X467"/>
  <c r="AW467" s="1"/>
  <c r="BU467" s="1"/>
  <c r="AJ467"/>
  <c r="AK467"/>
  <c r="I468"/>
  <c r="X468"/>
  <c r="AW468" s="1"/>
  <c r="BU468" s="1"/>
  <c r="AJ468"/>
  <c r="AK468"/>
  <c r="I469"/>
  <c r="X469"/>
  <c r="AW469" s="1"/>
  <c r="BU469" s="1"/>
  <c r="AJ469"/>
  <c r="AK469"/>
  <c r="I470"/>
  <c r="X470"/>
  <c r="AW470" s="1"/>
  <c r="BU470" s="1"/>
  <c r="AJ470"/>
  <c r="AK470"/>
  <c r="I471"/>
  <c r="X471"/>
  <c r="AW471" s="1"/>
  <c r="BU471" s="1"/>
  <c r="AJ471"/>
  <c r="AK471"/>
  <c r="I472"/>
  <c r="X472"/>
  <c r="AW472" s="1"/>
  <c r="BU472" s="1"/>
  <c r="AJ472"/>
  <c r="AK472"/>
  <c r="I473"/>
  <c r="X473"/>
  <c r="AW473" s="1"/>
  <c r="BU473" s="1"/>
  <c r="AJ473"/>
  <c r="AK473"/>
  <c r="I474"/>
  <c r="X474"/>
  <c r="AW474" s="1"/>
  <c r="BU474" s="1"/>
  <c r="AJ474"/>
  <c r="AK474"/>
  <c r="I475"/>
  <c r="X475"/>
  <c r="AW475" s="1"/>
  <c r="BU475" s="1"/>
  <c r="AJ475"/>
  <c r="AK475"/>
  <c r="I476"/>
  <c r="X476"/>
  <c r="AW476" s="1"/>
  <c r="BU476" s="1"/>
  <c r="AJ476"/>
  <c r="AK476"/>
  <c r="I477"/>
  <c r="X477"/>
  <c r="AW477" s="1"/>
  <c r="BU477" s="1"/>
  <c r="AJ477"/>
  <c r="AK477"/>
  <c r="I478"/>
  <c r="X478"/>
  <c r="AW478" s="1"/>
  <c r="BU478" s="1"/>
  <c r="AJ478"/>
  <c r="AK478"/>
  <c r="I479"/>
  <c r="X479"/>
  <c r="AW479" s="1"/>
  <c r="BU479" s="1"/>
  <c r="AJ479"/>
  <c r="AK479"/>
  <c r="I480"/>
  <c r="X480"/>
  <c r="AW480" s="1"/>
  <c r="BU480" s="1"/>
  <c r="AJ480"/>
  <c r="AK480"/>
  <c r="I481"/>
  <c r="X481"/>
  <c r="AW481" s="1"/>
  <c r="BU481" s="1"/>
  <c r="AJ481"/>
  <c r="AK481"/>
  <c r="I482"/>
  <c r="X482"/>
  <c r="AW482" s="1"/>
  <c r="BU482" s="1"/>
  <c r="AJ482"/>
  <c r="AK482"/>
  <c r="I483"/>
  <c r="X483"/>
  <c r="AW483" s="1"/>
  <c r="BU483" s="1"/>
  <c r="AJ483"/>
  <c r="AK483"/>
  <c r="I485"/>
  <c r="X485"/>
  <c r="AW485" s="1"/>
  <c r="BU485" s="1"/>
  <c r="AJ485"/>
  <c r="AK485"/>
  <c r="I486"/>
  <c r="I487"/>
  <c r="I488"/>
  <c r="X488"/>
  <c r="AW488" s="1"/>
  <c r="BU488" s="1"/>
  <c r="AJ488"/>
  <c r="AK488"/>
  <c r="I489"/>
  <c r="X489"/>
  <c r="AW489" s="1"/>
  <c r="BU489" s="1"/>
  <c r="AJ489"/>
  <c r="AK489"/>
  <c r="I490"/>
  <c r="X490"/>
  <c r="AW490" s="1"/>
  <c r="BU490" s="1"/>
  <c r="AJ490"/>
  <c r="AK490"/>
  <c r="I491"/>
  <c r="X491"/>
  <c r="AW491" s="1"/>
  <c r="BU491" s="1"/>
  <c r="AJ491"/>
  <c r="AK491"/>
  <c r="I362"/>
  <c r="X362"/>
  <c r="AW362" s="1"/>
  <c r="BU362" s="1"/>
  <c r="AJ362"/>
  <c r="AK362"/>
  <c r="I363"/>
  <c r="X363"/>
  <c r="AW363" s="1"/>
  <c r="BU363" s="1"/>
  <c r="AJ363"/>
  <c r="AK363"/>
  <c r="I364"/>
  <c r="X364"/>
  <c r="AW364" s="1"/>
  <c r="BU364" s="1"/>
  <c r="AJ364"/>
  <c r="AK364"/>
  <c r="I365"/>
  <c r="X365"/>
  <c r="AW365" s="1"/>
  <c r="BU365" s="1"/>
  <c r="AJ365"/>
  <c r="AK365"/>
  <c r="I366"/>
  <c r="X366"/>
  <c r="AW366" s="1"/>
  <c r="BU366" s="1"/>
  <c r="AJ366"/>
  <c r="AK366"/>
  <c r="I367"/>
  <c r="X367"/>
  <c r="AW367" s="1"/>
  <c r="BU367" s="1"/>
  <c r="AJ367"/>
  <c r="AK367"/>
  <c r="I368"/>
  <c r="X368"/>
  <c r="AW368" s="1"/>
  <c r="BU368" s="1"/>
  <c r="AJ368"/>
  <c r="AK368"/>
  <c r="AK361"/>
  <c r="AJ361"/>
  <c r="X361"/>
  <c r="AW361" s="1"/>
  <c r="BU361" s="1"/>
  <c r="I361"/>
  <c r="V137"/>
  <c r="L81"/>
  <c r="J165"/>
  <c r="AP165" s="1"/>
  <c r="BN165" s="1"/>
  <c r="AK165"/>
  <c r="AJ165"/>
  <c r="T165"/>
  <c r="AU165" s="1"/>
  <c r="BS165" s="1"/>
  <c r="R165"/>
  <c r="AT165" s="1"/>
  <c r="BR165" s="1"/>
  <c r="P165"/>
  <c r="AS165" s="1"/>
  <c r="BQ165" s="1"/>
  <c r="N165"/>
  <c r="AR165" s="1"/>
  <c r="BP165" s="1"/>
  <c r="L165"/>
  <c r="AQ165" s="1"/>
  <c r="BO165" s="1"/>
  <c r="J281"/>
  <c r="AP281" s="1"/>
  <c r="BN281" s="1"/>
  <c r="K281"/>
  <c r="L281"/>
  <c r="M281"/>
  <c r="N281"/>
  <c r="O281"/>
  <c r="P281"/>
  <c r="Q281"/>
  <c r="R281"/>
  <c r="S281"/>
  <c r="T281"/>
  <c r="U281"/>
  <c r="V281"/>
  <c r="W281"/>
  <c r="Y281"/>
  <c r="Z281"/>
  <c r="AA281"/>
  <c r="AB281"/>
  <c r="AC281"/>
  <c r="AD281"/>
  <c r="AE281"/>
  <c r="AF281"/>
  <c r="AG281"/>
  <c r="AH281"/>
  <c r="AI281"/>
  <c r="AL281"/>
  <c r="H281"/>
  <c r="C281"/>
  <c r="J232" i="9"/>
  <c r="K232"/>
  <c r="D22" i="11" s="1"/>
  <c r="M232" i="9"/>
  <c r="N232"/>
  <c r="O232"/>
  <c r="Q232"/>
  <c r="R232"/>
  <c r="I232"/>
  <c r="C22" i="11" s="1"/>
  <c r="J332" i="9"/>
  <c r="K332"/>
  <c r="D45" i="11" s="1"/>
  <c r="M332" i="9"/>
  <c r="N332"/>
  <c r="O332"/>
  <c r="Q332"/>
  <c r="R332"/>
  <c r="S332"/>
  <c r="I332"/>
  <c r="C45" i="11" s="1"/>
  <c r="J341" i="9"/>
  <c r="K341"/>
  <c r="D46" i="11" s="1"/>
  <c r="M341" i="9"/>
  <c r="N341"/>
  <c r="O341"/>
  <c r="Q341"/>
  <c r="R341"/>
  <c r="S341"/>
  <c r="I341"/>
  <c r="C46" i="11" s="1"/>
  <c r="J344" i="9"/>
  <c r="K344"/>
  <c r="D47" i="11" s="1"/>
  <c r="M344" i="9"/>
  <c r="N344"/>
  <c r="O344"/>
  <c r="Q344"/>
  <c r="R344"/>
  <c r="S344"/>
  <c r="I344"/>
  <c r="C47" i="11" s="1"/>
  <c r="J356" i="9"/>
  <c r="K356"/>
  <c r="D48" i="11" s="1"/>
  <c r="M356" i="9"/>
  <c r="N356"/>
  <c r="O356"/>
  <c r="Q356"/>
  <c r="R356"/>
  <c r="S356"/>
  <c r="I356"/>
  <c r="C48" i="11" s="1"/>
  <c r="L355" i="9"/>
  <c r="P355" s="1"/>
  <c r="L353"/>
  <c r="P353" s="1"/>
  <c r="L349"/>
  <c r="P349" s="1"/>
  <c r="L351"/>
  <c r="P351" s="1"/>
  <c r="L354"/>
  <c r="P354" s="1"/>
  <c r="L352"/>
  <c r="P352" s="1"/>
  <c r="L350"/>
  <c r="P350" s="1"/>
  <c r="L348"/>
  <c r="P348" s="1"/>
  <c r="L347"/>
  <c r="P347" s="1"/>
  <c r="L346"/>
  <c r="P346" s="1"/>
  <c r="L343"/>
  <c r="P343" s="1"/>
  <c r="P344" s="1"/>
  <c r="L340"/>
  <c r="P340" s="1"/>
  <c r="L339"/>
  <c r="P339" s="1"/>
  <c r="L338"/>
  <c r="P338" s="1"/>
  <c r="L337"/>
  <c r="P337" s="1"/>
  <c r="L336"/>
  <c r="P336" s="1"/>
  <c r="L335"/>
  <c r="P335" s="1"/>
  <c r="L334"/>
  <c r="P334" s="1"/>
  <c r="L331"/>
  <c r="P331" s="1"/>
  <c r="L330"/>
  <c r="P330" s="1"/>
  <c r="L329"/>
  <c r="P329" s="1"/>
  <c r="J333" i="10"/>
  <c r="AP333" s="1"/>
  <c r="BN333" s="1"/>
  <c r="K333"/>
  <c r="L333"/>
  <c r="M333"/>
  <c r="N333"/>
  <c r="O333"/>
  <c r="P333"/>
  <c r="Q333"/>
  <c r="R333"/>
  <c r="S333"/>
  <c r="T333"/>
  <c r="U333"/>
  <c r="V333"/>
  <c r="W333"/>
  <c r="Y333"/>
  <c r="Z333"/>
  <c r="AA333"/>
  <c r="AB333"/>
  <c r="AC333"/>
  <c r="AD333"/>
  <c r="AE333"/>
  <c r="AF333"/>
  <c r="AG333"/>
  <c r="AH333"/>
  <c r="AI333"/>
  <c r="AL333"/>
  <c r="AM333"/>
  <c r="AN333"/>
  <c r="H333"/>
  <c r="C333"/>
  <c r="J342"/>
  <c r="AP342" s="1"/>
  <c r="BN342" s="1"/>
  <c r="K342"/>
  <c r="L342"/>
  <c r="M342"/>
  <c r="N342"/>
  <c r="O342"/>
  <c r="P342"/>
  <c r="Q342"/>
  <c r="R342"/>
  <c r="S342"/>
  <c r="T342"/>
  <c r="U342"/>
  <c r="V342"/>
  <c r="W342"/>
  <c r="Y342"/>
  <c r="Z342"/>
  <c r="AA342"/>
  <c r="AB342"/>
  <c r="AC342"/>
  <c r="AD342"/>
  <c r="AE342"/>
  <c r="AF342"/>
  <c r="AG342"/>
  <c r="AH342"/>
  <c r="AI342"/>
  <c r="AL342"/>
  <c r="H342"/>
  <c r="C342"/>
  <c r="J345"/>
  <c r="AP345" s="1"/>
  <c r="BN345" s="1"/>
  <c r="K345"/>
  <c r="L345"/>
  <c r="M345"/>
  <c r="N345"/>
  <c r="O345"/>
  <c r="P345"/>
  <c r="Q345"/>
  <c r="R345"/>
  <c r="S345"/>
  <c r="T345"/>
  <c r="U345"/>
  <c r="V345"/>
  <c r="W345"/>
  <c r="Y345"/>
  <c r="Z345"/>
  <c r="AA345"/>
  <c r="AB345"/>
  <c r="AC345"/>
  <c r="AD345"/>
  <c r="AE345"/>
  <c r="AF345"/>
  <c r="AG345"/>
  <c r="AH345"/>
  <c r="AI345"/>
  <c r="AL345"/>
  <c r="H345"/>
  <c r="C345"/>
  <c r="J357"/>
  <c r="AP357" s="1"/>
  <c r="BN357" s="1"/>
  <c r="K357"/>
  <c r="L357"/>
  <c r="M357"/>
  <c r="N357"/>
  <c r="O357"/>
  <c r="P357"/>
  <c r="Q357"/>
  <c r="R357"/>
  <c r="S357"/>
  <c r="T357"/>
  <c r="U357"/>
  <c r="V357"/>
  <c r="W357"/>
  <c r="Y357"/>
  <c r="Z357"/>
  <c r="AA357"/>
  <c r="AB357"/>
  <c r="AC357"/>
  <c r="AD357"/>
  <c r="AE357"/>
  <c r="AF357"/>
  <c r="AG357"/>
  <c r="AH357"/>
  <c r="AI357"/>
  <c r="AL357"/>
  <c r="AM357"/>
  <c r="AN357"/>
  <c r="H357"/>
  <c r="C357"/>
  <c r="P325"/>
  <c r="AK355"/>
  <c r="AJ355"/>
  <c r="X355"/>
  <c r="I355"/>
  <c r="AK356"/>
  <c r="AJ356"/>
  <c r="X356"/>
  <c r="I356"/>
  <c r="AK354"/>
  <c r="AJ354"/>
  <c r="X354"/>
  <c r="I354"/>
  <c r="AK353"/>
  <c r="AJ353"/>
  <c r="X353"/>
  <c r="I353"/>
  <c r="AK352"/>
  <c r="AJ352"/>
  <c r="X352"/>
  <c r="I352"/>
  <c r="AK351"/>
  <c r="AJ351"/>
  <c r="X351"/>
  <c r="I351"/>
  <c r="AK350"/>
  <c r="AJ350"/>
  <c r="X350"/>
  <c r="I350"/>
  <c r="AK349"/>
  <c r="AJ349"/>
  <c r="X349"/>
  <c r="I349"/>
  <c r="AK348"/>
  <c r="AJ348"/>
  <c r="X348"/>
  <c r="I348"/>
  <c r="AK347"/>
  <c r="AK357" s="1"/>
  <c r="AJ347"/>
  <c r="AJ357" s="1"/>
  <c r="X347"/>
  <c r="I347"/>
  <c r="I357" s="1"/>
  <c r="AK344"/>
  <c r="AK345" s="1"/>
  <c r="AJ344"/>
  <c r="AJ345" s="1"/>
  <c r="X344"/>
  <c r="I344"/>
  <c r="I345" s="1"/>
  <c r="AK341"/>
  <c r="AJ341"/>
  <c r="X341"/>
  <c r="I341"/>
  <c r="AK340"/>
  <c r="AJ340"/>
  <c r="X340"/>
  <c r="I340"/>
  <c r="AK339"/>
  <c r="AJ339"/>
  <c r="X339"/>
  <c r="I339"/>
  <c r="AK338"/>
  <c r="AJ338"/>
  <c r="X338"/>
  <c r="I338"/>
  <c r="AK337"/>
  <c r="AJ337"/>
  <c r="X337"/>
  <c r="I337"/>
  <c r="AK336"/>
  <c r="AJ336"/>
  <c r="X336"/>
  <c r="I336"/>
  <c r="AK335"/>
  <c r="AK342" s="1"/>
  <c r="AJ335"/>
  <c r="AJ342" s="1"/>
  <c r="X335"/>
  <c r="I335"/>
  <c r="I342" s="1"/>
  <c r="AK332"/>
  <c r="AJ332"/>
  <c r="X332"/>
  <c r="I332"/>
  <c r="AK331"/>
  <c r="AJ331"/>
  <c r="X331"/>
  <c r="I331"/>
  <c r="AK330"/>
  <c r="AK333" s="1"/>
  <c r="AJ330"/>
  <c r="AJ333" s="1"/>
  <c r="X330"/>
  <c r="I330"/>
  <c r="I333" s="1"/>
  <c r="J327" i="9"/>
  <c r="K327"/>
  <c r="D44" i="11" s="1"/>
  <c r="M327" i="9"/>
  <c r="N327"/>
  <c r="O327"/>
  <c r="Q327"/>
  <c r="R327"/>
  <c r="I327"/>
  <c r="C44" i="11" s="1"/>
  <c r="J324" i="9"/>
  <c r="K324"/>
  <c r="D43" i="11" s="1"/>
  <c r="M324" i="9"/>
  <c r="N324"/>
  <c r="O324"/>
  <c r="Q324"/>
  <c r="R324"/>
  <c r="I324"/>
  <c r="C43" i="11" s="1"/>
  <c r="L326" i="9"/>
  <c r="P326" s="1"/>
  <c r="P327" s="1"/>
  <c r="L323"/>
  <c r="P323" s="1"/>
  <c r="P324" s="1"/>
  <c r="L320"/>
  <c r="P320" s="1"/>
  <c r="P321" s="1"/>
  <c r="J321"/>
  <c r="K321"/>
  <c r="D42" i="11" s="1"/>
  <c r="M321" i="9"/>
  <c r="N321"/>
  <c r="O321"/>
  <c r="Q321"/>
  <c r="R321"/>
  <c r="I321"/>
  <c r="C42" i="11" s="1"/>
  <c r="J322" i="10"/>
  <c r="AP322" s="1"/>
  <c r="BN322" s="1"/>
  <c r="K322"/>
  <c r="L322"/>
  <c r="M322"/>
  <c r="N322"/>
  <c r="O322"/>
  <c r="P322"/>
  <c r="Q322"/>
  <c r="R322"/>
  <c r="S322"/>
  <c r="T322"/>
  <c r="U322"/>
  <c r="V322"/>
  <c r="W322"/>
  <c r="Y322"/>
  <c r="Z322"/>
  <c r="AA322"/>
  <c r="AB322"/>
  <c r="AC322"/>
  <c r="AD322"/>
  <c r="AE322"/>
  <c r="AF322"/>
  <c r="AG322"/>
  <c r="AH322"/>
  <c r="AI322"/>
  <c r="AL322"/>
  <c r="H322"/>
  <c r="C322"/>
  <c r="J325"/>
  <c r="AP325" s="1"/>
  <c r="BN325" s="1"/>
  <c r="K325"/>
  <c r="L325"/>
  <c r="M325"/>
  <c r="N325"/>
  <c r="O325"/>
  <c r="Q325"/>
  <c r="R325"/>
  <c r="S325"/>
  <c r="T325"/>
  <c r="U325"/>
  <c r="V325"/>
  <c r="W325"/>
  <c r="Y325"/>
  <c r="Z325"/>
  <c r="AA325"/>
  <c r="AB325"/>
  <c r="AC325"/>
  <c r="AD325"/>
  <c r="AE325"/>
  <c r="AF325"/>
  <c r="AG325"/>
  <c r="AH325"/>
  <c r="AI325"/>
  <c r="AL325"/>
  <c r="H325"/>
  <c r="C325"/>
  <c r="J328"/>
  <c r="AP328" s="1"/>
  <c r="BN328" s="1"/>
  <c r="K328"/>
  <c r="L328"/>
  <c r="M328"/>
  <c r="N328"/>
  <c r="O328"/>
  <c r="P328"/>
  <c r="Q328"/>
  <c r="R328"/>
  <c r="S328"/>
  <c r="T328"/>
  <c r="U328"/>
  <c r="V328"/>
  <c r="W328"/>
  <c r="Y328"/>
  <c r="Z328"/>
  <c r="AA328"/>
  <c r="AB328"/>
  <c r="AC328"/>
  <c r="AD328"/>
  <c r="AE328"/>
  <c r="AF328"/>
  <c r="AG328"/>
  <c r="AH328"/>
  <c r="AI328"/>
  <c r="AL328"/>
  <c r="H328"/>
  <c r="C328"/>
  <c r="AK327"/>
  <c r="AK328" s="1"/>
  <c r="AJ327"/>
  <c r="AJ328" s="1"/>
  <c r="X327"/>
  <c r="I327"/>
  <c r="I328" s="1"/>
  <c r="AK324"/>
  <c r="AK325" s="1"/>
  <c r="AJ324"/>
  <c r="AJ325" s="1"/>
  <c r="X324"/>
  <c r="I324"/>
  <c r="I325" s="1"/>
  <c r="AK321"/>
  <c r="AK322" s="1"/>
  <c r="AJ321"/>
  <c r="AJ322" s="1"/>
  <c r="X321"/>
  <c r="I321"/>
  <c r="I322" s="1"/>
  <c r="F993" i="5" l="1"/>
  <c r="E994"/>
  <c r="N992" i="7" s="1"/>
  <c r="R993"/>
  <c r="S993"/>
  <c r="V993" s="1"/>
  <c r="K358" i="9"/>
  <c r="AW331" i="10"/>
  <c r="BU331" s="1"/>
  <c r="AW332"/>
  <c r="BU332" s="1"/>
  <c r="AW335"/>
  <c r="BU335" s="1"/>
  <c r="AW336"/>
  <c r="BU336" s="1"/>
  <c r="AW337"/>
  <c r="BU337" s="1"/>
  <c r="AW338"/>
  <c r="BU338" s="1"/>
  <c r="AW339"/>
  <c r="BU339" s="1"/>
  <c r="AW340"/>
  <c r="BU340" s="1"/>
  <c r="AW341"/>
  <c r="BU341" s="1"/>
  <c r="AW348"/>
  <c r="BU348" s="1"/>
  <c r="AW349"/>
  <c r="BU349" s="1"/>
  <c r="AW353"/>
  <c r="BU353" s="1"/>
  <c r="AW354"/>
  <c r="BU354" s="1"/>
  <c r="AW356"/>
  <c r="BU356" s="1"/>
  <c r="AW355"/>
  <c r="BU355" s="1"/>
  <c r="AW350"/>
  <c r="BU350" s="1"/>
  <c r="AW351"/>
  <c r="BU351" s="1"/>
  <c r="AW352"/>
  <c r="BU352" s="1"/>
  <c r="AV137"/>
  <c r="BT137" s="1"/>
  <c r="AY145"/>
  <c r="BW145" s="1"/>
  <c r="AY144"/>
  <c r="BW144" s="1"/>
  <c r="AS63"/>
  <c r="BQ63" s="1"/>
  <c r="AQ81"/>
  <c r="BO81" s="1"/>
  <c r="I556"/>
  <c r="AJ558"/>
  <c r="I628"/>
  <c r="AZ558"/>
  <c r="BX558" s="1"/>
  <c r="AY558"/>
  <c r="BW558" s="1"/>
  <c r="AX558"/>
  <c r="BV558" s="1"/>
  <c r="AW558"/>
  <c r="BU558" s="1"/>
  <c r="AV558"/>
  <c r="BT558" s="1"/>
  <c r="AZ564"/>
  <c r="BX564" s="1"/>
  <c r="AY564"/>
  <c r="BW564" s="1"/>
  <c r="AX564"/>
  <c r="BV564" s="1"/>
  <c r="AW564"/>
  <c r="BU564" s="1"/>
  <c r="AV564"/>
  <c r="BT564" s="1"/>
  <c r="AU564"/>
  <c r="BS564" s="1"/>
  <c r="AT564"/>
  <c r="BR564" s="1"/>
  <c r="AS564"/>
  <c r="BQ564" s="1"/>
  <c r="BA602"/>
  <c r="BY602" s="1"/>
  <c r="AV602"/>
  <c r="BT602" s="1"/>
  <c r="AU602"/>
  <c r="BS602" s="1"/>
  <c r="AT602"/>
  <c r="BR602" s="1"/>
  <c r="AS602"/>
  <c r="BQ602" s="1"/>
  <c r="AR602"/>
  <c r="BP602" s="1"/>
  <c r="AQ602"/>
  <c r="BO602" s="1"/>
  <c r="BA594"/>
  <c r="BY594" s="1"/>
  <c r="AV594"/>
  <c r="BT594" s="1"/>
  <c r="AU594"/>
  <c r="BS594" s="1"/>
  <c r="AT594"/>
  <c r="BR594" s="1"/>
  <c r="AS594"/>
  <c r="BQ594" s="1"/>
  <c r="AR594"/>
  <c r="BP594" s="1"/>
  <c r="AQ594"/>
  <c r="BO594" s="1"/>
  <c r="BA591"/>
  <c r="BY591" s="1"/>
  <c r="AV591"/>
  <c r="BT591" s="1"/>
  <c r="AU591"/>
  <c r="BS591" s="1"/>
  <c r="AT591"/>
  <c r="BR591" s="1"/>
  <c r="AS591"/>
  <c r="BQ591" s="1"/>
  <c r="AR591"/>
  <c r="BP591" s="1"/>
  <c r="AQ591"/>
  <c r="BO591" s="1"/>
  <c r="BA588"/>
  <c r="BY588" s="1"/>
  <c r="AV588"/>
  <c r="BT588" s="1"/>
  <c r="AU588"/>
  <c r="BS588" s="1"/>
  <c r="AT588"/>
  <c r="BR588" s="1"/>
  <c r="AS588"/>
  <c r="BQ588" s="1"/>
  <c r="AR588"/>
  <c r="BP588" s="1"/>
  <c r="AQ588"/>
  <c r="BO588" s="1"/>
  <c r="AZ585"/>
  <c r="BX585" s="1"/>
  <c r="AY585"/>
  <c r="BW585" s="1"/>
  <c r="AX585"/>
  <c r="BV585" s="1"/>
  <c r="AZ574"/>
  <c r="BX574" s="1"/>
  <c r="AY574"/>
  <c r="BW574" s="1"/>
  <c r="AX574"/>
  <c r="BV574" s="1"/>
  <c r="AZ571"/>
  <c r="BX571" s="1"/>
  <c r="AY571"/>
  <c r="BW571" s="1"/>
  <c r="AX571"/>
  <c r="BV571" s="1"/>
  <c r="AZ568"/>
  <c r="BX568" s="1"/>
  <c r="AY568"/>
  <c r="BW568" s="1"/>
  <c r="AX568"/>
  <c r="BV568" s="1"/>
  <c r="BA328"/>
  <c r="BY328" s="1"/>
  <c r="AV328"/>
  <c r="BT328" s="1"/>
  <c r="AU328"/>
  <c r="BS328" s="1"/>
  <c r="AT328"/>
  <c r="BR328" s="1"/>
  <c r="AS328"/>
  <c r="BQ328" s="1"/>
  <c r="AR328"/>
  <c r="BP328" s="1"/>
  <c r="AQ328"/>
  <c r="BO328" s="1"/>
  <c r="AZ493"/>
  <c r="BX493" s="1"/>
  <c r="AY493"/>
  <c r="BW493" s="1"/>
  <c r="AX493"/>
  <c r="BV493" s="1"/>
  <c r="BA502"/>
  <c r="BY502" s="1"/>
  <c r="AV502"/>
  <c r="BT502" s="1"/>
  <c r="AU502"/>
  <c r="BS502" s="1"/>
  <c r="AT502"/>
  <c r="BR502" s="1"/>
  <c r="AS502"/>
  <c r="BQ502" s="1"/>
  <c r="AR502"/>
  <c r="BP502" s="1"/>
  <c r="AQ502"/>
  <c r="BO502" s="1"/>
  <c r="AZ516"/>
  <c r="BX516" s="1"/>
  <c r="AY516"/>
  <c r="BW516" s="1"/>
  <c r="AX516"/>
  <c r="BV516" s="1"/>
  <c r="AZ521"/>
  <c r="BX521" s="1"/>
  <c r="AY521"/>
  <c r="BW521" s="1"/>
  <c r="AX521"/>
  <c r="BV521" s="1"/>
  <c r="BA528"/>
  <c r="BY528" s="1"/>
  <c r="AV528"/>
  <c r="BT528" s="1"/>
  <c r="AU528"/>
  <c r="BS528" s="1"/>
  <c r="AT528"/>
  <c r="BR528" s="1"/>
  <c r="AS528"/>
  <c r="BQ528" s="1"/>
  <c r="AR528"/>
  <c r="BP528" s="1"/>
  <c r="AQ528"/>
  <c r="BO528" s="1"/>
  <c r="AZ532"/>
  <c r="BX532" s="1"/>
  <c r="AY532"/>
  <c r="BW532" s="1"/>
  <c r="AX532"/>
  <c r="BV532" s="1"/>
  <c r="AV547"/>
  <c r="BT547" s="1"/>
  <c r="AZ550"/>
  <c r="BX550" s="1"/>
  <c r="AY550"/>
  <c r="BW550" s="1"/>
  <c r="AX550"/>
  <c r="BV550" s="1"/>
  <c r="AZ554"/>
  <c r="BX554" s="1"/>
  <c r="AY554"/>
  <c r="BW554" s="1"/>
  <c r="AX554"/>
  <c r="BV554" s="1"/>
  <c r="BA325"/>
  <c r="BY325" s="1"/>
  <c r="AV325"/>
  <c r="BT325" s="1"/>
  <c r="AU325"/>
  <c r="BS325" s="1"/>
  <c r="AT325"/>
  <c r="BR325" s="1"/>
  <c r="AZ322"/>
  <c r="BX322" s="1"/>
  <c r="AY322"/>
  <c r="BW322" s="1"/>
  <c r="AX322"/>
  <c r="BV322" s="1"/>
  <c r="AZ357"/>
  <c r="BX357" s="1"/>
  <c r="AY357"/>
  <c r="BW357" s="1"/>
  <c r="AX357"/>
  <c r="BV357" s="1"/>
  <c r="AZ345"/>
  <c r="BX345" s="1"/>
  <c r="AY345"/>
  <c r="BW345" s="1"/>
  <c r="AX345"/>
  <c r="BV345" s="1"/>
  <c r="AZ342"/>
  <c r="BX342" s="1"/>
  <c r="AY342"/>
  <c r="BW342" s="1"/>
  <c r="AX342"/>
  <c r="BV342" s="1"/>
  <c r="AZ333"/>
  <c r="BX333" s="1"/>
  <c r="AY333"/>
  <c r="BW333" s="1"/>
  <c r="AX333"/>
  <c r="BV333" s="1"/>
  <c r="BA281"/>
  <c r="BY281" s="1"/>
  <c r="AV281"/>
  <c r="BT281" s="1"/>
  <c r="AU281"/>
  <c r="BS281" s="1"/>
  <c r="AT281"/>
  <c r="BR281" s="1"/>
  <c r="AS281"/>
  <c r="BQ281" s="1"/>
  <c r="AR281"/>
  <c r="BP281" s="1"/>
  <c r="AQ281"/>
  <c r="BO281" s="1"/>
  <c r="AV624"/>
  <c r="BT624" s="1"/>
  <c r="AU624"/>
  <c r="BS624" s="1"/>
  <c r="AT624"/>
  <c r="BR624" s="1"/>
  <c r="AS624"/>
  <c r="BQ624" s="1"/>
  <c r="AR624"/>
  <c r="BP624" s="1"/>
  <c r="AQ624"/>
  <c r="BO624" s="1"/>
  <c r="AZ620"/>
  <c r="BX620" s="1"/>
  <c r="AY620"/>
  <c r="BW620" s="1"/>
  <c r="AX620"/>
  <c r="BV620" s="1"/>
  <c r="BA617"/>
  <c r="BY617" s="1"/>
  <c r="AV617"/>
  <c r="BT617" s="1"/>
  <c r="AU617"/>
  <c r="BS617" s="1"/>
  <c r="AT617"/>
  <c r="BR617" s="1"/>
  <c r="AS617"/>
  <c r="BQ617" s="1"/>
  <c r="AR617"/>
  <c r="BP617" s="1"/>
  <c r="AQ617"/>
  <c r="BO617" s="1"/>
  <c r="BA613"/>
  <c r="BY613" s="1"/>
  <c r="AV613"/>
  <c r="BT613" s="1"/>
  <c r="AU613"/>
  <c r="BS613" s="1"/>
  <c r="AT613"/>
  <c r="BR613" s="1"/>
  <c r="AS613"/>
  <c r="BQ613" s="1"/>
  <c r="AR613"/>
  <c r="BP613" s="1"/>
  <c r="AQ613"/>
  <c r="BO613" s="1"/>
  <c r="BA605"/>
  <c r="BY605" s="1"/>
  <c r="AV605"/>
  <c r="BT605" s="1"/>
  <c r="AU605"/>
  <c r="BS605" s="1"/>
  <c r="AT605"/>
  <c r="BR605" s="1"/>
  <c r="AS605"/>
  <c r="BQ605" s="1"/>
  <c r="AR605"/>
  <c r="BP605" s="1"/>
  <c r="AQ605"/>
  <c r="BO605" s="1"/>
  <c r="BA691"/>
  <c r="BY691" s="1"/>
  <c r="AV691"/>
  <c r="BT691" s="1"/>
  <c r="AU691"/>
  <c r="BS691" s="1"/>
  <c r="AT691"/>
  <c r="BR691" s="1"/>
  <c r="AS691"/>
  <c r="BQ691" s="1"/>
  <c r="AR691"/>
  <c r="BP691" s="1"/>
  <c r="AQ691"/>
  <c r="BO691" s="1"/>
  <c r="AV688"/>
  <c r="BT688" s="1"/>
  <c r="BA688"/>
  <c r="BY688" s="1"/>
  <c r="AU688"/>
  <c r="BS688" s="1"/>
  <c r="AT688"/>
  <c r="BR688" s="1"/>
  <c r="AS688"/>
  <c r="BQ688" s="1"/>
  <c r="AR688"/>
  <c r="BP688" s="1"/>
  <c r="AQ688"/>
  <c r="BO688" s="1"/>
  <c r="BA678"/>
  <c r="BY678" s="1"/>
  <c r="AV678"/>
  <c r="BT678" s="1"/>
  <c r="AU678"/>
  <c r="BS678" s="1"/>
  <c r="AT678"/>
  <c r="BR678" s="1"/>
  <c r="AS678"/>
  <c r="BQ678" s="1"/>
  <c r="AR678"/>
  <c r="BP678" s="1"/>
  <c r="AQ678"/>
  <c r="BO678" s="1"/>
  <c r="BA675"/>
  <c r="BY675" s="1"/>
  <c r="AV675"/>
  <c r="BT675" s="1"/>
  <c r="AU675"/>
  <c r="BS675" s="1"/>
  <c r="AT675"/>
  <c r="BR675" s="1"/>
  <c r="AS675"/>
  <c r="BQ675" s="1"/>
  <c r="AR675"/>
  <c r="BP675" s="1"/>
  <c r="AQ675"/>
  <c r="BO675" s="1"/>
  <c r="BA670"/>
  <c r="BY670" s="1"/>
  <c r="AV670"/>
  <c r="BT670" s="1"/>
  <c r="AU670"/>
  <c r="BS670" s="1"/>
  <c r="AT670"/>
  <c r="BR670" s="1"/>
  <c r="AS670"/>
  <c r="BQ670" s="1"/>
  <c r="AR670"/>
  <c r="BP670" s="1"/>
  <c r="AQ670"/>
  <c r="BO670" s="1"/>
  <c r="BA663"/>
  <c r="BY663" s="1"/>
  <c r="AV663"/>
  <c r="BT663" s="1"/>
  <c r="AU663"/>
  <c r="BS663" s="1"/>
  <c r="AT663"/>
  <c r="BR663" s="1"/>
  <c r="AS663"/>
  <c r="BQ663" s="1"/>
  <c r="AR663"/>
  <c r="BP663" s="1"/>
  <c r="AQ663"/>
  <c r="BO663" s="1"/>
  <c r="BA659"/>
  <c r="BY659" s="1"/>
  <c r="AV659"/>
  <c r="BT659" s="1"/>
  <c r="AU659"/>
  <c r="BS659" s="1"/>
  <c r="AT659"/>
  <c r="BR659" s="1"/>
  <c r="AS659"/>
  <c r="BQ659" s="1"/>
  <c r="AR659"/>
  <c r="BP659" s="1"/>
  <c r="AQ659"/>
  <c r="BO659" s="1"/>
  <c r="BA656"/>
  <c r="BY656" s="1"/>
  <c r="AV656"/>
  <c r="BT656" s="1"/>
  <c r="AU656"/>
  <c r="BS656" s="1"/>
  <c r="AT656"/>
  <c r="BR656" s="1"/>
  <c r="AS656"/>
  <c r="BQ656" s="1"/>
  <c r="AR656"/>
  <c r="BP656" s="1"/>
  <c r="AQ656"/>
  <c r="BO656" s="1"/>
  <c r="BA653"/>
  <c r="BY653" s="1"/>
  <c r="AV653"/>
  <c r="BT653" s="1"/>
  <c r="AU653"/>
  <c r="BS653" s="1"/>
  <c r="AT653"/>
  <c r="BR653" s="1"/>
  <c r="AS653"/>
  <c r="BQ653" s="1"/>
  <c r="AR653"/>
  <c r="BP653" s="1"/>
  <c r="AQ653"/>
  <c r="BO653" s="1"/>
  <c r="BA650"/>
  <c r="BY650" s="1"/>
  <c r="AV650"/>
  <c r="BT650" s="1"/>
  <c r="AU650"/>
  <c r="BS650" s="1"/>
  <c r="AT650"/>
  <c r="BR650" s="1"/>
  <c r="AS650"/>
  <c r="BQ650" s="1"/>
  <c r="AR650"/>
  <c r="BP650" s="1"/>
  <c r="AQ650"/>
  <c r="BO650" s="1"/>
  <c r="BA643"/>
  <c r="BY643" s="1"/>
  <c r="AV643"/>
  <c r="BT643" s="1"/>
  <c r="AU643"/>
  <c r="BS643" s="1"/>
  <c r="AT643"/>
  <c r="BR643" s="1"/>
  <c r="AS643"/>
  <c r="BQ643" s="1"/>
  <c r="AR643"/>
  <c r="BP643" s="1"/>
  <c r="AQ643"/>
  <c r="BO643" s="1"/>
  <c r="BA640"/>
  <c r="BY640" s="1"/>
  <c r="AV640"/>
  <c r="BT640" s="1"/>
  <c r="AU640"/>
  <c r="BS640" s="1"/>
  <c r="AT640"/>
  <c r="BR640" s="1"/>
  <c r="AS640"/>
  <c r="BQ640" s="1"/>
  <c r="AR640"/>
  <c r="BP640" s="1"/>
  <c r="AQ640"/>
  <c r="BO640" s="1"/>
  <c r="BA636"/>
  <c r="BY636" s="1"/>
  <c r="AV636"/>
  <c r="BT636" s="1"/>
  <c r="AU636"/>
  <c r="BS636" s="1"/>
  <c r="AT636"/>
  <c r="BR636" s="1"/>
  <c r="AS636"/>
  <c r="BQ636" s="1"/>
  <c r="AR636"/>
  <c r="BP636" s="1"/>
  <c r="AQ636"/>
  <c r="BO636" s="1"/>
  <c r="BA632"/>
  <c r="BY632" s="1"/>
  <c r="AV632"/>
  <c r="BT632" s="1"/>
  <c r="AU632"/>
  <c r="BS632" s="1"/>
  <c r="AT632"/>
  <c r="BR632" s="1"/>
  <c r="AS632"/>
  <c r="BQ632" s="1"/>
  <c r="AR632"/>
  <c r="BP632" s="1"/>
  <c r="AQ632"/>
  <c r="BO632" s="1"/>
  <c r="BA629"/>
  <c r="BY629" s="1"/>
  <c r="AX629"/>
  <c r="BV629" s="1"/>
  <c r="AW629"/>
  <c r="BU629" s="1"/>
  <c r="AV629"/>
  <c r="BT629" s="1"/>
  <c r="AU629"/>
  <c r="BS629" s="1"/>
  <c r="AT629"/>
  <c r="BR629" s="1"/>
  <c r="AS629"/>
  <c r="BQ629" s="1"/>
  <c r="X322"/>
  <c r="AW322" s="1"/>
  <c r="BU322" s="1"/>
  <c r="AW321"/>
  <c r="BU321" s="1"/>
  <c r="X333"/>
  <c r="AW333" s="1"/>
  <c r="BU333" s="1"/>
  <c r="AW330"/>
  <c r="BU330" s="1"/>
  <c r="P493"/>
  <c r="AS493" s="1"/>
  <c r="BQ493" s="1"/>
  <c r="AS383"/>
  <c r="BQ383" s="1"/>
  <c r="N493"/>
  <c r="AR493" s="1"/>
  <c r="BP493" s="1"/>
  <c r="AR484"/>
  <c r="BP484" s="1"/>
  <c r="T493"/>
  <c r="AU493" s="1"/>
  <c r="BS493" s="1"/>
  <c r="AU484"/>
  <c r="BS484" s="1"/>
  <c r="N547"/>
  <c r="AR547" s="1"/>
  <c r="BP547" s="1"/>
  <c r="AR546"/>
  <c r="BP546" s="1"/>
  <c r="P547"/>
  <c r="AS547" s="1"/>
  <c r="BQ547" s="1"/>
  <c r="AS546"/>
  <c r="BQ546" s="1"/>
  <c r="I562"/>
  <c r="AR562"/>
  <c r="BP562" s="1"/>
  <c r="X568"/>
  <c r="AW568" s="1"/>
  <c r="BU568" s="1"/>
  <c r="AW566"/>
  <c r="BU566" s="1"/>
  <c r="X571"/>
  <c r="AW571" s="1"/>
  <c r="BU571" s="1"/>
  <c r="AW570"/>
  <c r="BU570" s="1"/>
  <c r="X574"/>
  <c r="AW574" s="1"/>
  <c r="BU574" s="1"/>
  <c r="AW573"/>
  <c r="BU573" s="1"/>
  <c r="X591"/>
  <c r="AW591" s="1"/>
  <c r="BU591" s="1"/>
  <c r="AW590"/>
  <c r="BU590" s="1"/>
  <c r="X594"/>
  <c r="AW594" s="1"/>
  <c r="BU594" s="1"/>
  <c r="AW593"/>
  <c r="BU593" s="1"/>
  <c r="X602"/>
  <c r="AW602" s="1"/>
  <c r="BU602" s="1"/>
  <c r="AW596"/>
  <c r="BU596" s="1"/>
  <c r="J585"/>
  <c r="AP585" s="1"/>
  <c r="BN585" s="1"/>
  <c r="AP579"/>
  <c r="BN579" s="1"/>
  <c r="N585"/>
  <c r="AR585" s="1"/>
  <c r="BP585" s="1"/>
  <c r="AR579"/>
  <c r="BP579" s="1"/>
  <c r="T585"/>
  <c r="AU585" s="1"/>
  <c r="BS585" s="1"/>
  <c r="AU579"/>
  <c r="BS579" s="1"/>
  <c r="AI585"/>
  <c r="BA585" s="1"/>
  <c r="BY585" s="1"/>
  <c r="BA579"/>
  <c r="BY579" s="1"/>
  <c r="X632"/>
  <c r="AW632" s="1"/>
  <c r="BU632" s="1"/>
  <c r="AW631"/>
  <c r="BU631" s="1"/>
  <c r="X636"/>
  <c r="AW636" s="1"/>
  <c r="BU636" s="1"/>
  <c r="AW634"/>
  <c r="BU634" s="1"/>
  <c r="X640"/>
  <c r="AW640" s="1"/>
  <c r="BU640" s="1"/>
  <c r="AW638"/>
  <c r="BU638" s="1"/>
  <c r="X643"/>
  <c r="AW643" s="1"/>
  <c r="BU643" s="1"/>
  <c r="AW642"/>
  <c r="BU642" s="1"/>
  <c r="X650"/>
  <c r="AW650" s="1"/>
  <c r="BU650" s="1"/>
  <c r="AW645"/>
  <c r="BU645" s="1"/>
  <c r="X653"/>
  <c r="AW653" s="1"/>
  <c r="BU653" s="1"/>
  <c r="AW652"/>
  <c r="BU652" s="1"/>
  <c r="X656"/>
  <c r="AW656" s="1"/>
  <c r="BU656" s="1"/>
  <c r="AW655"/>
  <c r="BU655" s="1"/>
  <c r="X659"/>
  <c r="AW659" s="1"/>
  <c r="BU659" s="1"/>
  <c r="AW658"/>
  <c r="BU658" s="1"/>
  <c r="X663"/>
  <c r="AW663" s="1"/>
  <c r="BU663" s="1"/>
  <c r="AW661"/>
  <c r="BU661" s="1"/>
  <c r="X675"/>
  <c r="AW675" s="1"/>
  <c r="BU675" s="1"/>
  <c r="AW672"/>
  <c r="BU672" s="1"/>
  <c r="X678"/>
  <c r="AW678" s="1"/>
  <c r="BU678" s="1"/>
  <c r="AW677"/>
  <c r="BU677" s="1"/>
  <c r="X688"/>
  <c r="AW688" s="1"/>
  <c r="BU688" s="1"/>
  <c r="AW680"/>
  <c r="BU680" s="1"/>
  <c r="X691"/>
  <c r="AW691" s="1"/>
  <c r="BU691" s="1"/>
  <c r="AW690"/>
  <c r="BU690" s="1"/>
  <c r="X605"/>
  <c r="AW605" s="1"/>
  <c r="BU605" s="1"/>
  <c r="AW604"/>
  <c r="BU604" s="1"/>
  <c r="I626"/>
  <c r="AR626"/>
  <c r="BP626" s="1"/>
  <c r="AZ624"/>
  <c r="BX624" s="1"/>
  <c r="AY624"/>
  <c r="BW624" s="1"/>
  <c r="AX624"/>
  <c r="BV624" s="1"/>
  <c r="BA620"/>
  <c r="BY620" s="1"/>
  <c r="AV620"/>
  <c r="BT620" s="1"/>
  <c r="AU620"/>
  <c r="BS620" s="1"/>
  <c r="AT620"/>
  <c r="BR620" s="1"/>
  <c r="AS620"/>
  <c r="BQ620" s="1"/>
  <c r="AR620"/>
  <c r="BP620" s="1"/>
  <c r="AQ620"/>
  <c r="BO620" s="1"/>
  <c r="AZ617"/>
  <c r="BX617" s="1"/>
  <c r="AY617"/>
  <c r="BW617" s="1"/>
  <c r="AX617"/>
  <c r="BV617" s="1"/>
  <c r="AZ613"/>
  <c r="BX613" s="1"/>
  <c r="AY613"/>
  <c r="BW613" s="1"/>
  <c r="AX613"/>
  <c r="BV613" s="1"/>
  <c r="AZ605"/>
  <c r="BX605" s="1"/>
  <c r="AY605"/>
  <c r="BW605" s="1"/>
  <c r="AX605"/>
  <c r="BV605" s="1"/>
  <c r="X325"/>
  <c r="AW325" s="1"/>
  <c r="BU325" s="1"/>
  <c r="AW324"/>
  <c r="BU324" s="1"/>
  <c r="X328"/>
  <c r="AW328" s="1"/>
  <c r="BU328" s="1"/>
  <c r="AW327"/>
  <c r="BU327" s="1"/>
  <c r="X345"/>
  <c r="AW345" s="1"/>
  <c r="BU345" s="1"/>
  <c r="AW344"/>
  <c r="BU344" s="1"/>
  <c r="X357"/>
  <c r="AW357" s="1"/>
  <c r="BU357" s="1"/>
  <c r="AW347"/>
  <c r="BU347" s="1"/>
  <c r="AI493"/>
  <c r="BA493" s="1"/>
  <c r="BY493" s="1"/>
  <c r="BA383"/>
  <c r="BY383" s="1"/>
  <c r="J493"/>
  <c r="AP493" s="1"/>
  <c r="BN493" s="1"/>
  <c r="AP484"/>
  <c r="BN484" s="1"/>
  <c r="R493"/>
  <c r="AT493" s="1"/>
  <c r="BR493" s="1"/>
  <c r="AT484"/>
  <c r="BR484" s="1"/>
  <c r="X521"/>
  <c r="AW521" s="1"/>
  <c r="BU521" s="1"/>
  <c r="AW518"/>
  <c r="BU518" s="1"/>
  <c r="X528"/>
  <c r="AW528" s="1"/>
  <c r="BU528" s="1"/>
  <c r="AW523"/>
  <c r="BU523" s="1"/>
  <c r="X532"/>
  <c r="AW532" s="1"/>
  <c r="BU532" s="1"/>
  <c r="AW530"/>
  <c r="BU530" s="1"/>
  <c r="L547"/>
  <c r="AQ547" s="1"/>
  <c r="BO547" s="1"/>
  <c r="AQ546"/>
  <c r="BO546" s="1"/>
  <c r="T547"/>
  <c r="AU547" s="1"/>
  <c r="BS547" s="1"/>
  <c r="AU546"/>
  <c r="BS546" s="1"/>
  <c r="AI547"/>
  <c r="BA547" s="1"/>
  <c r="BY547" s="1"/>
  <c r="BA546"/>
  <c r="BY546" s="1"/>
  <c r="X550"/>
  <c r="AW550" s="1"/>
  <c r="BU550" s="1"/>
  <c r="AW549"/>
  <c r="BU549" s="1"/>
  <c r="T558"/>
  <c r="AU558" s="1"/>
  <c r="BS558" s="1"/>
  <c r="AU557"/>
  <c r="BS557" s="1"/>
  <c r="I563"/>
  <c r="AR563"/>
  <c r="BP563" s="1"/>
  <c r="X588"/>
  <c r="AW588" s="1"/>
  <c r="BU588" s="1"/>
  <c r="AW587"/>
  <c r="BU587" s="1"/>
  <c r="L585"/>
  <c r="AQ585" s="1"/>
  <c r="BO585" s="1"/>
  <c r="AQ579"/>
  <c r="BO579" s="1"/>
  <c r="P585"/>
  <c r="AS585" s="1"/>
  <c r="BQ585" s="1"/>
  <c r="AS579"/>
  <c r="BQ579" s="1"/>
  <c r="R585"/>
  <c r="AT585" s="1"/>
  <c r="BR585" s="1"/>
  <c r="AT579"/>
  <c r="BR579" s="1"/>
  <c r="X613"/>
  <c r="AW613" s="1"/>
  <c r="BU613" s="1"/>
  <c r="AW607"/>
  <c r="BU607" s="1"/>
  <c r="X624"/>
  <c r="AW624" s="1"/>
  <c r="BU624" s="1"/>
  <c r="AW622"/>
  <c r="BU622" s="1"/>
  <c r="X620"/>
  <c r="AW620" s="1"/>
  <c r="BU620" s="1"/>
  <c r="AW619"/>
  <c r="BU619" s="1"/>
  <c r="AB629"/>
  <c r="AY629" s="1"/>
  <c r="BW629" s="1"/>
  <c r="AY627"/>
  <c r="BW627" s="1"/>
  <c r="AZ328"/>
  <c r="BX328" s="1"/>
  <c r="AY328"/>
  <c r="BW328" s="1"/>
  <c r="AX328"/>
  <c r="BV328" s="1"/>
  <c r="AZ325"/>
  <c r="BX325" s="1"/>
  <c r="AY325"/>
  <c r="BW325" s="1"/>
  <c r="AX325"/>
  <c r="BV325" s="1"/>
  <c r="AR325"/>
  <c r="BP325" s="1"/>
  <c r="AQ325"/>
  <c r="BO325" s="1"/>
  <c r="BA322"/>
  <c r="BY322" s="1"/>
  <c r="AV322"/>
  <c r="BT322" s="1"/>
  <c r="AU322"/>
  <c r="BS322" s="1"/>
  <c r="AT322"/>
  <c r="BR322" s="1"/>
  <c r="AS322"/>
  <c r="BQ322" s="1"/>
  <c r="AR322"/>
  <c r="BP322" s="1"/>
  <c r="AQ322"/>
  <c r="BO322" s="1"/>
  <c r="AS325"/>
  <c r="BQ325" s="1"/>
  <c r="BA357"/>
  <c r="BY357" s="1"/>
  <c r="AV357"/>
  <c r="BT357" s="1"/>
  <c r="AU357"/>
  <c r="BS357" s="1"/>
  <c r="AT357"/>
  <c r="BR357" s="1"/>
  <c r="AS357"/>
  <c r="BQ357" s="1"/>
  <c r="AR357"/>
  <c r="BP357" s="1"/>
  <c r="AQ357"/>
  <c r="BO357" s="1"/>
  <c r="BA345"/>
  <c r="BY345" s="1"/>
  <c r="AV345"/>
  <c r="BT345" s="1"/>
  <c r="AU345"/>
  <c r="BS345" s="1"/>
  <c r="AT345"/>
  <c r="BR345" s="1"/>
  <c r="AS345"/>
  <c r="BQ345" s="1"/>
  <c r="AR345"/>
  <c r="BP345" s="1"/>
  <c r="AQ345"/>
  <c r="BO345" s="1"/>
  <c r="BA342"/>
  <c r="BY342" s="1"/>
  <c r="AV342"/>
  <c r="BT342" s="1"/>
  <c r="AU342"/>
  <c r="BS342" s="1"/>
  <c r="AT342"/>
  <c r="BR342" s="1"/>
  <c r="AS342"/>
  <c r="BQ342" s="1"/>
  <c r="AR342"/>
  <c r="BP342" s="1"/>
  <c r="AQ342"/>
  <c r="BO342" s="1"/>
  <c r="BA333"/>
  <c r="BY333" s="1"/>
  <c r="AV333"/>
  <c r="BT333" s="1"/>
  <c r="AU333"/>
  <c r="BS333" s="1"/>
  <c r="AT333"/>
  <c r="BR333" s="1"/>
  <c r="AS333"/>
  <c r="BQ333" s="1"/>
  <c r="AR333"/>
  <c r="BP333" s="1"/>
  <c r="AQ333"/>
  <c r="BO333" s="1"/>
  <c r="AZ281"/>
  <c r="BX281" s="1"/>
  <c r="AY281"/>
  <c r="BW281" s="1"/>
  <c r="AX281"/>
  <c r="BV281" s="1"/>
  <c r="AZ502"/>
  <c r="BX502" s="1"/>
  <c r="AY502"/>
  <c r="BW502" s="1"/>
  <c r="AX502"/>
  <c r="BV502" s="1"/>
  <c r="BA516"/>
  <c r="BY516" s="1"/>
  <c r="AV516"/>
  <c r="BT516" s="1"/>
  <c r="AU516"/>
  <c r="BS516" s="1"/>
  <c r="AT516"/>
  <c r="BR516" s="1"/>
  <c r="AS516"/>
  <c r="BQ516" s="1"/>
  <c r="AR516"/>
  <c r="BP516" s="1"/>
  <c r="AQ516"/>
  <c r="BO516" s="1"/>
  <c r="BA521"/>
  <c r="BY521" s="1"/>
  <c r="AV521"/>
  <c r="BT521" s="1"/>
  <c r="AU521"/>
  <c r="BS521" s="1"/>
  <c r="AT521"/>
  <c r="BR521" s="1"/>
  <c r="AS521"/>
  <c r="BQ521" s="1"/>
  <c r="AR521"/>
  <c r="BP521" s="1"/>
  <c r="AQ521"/>
  <c r="BO521" s="1"/>
  <c r="AZ528"/>
  <c r="BX528" s="1"/>
  <c r="AY528"/>
  <c r="BW528" s="1"/>
  <c r="AX528"/>
  <c r="BV528" s="1"/>
  <c r="BA532"/>
  <c r="BY532" s="1"/>
  <c r="AV532"/>
  <c r="BT532" s="1"/>
  <c r="AU532"/>
  <c r="BS532" s="1"/>
  <c r="AT532"/>
  <c r="BR532" s="1"/>
  <c r="AS532"/>
  <c r="BQ532" s="1"/>
  <c r="AR532"/>
  <c r="BP532" s="1"/>
  <c r="AQ532"/>
  <c r="BO532" s="1"/>
  <c r="AZ547"/>
  <c r="BX547" s="1"/>
  <c r="AY547"/>
  <c r="BW547" s="1"/>
  <c r="AX547"/>
  <c r="BV547" s="1"/>
  <c r="AT547"/>
  <c r="BR547" s="1"/>
  <c r="BA550"/>
  <c r="BY550" s="1"/>
  <c r="AV550"/>
  <c r="BT550" s="1"/>
  <c r="AU550"/>
  <c r="BS550" s="1"/>
  <c r="AT550"/>
  <c r="BR550" s="1"/>
  <c r="AS550"/>
  <c r="BQ550" s="1"/>
  <c r="AR550"/>
  <c r="BP550" s="1"/>
  <c r="AQ550"/>
  <c r="BO550" s="1"/>
  <c r="BA554"/>
  <c r="BY554" s="1"/>
  <c r="AV554"/>
  <c r="BT554" s="1"/>
  <c r="AU554"/>
  <c r="BS554" s="1"/>
  <c r="AT554"/>
  <c r="BR554" s="1"/>
  <c r="AS554"/>
  <c r="BQ554" s="1"/>
  <c r="AR554"/>
  <c r="BP554" s="1"/>
  <c r="AQ554"/>
  <c r="BO554" s="1"/>
  <c r="BA558"/>
  <c r="BY558" s="1"/>
  <c r="AT558"/>
  <c r="BR558" s="1"/>
  <c r="AS558"/>
  <c r="BQ558" s="1"/>
  <c r="AR558"/>
  <c r="BP558" s="1"/>
  <c r="AQ558"/>
  <c r="BO558" s="1"/>
  <c r="AQ564"/>
  <c r="BO564" s="1"/>
  <c r="AZ602"/>
  <c r="BX602" s="1"/>
  <c r="AY602"/>
  <c r="BW602" s="1"/>
  <c r="AX602"/>
  <c r="BV602" s="1"/>
  <c r="AZ594"/>
  <c r="BX594" s="1"/>
  <c r="AY594"/>
  <c r="BW594" s="1"/>
  <c r="AX594"/>
  <c r="BV594" s="1"/>
  <c r="AZ591"/>
  <c r="BX591" s="1"/>
  <c r="AY591"/>
  <c r="BW591" s="1"/>
  <c r="AX591"/>
  <c r="BV591" s="1"/>
  <c r="AZ588"/>
  <c r="BX588" s="1"/>
  <c r="AY588"/>
  <c r="BW588" s="1"/>
  <c r="AX588"/>
  <c r="BV588" s="1"/>
  <c r="AV585"/>
  <c r="BT585" s="1"/>
  <c r="BA574"/>
  <c r="BY574" s="1"/>
  <c r="AV574"/>
  <c r="BT574" s="1"/>
  <c r="AU574"/>
  <c r="BS574" s="1"/>
  <c r="AT574"/>
  <c r="BR574" s="1"/>
  <c r="AS574"/>
  <c r="BQ574" s="1"/>
  <c r="AR574"/>
  <c r="BP574" s="1"/>
  <c r="AQ574"/>
  <c r="BO574" s="1"/>
  <c r="BA571"/>
  <c r="BY571" s="1"/>
  <c r="AV571"/>
  <c r="BT571" s="1"/>
  <c r="AU571"/>
  <c r="BS571" s="1"/>
  <c r="AT571"/>
  <c r="BR571" s="1"/>
  <c r="AS571"/>
  <c r="BQ571" s="1"/>
  <c r="AR571"/>
  <c r="BP571" s="1"/>
  <c r="AQ571"/>
  <c r="BO571" s="1"/>
  <c r="BA568"/>
  <c r="BY568" s="1"/>
  <c r="AV568"/>
  <c r="BT568" s="1"/>
  <c r="AU568"/>
  <c r="BS568" s="1"/>
  <c r="AT568"/>
  <c r="BR568" s="1"/>
  <c r="AS568"/>
  <c r="BQ568" s="1"/>
  <c r="AR568"/>
  <c r="BP568" s="1"/>
  <c r="AQ568"/>
  <c r="BO568" s="1"/>
  <c r="AZ691"/>
  <c r="BX691" s="1"/>
  <c r="AY691"/>
  <c r="BW691" s="1"/>
  <c r="AX691"/>
  <c r="BV691" s="1"/>
  <c r="AZ688"/>
  <c r="BX688" s="1"/>
  <c r="AY688"/>
  <c r="BW688" s="1"/>
  <c r="AX688"/>
  <c r="BV688" s="1"/>
  <c r="AZ678"/>
  <c r="BX678" s="1"/>
  <c r="AY678"/>
  <c r="BW678" s="1"/>
  <c r="AX678"/>
  <c r="BV678" s="1"/>
  <c r="AZ675"/>
  <c r="BX675" s="1"/>
  <c r="AY675"/>
  <c r="BW675" s="1"/>
  <c r="AX675"/>
  <c r="BV675" s="1"/>
  <c r="AZ670"/>
  <c r="BX670" s="1"/>
  <c r="AY670"/>
  <c r="BW670" s="1"/>
  <c r="AX670"/>
  <c r="BV670" s="1"/>
  <c r="AZ663"/>
  <c r="BX663" s="1"/>
  <c r="AY663"/>
  <c r="BW663" s="1"/>
  <c r="AX663"/>
  <c r="BV663" s="1"/>
  <c r="AZ659"/>
  <c r="BX659" s="1"/>
  <c r="AY659"/>
  <c r="BW659" s="1"/>
  <c r="AX659"/>
  <c r="BV659" s="1"/>
  <c r="AZ656"/>
  <c r="BX656" s="1"/>
  <c r="AY656"/>
  <c r="BW656" s="1"/>
  <c r="AX656"/>
  <c r="BV656" s="1"/>
  <c r="AZ653"/>
  <c r="BX653" s="1"/>
  <c r="AY653"/>
  <c r="BW653" s="1"/>
  <c r="AX653"/>
  <c r="BV653" s="1"/>
  <c r="AZ650"/>
  <c r="BX650" s="1"/>
  <c r="AY650"/>
  <c r="BW650" s="1"/>
  <c r="AX650"/>
  <c r="BV650" s="1"/>
  <c r="AZ643"/>
  <c r="BX643" s="1"/>
  <c r="AY643"/>
  <c r="BW643" s="1"/>
  <c r="AX643"/>
  <c r="BV643" s="1"/>
  <c r="AZ640"/>
  <c r="BX640" s="1"/>
  <c r="AY640"/>
  <c r="BW640" s="1"/>
  <c r="AX640"/>
  <c r="BV640" s="1"/>
  <c r="AZ636"/>
  <c r="BX636" s="1"/>
  <c r="AY636"/>
  <c r="BW636" s="1"/>
  <c r="AX636"/>
  <c r="BV636" s="1"/>
  <c r="AZ632"/>
  <c r="BX632" s="1"/>
  <c r="AY632"/>
  <c r="BW632" s="1"/>
  <c r="AX632"/>
  <c r="BV632" s="1"/>
  <c r="AZ629"/>
  <c r="BX629" s="1"/>
  <c r="AQ629"/>
  <c r="BO629" s="1"/>
  <c r="BA624"/>
  <c r="BY624" s="1"/>
  <c r="AL359"/>
  <c r="AG359"/>
  <c r="AE359"/>
  <c r="AC359"/>
  <c r="AA359"/>
  <c r="Y359"/>
  <c r="I383"/>
  <c r="V493"/>
  <c r="I602"/>
  <c r="X342"/>
  <c r="AW342" s="1"/>
  <c r="BU342" s="1"/>
  <c r="N564"/>
  <c r="AR564" s="1"/>
  <c r="BP564" s="1"/>
  <c r="AJ564"/>
  <c r="P553" i="9"/>
  <c r="P557"/>
  <c r="P563"/>
  <c r="X585" i="10"/>
  <c r="AW585" s="1"/>
  <c r="BU585" s="1"/>
  <c r="AK585"/>
  <c r="X617"/>
  <c r="AW617" s="1"/>
  <c r="BU617" s="1"/>
  <c r="AK617"/>
  <c r="AJ547"/>
  <c r="I546"/>
  <c r="I547" s="1"/>
  <c r="P531" i="9"/>
  <c r="L549"/>
  <c r="F57" i="11" s="1"/>
  <c r="P520" i="9"/>
  <c r="I554" i="10"/>
  <c r="X670"/>
  <c r="AW670" s="1"/>
  <c r="BU670" s="1"/>
  <c r="AJ493"/>
  <c r="T359"/>
  <c r="AF359"/>
  <c r="AD359"/>
  <c r="Z359"/>
  <c r="AK502"/>
  <c r="X516"/>
  <c r="AW516" s="1"/>
  <c r="BU516" s="1"/>
  <c r="AK629"/>
  <c r="I627"/>
  <c r="P616" i="9"/>
  <c r="P623"/>
  <c r="P628"/>
  <c r="P635"/>
  <c r="P639"/>
  <c r="P649"/>
  <c r="P662"/>
  <c r="P669"/>
  <c r="H492" i="10"/>
  <c r="H493" s="1"/>
  <c r="H359" s="1"/>
  <c r="L493"/>
  <c r="U359"/>
  <c r="P584" i="9"/>
  <c r="AK670" i="10"/>
  <c r="P612" i="9"/>
  <c r="P674"/>
  <c r="P687"/>
  <c r="X493" i="10"/>
  <c r="AW493" s="1"/>
  <c r="BU493" s="1"/>
  <c r="I502"/>
  <c r="X502"/>
  <c r="AW502" s="1"/>
  <c r="BU502" s="1"/>
  <c r="AJ502"/>
  <c r="AK516"/>
  <c r="I516"/>
  <c r="X547"/>
  <c r="AW547" s="1"/>
  <c r="BU547" s="1"/>
  <c r="I560"/>
  <c r="AI564"/>
  <c r="AK564"/>
  <c r="AJ585"/>
  <c r="P567" i="9"/>
  <c r="P601"/>
  <c r="L590"/>
  <c r="F66" i="11" s="1"/>
  <c r="L573" i="9"/>
  <c r="F63" i="11" s="1"/>
  <c r="AJ617" i="10"/>
  <c r="I670"/>
  <c r="AJ670"/>
  <c r="L658" i="9"/>
  <c r="F82" i="11" s="1"/>
  <c r="L655" i="9"/>
  <c r="F81" i="11" s="1"/>
  <c r="L642" i="9"/>
  <c r="F78" i="11" s="1"/>
  <c r="L612" i="9"/>
  <c r="F70" i="11" s="1"/>
  <c r="L491" i="9"/>
  <c r="P491" s="1"/>
  <c r="P492" s="1"/>
  <c r="AH359" i="10"/>
  <c r="AM359"/>
  <c r="AM13" s="1"/>
  <c r="P522" i="9"/>
  <c r="P527" s="1"/>
  <c r="L527"/>
  <c r="F54" i="11" s="1"/>
  <c r="O359" i="10"/>
  <c r="AI359"/>
  <c r="AK493"/>
  <c r="Q359"/>
  <c r="AJ516"/>
  <c r="AK547"/>
  <c r="S359"/>
  <c r="L531" i="9"/>
  <c r="F55" i="11" s="1"/>
  <c r="L520" i="9"/>
  <c r="F53" i="11" s="1"/>
  <c r="L563" i="9"/>
  <c r="F60" i="11" s="1"/>
  <c r="L601" i="9"/>
  <c r="F68" i="11" s="1"/>
  <c r="L593" i="9"/>
  <c r="F67" i="11" s="1"/>
  <c r="L587" i="9"/>
  <c r="F65" i="11" s="1"/>
  <c r="L584" i="9"/>
  <c r="F64" i="11" s="1"/>
  <c r="L570" i="9"/>
  <c r="F62" i="11" s="1"/>
  <c r="L567" i="9"/>
  <c r="F61" i="11" s="1"/>
  <c r="C359" i="10"/>
  <c r="L690" i="9"/>
  <c r="F88" i="11" s="1"/>
  <c r="L687" i="9"/>
  <c r="F87" i="11" s="1"/>
  <c r="L677" i="9"/>
  <c r="F86" i="11" s="1"/>
  <c r="L674" i="9"/>
  <c r="F85" i="11" s="1"/>
  <c r="L669" i="9"/>
  <c r="F84" i="11" s="1"/>
  <c r="L662" i="9"/>
  <c r="F83" i="11" s="1"/>
  <c r="L652" i="9"/>
  <c r="F80" i="11" s="1"/>
  <c r="L649" i="9"/>
  <c r="F79" i="11" s="1"/>
  <c r="L639" i="9"/>
  <c r="F77" i="11" s="1"/>
  <c r="L635" i="9"/>
  <c r="F76" i="11" s="1"/>
  <c r="L631" i="9"/>
  <c r="F75" i="11" s="1"/>
  <c r="L628" i="9"/>
  <c r="F74" i="11" s="1"/>
  <c r="L623" i="9"/>
  <c r="F73" i="11" s="1"/>
  <c r="L619" i="9"/>
  <c r="F72" i="11" s="1"/>
  <c r="L616" i="9"/>
  <c r="F71" i="11" s="1"/>
  <c r="L604" i="9"/>
  <c r="F69" i="11" s="1"/>
  <c r="AJ145" i="10"/>
  <c r="L324" i="9"/>
  <c r="F43" i="11" s="1"/>
  <c r="L492" i="9"/>
  <c r="W359" i="10"/>
  <c r="K359"/>
  <c r="I557"/>
  <c r="I558" s="1"/>
  <c r="L557" i="9"/>
  <c r="F59" i="11" s="1"/>
  <c r="L553" i="9"/>
  <c r="F58" i="11" s="1"/>
  <c r="N629" i="10"/>
  <c r="AJ629"/>
  <c r="AK145"/>
  <c r="M359"/>
  <c r="I579"/>
  <c r="I585" s="1"/>
  <c r="P546" i="9"/>
  <c r="L546"/>
  <c r="F56" i="11" s="1"/>
  <c r="J547" i="10"/>
  <c r="P515" i="9"/>
  <c r="L515"/>
  <c r="F52" i="11" s="1"/>
  <c r="P501" i="9"/>
  <c r="L501"/>
  <c r="F51" i="11" s="1"/>
  <c r="P332" i="9"/>
  <c r="I484" i="10"/>
  <c r="P341" i="9"/>
  <c r="P356"/>
  <c r="L327"/>
  <c r="F44" i="11" s="1"/>
  <c r="L356" i="9"/>
  <c r="F48" i="11" s="1"/>
  <c r="L341" i="9"/>
  <c r="F46" i="11" s="1"/>
  <c r="L344" i="9"/>
  <c r="F47" i="11" s="1"/>
  <c r="L332" i="9"/>
  <c r="F45" i="11" s="1"/>
  <c r="L321" i="9"/>
  <c r="F42" i="11" s="1"/>
  <c r="J318" i="9"/>
  <c r="K318"/>
  <c r="D41" i="11" s="1"/>
  <c r="M318" i="9"/>
  <c r="N318"/>
  <c r="O318"/>
  <c r="Q318"/>
  <c r="R318"/>
  <c r="I318"/>
  <c r="C41" i="11" s="1"/>
  <c r="J313" i="9"/>
  <c r="K313"/>
  <c r="D40" i="11" s="1"/>
  <c r="M313" i="9"/>
  <c r="N313"/>
  <c r="O313"/>
  <c r="Q313"/>
  <c r="R313"/>
  <c r="I313"/>
  <c r="C40" i="11" s="1"/>
  <c r="J309" i="9"/>
  <c r="K309"/>
  <c r="D39" i="11" s="1"/>
  <c r="M309" i="9"/>
  <c r="N309"/>
  <c r="O309"/>
  <c r="Q309"/>
  <c r="R309"/>
  <c r="I309"/>
  <c r="C39" i="11" s="1"/>
  <c r="L317" i="9"/>
  <c r="P317" s="1"/>
  <c r="L316"/>
  <c r="P316" s="1"/>
  <c r="L315"/>
  <c r="L312"/>
  <c r="P312" s="1"/>
  <c r="L311"/>
  <c r="P311" s="1"/>
  <c r="L308"/>
  <c r="P308" s="1"/>
  <c r="L307"/>
  <c r="P307" s="1"/>
  <c r="J305"/>
  <c r="K305"/>
  <c r="D38" i="11" s="1"/>
  <c r="M305" i="9"/>
  <c r="N305"/>
  <c r="O305"/>
  <c r="Q305"/>
  <c r="R305"/>
  <c r="I305"/>
  <c r="C38" i="11" s="1"/>
  <c r="L304" i="9"/>
  <c r="P304" s="1"/>
  <c r="L303"/>
  <c r="P303" s="1"/>
  <c r="L300"/>
  <c r="P300" s="1"/>
  <c r="P301" s="1"/>
  <c r="J301"/>
  <c r="K301"/>
  <c r="D37" i="11" s="1"/>
  <c r="M301" i="9"/>
  <c r="N301"/>
  <c r="O301"/>
  <c r="Q301"/>
  <c r="R301"/>
  <c r="I301"/>
  <c r="C37" i="11" s="1"/>
  <c r="J298" i="9"/>
  <c r="K298"/>
  <c r="D36" i="11" s="1"/>
  <c r="M298" i="9"/>
  <c r="N298"/>
  <c r="O298"/>
  <c r="Q298"/>
  <c r="R298"/>
  <c r="I298"/>
  <c r="C36" i="11" s="1"/>
  <c r="J319" i="10"/>
  <c r="AP319" s="1"/>
  <c r="BN319" s="1"/>
  <c r="K319"/>
  <c r="L319"/>
  <c r="M319"/>
  <c r="N319"/>
  <c r="O319"/>
  <c r="P319"/>
  <c r="Q319"/>
  <c r="R319"/>
  <c r="S319"/>
  <c r="T319"/>
  <c r="U319"/>
  <c r="V319"/>
  <c r="W319"/>
  <c r="Y319"/>
  <c r="Z319"/>
  <c r="AA319"/>
  <c r="AB319"/>
  <c r="AC319"/>
  <c r="AD319"/>
  <c r="AE319"/>
  <c r="AF319"/>
  <c r="AG319"/>
  <c r="AH319"/>
  <c r="AI319"/>
  <c r="AL319"/>
  <c r="AM319"/>
  <c r="AN319"/>
  <c r="H319"/>
  <c r="C319"/>
  <c r="AK318"/>
  <c r="AJ318"/>
  <c r="X318"/>
  <c r="I318"/>
  <c r="AK317"/>
  <c r="AJ317"/>
  <c r="X317"/>
  <c r="I317"/>
  <c r="AK316"/>
  <c r="AK319" s="1"/>
  <c r="AJ316"/>
  <c r="AJ319" s="1"/>
  <c r="X316"/>
  <c r="I316"/>
  <c r="I319" s="1"/>
  <c r="X313"/>
  <c r="X312"/>
  <c r="J314"/>
  <c r="AP314" s="1"/>
  <c r="BN314" s="1"/>
  <c r="K314"/>
  <c r="L314"/>
  <c r="M314"/>
  <c r="N314"/>
  <c r="O314"/>
  <c r="P314"/>
  <c r="Q314"/>
  <c r="R314"/>
  <c r="S314"/>
  <c r="T314"/>
  <c r="V314"/>
  <c r="AV314" s="1"/>
  <c r="BT314" s="1"/>
  <c r="W314"/>
  <c r="Y314"/>
  <c r="Z314"/>
  <c r="AA314"/>
  <c r="AB314"/>
  <c r="AC314"/>
  <c r="AD314"/>
  <c r="AE314"/>
  <c r="AF314"/>
  <c r="AG314"/>
  <c r="AH314"/>
  <c r="AI314"/>
  <c r="AL314"/>
  <c r="H314"/>
  <c r="C314"/>
  <c r="AK313"/>
  <c r="AJ313"/>
  <c r="I313"/>
  <c r="AK312"/>
  <c r="AJ312"/>
  <c r="I312"/>
  <c r="J310"/>
  <c r="AP310" s="1"/>
  <c r="BN310" s="1"/>
  <c r="K310"/>
  <c r="L310"/>
  <c r="M310"/>
  <c r="N310"/>
  <c r="O310"/>
  <c r="P310"/>
  <c r="Q310"/>
  <c r="R310"/>
  <c r="S310"/>
  <c r="T310"/>
  <c r="U310"/>
  <c r="V310"/>
  <c r="W310"/>
  <c r="Y310"/>
  <c r="Z310"/>
  <c r="AA310"/>
  <c r="AB310"/>
  <c r="AC310"/>
  <c r="AD310"/>
  <c r="AE310"/>
  <c r="AF310"/>
  <c r="AG310"/>
  <c r="AH310"/>
  <c r="AI310"/>
  <c r="AL310"/>
  <c r="AM310"/>
  <c r="AN310"/>
  <c r="H310"/>
  <c r="C310"/>
  <c r="AK309"/>
  <c r="AJ309"/>
  <c r="X309"/>
  <c r="I309"/>
  <c r="AK308"/>
  <c r="AK310" s="1"/>
  <c r="AJ308"/>
  <c r="AJ310" s="1"/>
  <c r="X308"/>
  <c r="I308"/>
  <c r="I310" s="1"/>
  <c r="J306"/>
  <c r="AP306" s="1"/>
  <c r="BN306" s="1"/>
  <c r="K306"/>
  <c r="L306"/>
  <c r="M306"/>
  <c r="N306"/>
  <c r="O306"/>
  <c r="P306"/>
  <c r="Q306"/>
  <c r="R306"/>
  <c r="S306"/>
  <c r="T306"/>
  <c r="U306"/>
  <c r="V306"/>
  <c r="W306"/>
  <c r="Y306"/>
  <c r="Z306"/>
  <c r="AA306"/>
  <c r="AB306"/>
  <c r="AC306"/>
  <c r="AD306"/>
  <c r="AE306"/>
  <c r="AF306"/>
  <c r="AG306"/>
  <c r="AH306"/>
  <c r="AI306"/>
  <c r="AL306"/>
  <c r="AM306"/>
  <c r="AN306"/>
  <c r="H306"/>
  <c r="C306"/>
  <c r="AK305"/>
  <c r="AJ305"/>
  <c r="X305"/>
  <c r="I305"/>
  <c r="AK304"/>
  <c r="AK306" s="1"/>
  <c r="AJ304"/>
  <c r="AJ306" s="1"/>
  <c r="X304"/>
  <c r="I304"/>
  <c r="I306" s="1"/>
  <c r="J302"/>
  <c r="AP302" s="1"/>
  <c r="BN302" s="1"/>
  <c r="K302"/>
  <c r="L302"/>
  <c r="M302"/>
  <c r="N302"/>
  <c r="O302"/>
  <c r="P302"/>
  <c r="Q302"/>
  <c r="R302"/>
  <c r="S302"/>
  <c r="T302"/>
  <c r="U302"/>
  <c r="V302"/>
  <c r="W302"/>
  <c r="Y302"/>
  <c r="Z302"/>
  <c r="AA302"/>
  <c r="AB302"/>
  <c r="AC302"/>
  <c r="AD302"/>
  <c r="AE302"/>
  <c r="AF302"/>
  <c r="AG302"/>
  <c r="AH302"/>
  <c r="AI302"/>
  <c r="AL302"/>
  <c r="AM302"/>
  <c r="AN302"/>
  <c r="H302"/>
  <c r="C302"/>
  <c r="AK301"/>
  <c r="AK302" s="1"/>
  <c r="AJ301"/>
  <c r="AJ302" s="1"/>
  <c r="X301"/>
  <c r="I301"/>
  <c r="I302" s="1"/>
  <c r="J299"/>
  <c r="AP299" s="1"/>
  <c r="BN299" s="1"/>
  <c r="K299"/>
  <c r="L299"/>
  <c r="M299"/>
  <c r="O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L299"/>
  <c r="C299"/>
  <c r="AK298"/>
  <c r="AJ298"/>
  <c r="P298"/>
  <c r="AK297"/>
  <c r="AJ297"/>
  <c r="AI297"/>
  <c r="AK296"/>
  <c r="AJ296"/>
  <c r="P296"/>
  <c r="AK295"/>
  <c r="AK294"/>
  <c r="AJ295"/>
  <c r="AJ294"/>
  <c r="N295"/>
  <c r="N294"/>
  <c r="I295"/>
  <c r="I296"/>
  <c r="I297"/>
  <c r="I294"/>
  <c r="H294" s="1"/>
  <c r="J291" i="9"/>
  <c r="K291"/>
  <c r="D35" i="11" s="1"/>
  <c r="M291" i="9"/>
  <c r="N291"/>
  <c r="O291"/>
  <c r="Q291"/>
  <c r="R291"/>
  <c r="J288"/>
  <c r="K288"/>
  <c r="D34" i="11" s="1"/>
  <c r="M288" i="9"/>
  <c r="N288"/>
  <c r="O288"/>
  <c r="Q288"/>
  <c r="R288"/>
  <c r="K285"/>
  <c r="D33" i="11" s="1"/>
  <c r="M285" i="9"/>
  <c r="N285"/>
  <c r="O285"/>
  <c r="Q285"/>
  <c r="R285"/>
  <c r="J280"/>
  <c r="K280"/>
  <c r="D32" i="11" s="1"/>
  <c r="M280" i="9"/>
  <c r="N280"/>
  <c r="O280"/>
  <c r="Q280"/>
  <c r="R280"/>
  <c r="I291"/>
  <c r="C35" i="11" s="1"/>
  <c r="I288" i="9"/>
  <c r="C34" i="11" s="1"/>
  <c r="I285" i="9"/>
  <c r="C33" i="11" s="1"/>
  <c r="I280" i="9"/>
  <c r="C32" i="11" s="1"/>
  <c r="L290" i="9"/>
  <c r="P290" s="1"/>
  <c r="P291" s="1"/>
  <c r="L287"/>
  <c r="P287" s="1"/>
  <c r="P288" s="1"/>
  <c r="L284"/>
  <c r="P284" s="1"/>
  <c r="L283"/>
  <c r="P283" s="1"/>
  <c r="L282"/>
  <c r="P282" s="1"/>
  <c r="L275"/>
  <c r="P275" s="1"/>
  <c r="L276"/>
  <c r="P276" s="1"/>
  <c r="L277"/>
  <c r="P277" s="1"/>
  <c r="L278"/>
  <c r="P278" s="1"/>
  <c r="L279"/>
  <c r="P279" s="1"/>
  <c r="L274"/>
  <c r="P274" s="1"/>
  <c r="J292" i="10"/>
  <c r="AP292" s="1"/>
  <c r="BN292" s="1"/>
  <c r="K292"/>
  <c r="L292"/>
  <c r="M292"/>
  <c r="N292"/>
  <c r="O292"/>
  <c r="P292"/>
  <c r="Q292"/>
  <c r="R292"/>
  <c r="S292"/>
  <c r="T292"/>
  <c r="U292"/>
  <c r="V292"/>
  <c r="W292"/>
  <c r="Y292"/>
  <c r="Z292"/>
  <c r="AA292"/>
  <c r="AB292"/>
  <c r="AC292"/>
  <c r="AD292"/>
  <c r="AE292"/>
  <c r="AF292"/>
  <c r="AG292"/>
  <c r="AH292"/>
  <c r="AI292"/>
  <c r="AL292"/>
  <c r="H292"/>
  <c r="C292"/>
  <c r="J289"/>
  <c r="AP289" s="1"/>
  <c r="BN289" s="1"/>
  <c r="K289"/>
  <c r="L289"/>
  <c r="M289"/>
  <c r="N289"/>
  <c r="O289"/>
  <c r="P289"/>
  <c r="Q289"/>
  <c r="R289"/>
  <c r="S289"/>
  <c r="T289"/>
  <c r="U289"/>
  <c r="V289"/>
  <c r="W289"/>
  <c r="Y289"/>
  <c r="Z289"/>
  <c r="AA289"/>
  <c r="AB289"/>
  <c r="AC289"/>
  <c r="AD289"/>
  <c r="AE289"/>
  <c r="AF289"/>
  <c r="AG289"/>
  <c r="AH289"/>
  <c r="AI289"/>
  <c r="AL289"/>
  <c r="H289"/>
  <c r="C289"/>
  <c r="X288"/>
  <c r="I291"/>
  <c r="I292" s="1"/>
  <c r="AK288"/>
  <c r="AK289" s="1"/>
  <c r="AJ288"/>
  <c r="AJ289" s="1"/>
  <c r="I288"/>
  <c r="I289" s="1"/>
  <c r="J286"/>
  <c r="AP286" s="1"/>
  <c r="BN286" s="1"/>
  <c r="K286"/>
  <c r="L286"/>
  <c r="M286"/>
  <c r="N286"/>
  <c r="O286"/>
  <c r="P286"/>
  <c r="Q286"/>
  <c r="R286"/>
  <c r="S286"/>
  <c r="T286"/>
  <c r="U286"/>
  <c r="V286"/>
  <c r="W286"/>
  <c r="Y286"/>
  <c r="Z286"/>
  <c r="AA286"/>
  <c r="AB286"/>
  <c r="AC286"/>
  <c r="AD286"/>
  <c r="AE286"/>
  <c r="AF286"/>
  <c r="AG286"/>
  <c r="AH286"/>
  <c r="AI286"/>
  <c r="AL286"/>
  <c r="H286"/>
  <c r="AK285"/>
  <c r="AJ285"/>
  <c r="X285"/>
  <c r="I285"/>
  <c r="AK284"/>
  <c r="AJ284"/>
  <c r="X284"/>
  <c r="I284"/>
  <c r="AK283"/>
  <c r="AK286" s="1"/>
  <c r="AJ283"/>
  <c r="AJ286" s="1"/>
  <c r="X283"/>
  <c r="I283"/>
  <c r="I286" s="1"/>
  <c r="C284"/>
  <c r="BA284" s="1"/>
  <c r="BY284" s="1"/>
  <c r="I278"/>
  <c r="I279"/>
  <c r="I280"/>
  <c r="I277"/>
  <c r="I276"/>
  <c r="I275"/>
  <c r="J272" i="9"/>
  <c r="K272"/>
  <c r="D31" i="11" s="1"/>
  <c r="M272" i="9"/>
  <c r="N272"/>
  <c r="O272"/>
  <c r="Q272"/>
  <c r="R272"/>
  <c r="I272"/>
  <c r="C31" i="11" s="1"/>
  <c r="K269" i="9"/>
  <c r="D30" i="11" s="1"/>
  <c r="M269" i="9"/>
  <c r="N269"/>
  <c r="O269"/>
  <c r="Q269"/>
  <c r="R269"/>
  <c r="I269"/>
  <c r="C30" i="11" s="1"/>
  <c r="J263" i="9"/>
  <c r="K263"/>
  <c r="D29" i="11" s="1"/>
  <c r="M263" i="9"/>
  <c r="N263"/>
  <c r="O263"/>
  <c r="Q263"/>
  <c r="R263"/>
  <c r="I263"/>
  <c r="C29" i="11" s="1"/>
  <c r="L271" i="9"/>
  <c r="P271" s="1"/>
  <c r="P272" s="1"/>
  <c r="L268"/>
  <c r="P268" s="1"/>
  <c r="L267"/>
  <c r="P267" s="1"/>
  <c r="L266"/>
  <c r="P266" s="1"/>
  <c r="L265"/>
  <c r="P265" s="1"/>
  <c r="L262"/>
  <c r="P262" s="1"/>
  <c r="P263" s="1"/>
  <c r="J260"/>
  <c r="K260"/>
  <c r="D28" i="11" s="1"/>
  <c r="M260" i="9"/>
  <c r="N260"/>
  <c r="O260"/>
  <c r="Q260"/>
  <c r="R260"/>
  <c r="I260"/>
  <c r="C28" i="11" s="1"/>
  <c r="L259" i="9"/>
  <c r="L260" s="1"/>
  <c r="F28" i="11" s="1"/>
  <c r="J273" i="10"/>
  <c r="AP273" s="1"/>
  <c r="BN273" s="1"/>
  <c r="K273"/>
  <c r="L273"/>
  <c r="M273"/>
  <c r="N273"/>
  <c r="O273"/>
  <c r="P273"/>
  <c r="Q273"/>
  <c r="R273"/>
  <c r="S273"/>
  <c r="T273"/>
  <c r="U273"/>
  <c r="V273"/>
  <c r="W273"/>
  <c r="Y273"/>
  <c r="Z273"/>
  <c r="AA273"/>
  <c r="AB273"/>
  <c r="AC273"/>
  <c r="AD273"/>
  <c r="AE273"/>
  <c r="AF273"/>
  <c r="AG273"/>
  <c r="AH273"/>
  <c r="AI273"/>
  <c r="AL273"/>
  <c r="H273"/>
  <c r="C273"/>
  <c r="AK272"/>
  <c r="AK273" s="1"/>
  <c r="AJ272"/>
  <c r="AJ273" s="1"/>
  <c r="X272"/>
  <c r="I272"/>
  <c r="I273" s="1"/>
  <c r="J270"/>
  <c r="AP270" s="1"/>
  <c r="BN270" s="1"/>
  <c r="K270"/>
  <c r="L270"/>
  <c r="M270"/>
  <c r="N270"/>
  <c r="O270"/>
  <c r="P270"/>
  <c r="Q270"/>
  <c r="R270"/>
  <c r="S270"/>
  <c r="T270"/>
  <c r="U270"/>
  <c r="V270"/>
  <c r="W270"/>
  <c r="Y270"/>
  <c r="Z270"/>
  <c r="AA270"/>
  <c r="AB270"/>
  <c r="AC270"/>
  <c r="AD270"/>
  <c r="AE270"/>
  <c r="AF270"/>
  <c r="AG270"/>
  <c r="AH270"/>
  <c r="AI270"/>
  <c r="AL270"/>
  <c r="H270"/>
  <c r="X269"/>
  <c r="X268"/>
  <c r="X266"/>
  <c r="X267"/>
  <c r="AK269"/>
  <c r="AJ269"/>
  <c r="I269"/>
  <c r="AK268"/>
  <c r="AJ268"/>
  <c r="I268"/>
  <c r="AK267"/>
  <c r="AJ267"/>
  <c r="I267"/>
  <c r="AK266"/>
  <c r="AJ266"/>
  <c r="I266"/>
  <c r="C269"/>
  <c r="BA269" s="1"/>
  <c r="BY269" s="1"/>
  <c r="C266"/>
  <c r="J264"/>
  <c r="AP264" s="1"/>
  <c r="BN264" s="1"/>
  <c r="K264"/>
  <c r="L264"/>
  <c r="M264"/>
  <c r="N264"/>
  <c r="O264"/>
  <c r="P264"/>
  <c r="Q264"/>
  <c r="R264"/>
  <c r="S264"/>
  <c r="T264"/>
  <c r="U264"/>
  <c r="V264"/>
  <c r="W264"/>
  <c r="Y264"/>
  <c r="Z264"/>
  <c r="AA264"/>
  <c r="AB264"/>
  <c r="AC264"/>
  <c r="AD264"/>
  <c r="AE264"/>
  <c r="AF264"/>
  <c r="AG264"/>
  <c r="AH264"/>
  <c r="AI264"/>
  <c r="AL264"/>
  <c r="H264"/>
  <c r="C264"/>
  <c r="X263"/>
  <c r="AK263"/>
  <c r="AK264" s="1"/>
  <c r="AJ263"/>
  <c r="AJ264" s="1"/>
  <c r="I263"/>
  <c r="I264" s="1"/>
  <c r="AL261"/>
  <c r="J261"/>
  <c r="AP261" s="1"/>
  <c r="BN261" s="1"/>
  <c r="K261"/>
  <c r="L261"/>
  <c r="M261"/>
  <c r="N261"/>
  <c r="O261"/>
  <c r="P261"/>
  <c r="Q261"/>
  <c r="R261"/>
  <c r="S261"/>
  <c r="T261"/>
  <c r="U261"/>
  <c r="V261"/>
  <c r="W261"/>
  <c r="Y261"/>
  <c r="Z261"/>
  <c r="AA261"/>
  <c r="AB261"/>
  <c r="AC261"/>
  <c r="AD261"/>
  <c r="AE261"/>
  <c r="AF261"/>
  <c r="AG261"/>
  <c r="AH261"/>
  <c r="AI261"/>
  <c r="H261"/>
  <c r="C261"/>
  <c r="X260"/>
  <c r="AK260"/>
  <c r="AK261" s="1"/>
  <c r="AJ260"/>
  <c r="AJ261" s="1"/>
  <c r="I260"/>
  <c r="I261" s="1"/>
  <c r="Z159"/>
  <c r="AA159"/>
  <c r="AC159"/>
  <c r="AD159"/>
  <c r="AE159"/>
  <c r="AF159"/>
  <c r="AG159"/>
  <c r="AH159"/>
  <c r="AL159"/>
  <c r="C159"/>
  <c r="AK158"/>
  <c r="AI158"/>
  <c r="BA158" s="1"/>
  <c r="BY158" s="1"/>
  <c r="AJ158"/>
  <c r="P158"/>
  <c r="AS158" s="1"/>
  <c r="BQ158" s="1"/>
  <c r="L158"/>
  <c r="AQ158" s="1"/>
  <c r="BO158" s="1"/>
  <c r="J158"/>
  <c r="J158" i="9"/>
  <c r="K158"/>
  <c r="D13" i="11" s="1"/>
  <c r="M158" i="9"/>
  <c r="N158"/>
  <c r="O158"/>
  <c r="Q158"/>
  <c r="R158"/>
  <c r="I158"/>
  <c r="C13" i="11" s="1"/>
  <c r="J244" i="9"/>
  <c r="K244"/>
  <c r="D26" i="11" s="1"/>
  <c r="M244" i="9"/>
  <c r="N244"/>
  <c r="O244"/>
  <c r="Q244"/>
  <c r="R244"/>
  <c r="I244"/>
  <c r="C26" i="11" s="1"/>
  <c r="J241" i="9"/>
  <c r="K241"/>
  <c r="D25" i="11" s="1"/>
  <c r="M241" i="9"/>
  <c r="N241"/>
  <c r="O241"/>
  <c r="Q241"/>
  <c r="R241"/>
  <c r="I241"/>
  <c r="C25" i="11" s="1"/>
  <c r="J257" i="9"/>
  <c r="K257"/>
  <c r="D27" i="11" s="1"/>
  <c r="M257" i="9"/>
  <c r="N257"/>
  <c r="O257"/>
  <c r="Q257"/>
  <c r="R257"/>
  <c r="I257"/>
  <c r="C27" i="11" s="1"/>
  <c r="L251" i="9"/>
  <c r="P251" s="1"/>
  <c r="L252"/>
  <c r="P252" s="1"/>
  <c r="L253"/>
  <c r="P253" s="1"/>
  <c r="L254"/>
  <c r="P254" s="1"/>
  <c r="L255"/>
  <c r="P255" s="1"/>
  <c r="L256"/>
  <c r="P256" s="1"/>
  <c r="L250"/>
  <c r="P250" s="1"/>
  <c r="L249"/>
  <c r="P249" s="1"/>
  <c r="L248"/>
  <c r="P248" s="1"/>
  <c r="L247"/>
  <c r="P247" s="1"/>
  <c r="L246"/>
  <c r="P246" s="1"/>
  <c r="L243"/>
  <c r="P243" s="1"/>
  <c r="P244" s="1"/>
  <c r="L240"/>
  <c r="P240" s="1"/>
  <c r="P241" s="1"/>
  <c r="K258" i="10"/>
  <c r="M258"/>
  <c r="O258"/>
  <c r="Q258"/>
  <c r="S258"/>
  <c r="U258"/>
  <c r="W258"/>
  <c r="Y258"/>
  <c r="Z258"/>
  <c r="AA258"/>
  <c r="AB258"/>
  <c r="AC258"/>
  <c r="AD258"/>
  <c r="AE258"/>
  <c r="AF258"/>
  <c r="AG258"/>
  <c r="AH258"/>
  <c r="AL258"/>
  <c r="H258"/>
  <c r="C258"/>
  <c r="X256"/>
  <c r="X255"/>
  <c r="X252"/>
  <c r="V257"/>
  <c r="AK253"/>
  <c r="AJ253"/>
  <c r="AI253"/>
  <c r="R253"/>
  <c r="J253"/>
  <c r="T253"/>
  <c r="P253"/>
  <c r="N253"/>
  <c r="L253"/>
  <c r="AQ253" s="1"/>
  <c r="BO253" s="1"/>
  <c r="I248"/>
  <c r="X248"/>
  <c r="AJ248"/>
  <c r="AK248"/>
  <c r="I249"/>
  <c r="AW249"/>
  <c r="BU249" s="1"/>
  <c r="AJ249"/>
  <c r="AK249"/>
  <c r="I250"/>
  <c r="X250"/>
  <c r="AJ250"/>
  <c r="AK250"/>
  <c r="I251"/>
  <c r="X251"/>
  <c r="AJ251"/>
  <c r="AK251"/>
  <c r="I252"/>
  <c r="AJ252"/>
  <c r="AK252"/>
  <c r="I254"/>
  <c r="X254"/>
  <c r="AJ254"/>
  <c r="AK254"/>
  <c r="I255"/>
  <c r="AJ255"/>
  <c r="AK255"/>
  <c r="I256"/>
  <c r="AJ256"/>
  <c r="AK256"/>
  <c r="I257"/>
  <c r="AJ257"/>
  <c r="AK257"/>
  <c r="AK247"/>
  <c r="AJ247"/>
  <c r="AW247"/>
  <c r="BU247" s="1"/>
  <c r="I247"/>
  <c r="J245"/>
  <c r="AP245" s="1"/>
  <c r="BN245" s="1"/>
  <c r="K245"/>
  <c r="L245"/>
  <c r="M245"/>
  <c r="N245"/>
  <c r="O245"/>
  <c r="P245"/>
  <c r="Q245"/>
  <c r="R245"/>
  <c r="S245"/>
  <c r="T245"/>
  <c r="U245"/>
  <c r="V245"/>
  <c r="W245"/>
  <c r="Y245"/>
  <c r="Z245"/>
  <c r="AA245"/>
  <c r="AB245"/>
  <c r="AC245"/>
  <c r="AD245"/>
  <c r="AE245"/>
  <c r="AF245"/>
  <c r="AG245"/>
  <c r="AH245"/>
  <c r="AI245"/>
  <c r="AL245"/>
  <c r="H245"/>
  <c r="C245"/>
  <c r="AK244"/>
  <c r="AK245" s="1"/>
  <c r="AJ244"/>
  <c r="AJ245" s="1"/>
  <c r="X244"/>
  <c r="I244"/>
  <c r="I245" s="1"/>
  <c r="J242"/>
  <c r="AP242" s="1"/>
  <c r="BN242" s="1"/>
  <c r="K242"/>
  <c r="L242"/>
  <c r="M242"/>
  <c r="N242"/>
  <c r="O242"/>
  <c r="P242"/>
  <c r="Q242"/>
  <c r="R242"/>
  <c r="S242"/>
  <c r="T242"/>
  <c r="U242"/>
  <c r="V242"/>
  <c r="W242"/>
  <c r="Y242"/>
  <c r="Z242"/>
  <c r="AA242"/>
  <c r="AB242"/>
  <c r="AC242"/>
  <c r="AD242"/>
  <c r="AE242"/>
  <c r="AF242"/>
  <c r="AG242"/>
  <c r="AH242"/>
  <c r="AI242"/>
  <c r="AL242"/>
  <c r="H242"/>
  <c r="C242"/>
  <c r="AK241"/>
  <c r="AK242" s="1"/>
  <c r="AJ241"/>
  <c r="AJ242" s="1"/>
  <c r="X241"/>
  <c r="I241"/>
  <c r="I242" s="1"/>
  <c r="L237" i="9"/>
  <c r="P237" s="1"/>
  <c r="P238" s="1"/>
  <c r="J238"/>
  <c r="K238"/>
  <c r="D24" i="11" s="1"/>
  <c r="M238" i="9"/>
  <c r="N238"/>
  <c r="O238"/>
  <c r="Q238"/>
  <c r="R238"/>
  <c r="I238"/>
  <c r="C24" i="11" s="1"/>
  <c r="J239" i="10"/>
  <c r="AP239" s="1"/>
  <c r="BN239" s="1"/>
  <c r="K239"/>
  <c r="L239"/>
  <c r="M239"/>
  <c r="N239"/>
  <c r="O239"/>
  <c r="P239"/>
  <c r="Q239"/>
  <c r="R239"/>
  <c r="S239"/>
  <c r="T239"/>
  <c r="U239"/>
  <c r="V239"/>
  <c r="W239"/>
  <c r="Y239"/>
  <c r="Z239"/>
  <c r="AA239"/>
  <c r="AB239"/>
  <c r="AC239"/>
  <c r="AD239"/>
  <c r="AE239"/>
  <c r="AF239"/>
  <c r="AG239"/>
  <c r="AH239"/>
  <c r="AI239"/>
  <c r="AL239"/>
  <c r="H239"/>
  <c r="C239"/>
  <c r="AK238"/>
  <c r="AK239" s="1"/>
  <c r="AJ238"/>
  <c r="AJ239" s="1"/>
  <c r="X238"/>
  <c r="I238"/>
  <c r="I239" s="1"/>
  <c r="J235" i="9"/>
  <c r="K235"/>
  <c r="D23" i="11" s="1"/>
  <c r="M235" i="9"/>
  <c r="N235"/>
  <c r="O235"/>
  <c r="Q235"/>
  <c r="R235"/>
  <c r="I235"/>
  <c r="C23" i="11" s="1"/>
  <c r="L234" i="9"/>
  <c r="P234" s="1"/>
  <c r="P235" s="1"/>
  <c r="K236" i="10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L236"/>
  <c r="H236"/>
  <c r="C236"/>
  <c r="AK235"/>
  <c r="AK236" s="1"/>
  <c r="AJ235"/>
  <c r="AJ236" s="1"/>
  <c r="AI235"/>
  <c r="J235"/>
  <c r="L235"/>
  <c r="AQ235" s="1"/>
  <c r="BO235" s="1"/>
  <c r="J228" i="9"/>
  <c r="K228"/>
  <c r="D21" i="11" s="1"/>
  <c r="M228" i="9"/>
  <c r="N228"/>
  <c r="O228"/>
  <c r="Q228"/>
  <c r="R228"/>
  <c r="I228"/>
  <c r="C21" i="11" s="1"/>
  <c r="L231" i="9"/>
  <c r="P231" s="1"/>
  <c r="L230"/>
  <c r="L227"/>
  <c r="P227" s="1"/>
  <c r="L226"/>
  <c r="P226" s="1"/>
  <c r="J233" i="10"/>
  <c r="AP233" s="1"/>
  <c r="BN233" s="1"/>
  <c r="K233"/>
  <c r="L233"/>
  <c r="M233"/>
  <c r="N233"/>
  <c r="O233"/>
  <c r="P233"/>
  <c r="Q233"/>
  <c r="R233"/>
  <c r="S233"/>
  <c r="T233"/>
  <c r="U233"/>
  <c r="V233"/>
  <c r="W233"/>
  <c r="Y233"/>
  <c r="Z233"/>
  <c r="AA233"/>
  <c r="AB233"/>
  <c r="AC233"/>
  <c r="AD233"/>
  <c r="AE233"/>
  <c r="AF233"/>
  <c r="AG233"/>
  <c r="AH233"/>
  <c r="AI233"/>
  <c r="AL233"/>
  <c r="H233"/>
  <c r="C233"/>
  <c r="AK232"/>
  <c r="AJ232"/>
  <c r="X232"/>
  <c r="I232"/>
  <c r="AK231"/>
  <c r="AK233" s="1"/>
  <c r="AJ231"/>
  <c r="AJ233" s="1"/>
  <c r="X231"/>
  <c r="I231"/>
  <c r="I233" s="1"/>
  <c r="K229"/>
  <c r="L229"/>
  <c r="M229"/>
  <c r="N229"/>
  <c r="O229"/>
  <c r="P229"/>
  <c r="Q229"/>
  <c r="R229"/>
  <c r="S229"/>
  <c r="T229"/>
  <c r="U229"/>
  <c r="V229"/>
  <c r="W229"/>
  <c r="Y229"/>
  <c r="Z229"/>
  <c r="AA229"/>
  <c r="AB229"/>
  <c r="AC229"/>
  <c r="AD229"/>
  <c r="AE229"/>
  <c r="AF229"/>
  <c r="AG229"/>
  <c r="AH229"/>
  <c r="AI229"/>
  <c r="AL229"/>
  <c r="H229"/>
  <c r="C229"/>
  <c r="AK227"/>
  <c r="AJ227"/>
  <c r="AK228"/>
  <c r="AJ228"/>
  <c r="X228"/>
  <c r="I228"/>
  <c r="J224" i="9"/>
  <c r="K224"/>
  <c r="D20" i="11" s="1"/>
  <c r="M224" i="9"/>
  <c r="N224"/>
  <c r="O224"/>
  <c r="Q224"/>
  <c r="R224"/>
  <c r="I224"/>
  <c r="C20" i="11" s="1"/>
  <c r="L210" i="9"/>
  <c r="P210" s="1"/>
  <c r="L211"/>
  <c r="P211" s="1"/>
  <c r="L212"/>
  <c r="P212" s="1"/>
  <c r="L213"/>
  <c r="P213" s="1"/>
  <c r="L214"/>
  <c r="P214" s="1"/>
  <c r="L215"/>
  <c r="P215" s="1"/>
  <c r="L216"/>
  <c r="P216" s="1"/>
  <c r="L217"/>
  <c r="P217" s="1"/>
  <c r="L218"/>
  <c r="P218" s="1"/>
  <c r="L219"/>
  <c r="P219" s="1"/>
  <c r="L220"/>
  <c r="P220" s="1"/>
  <c r="L221"/>
  <c r="P221" s="1"/>
  <c r="L222"/>
  <c r="P222" s="1"/>
  <c r="L223"/>
  <c r="P223" s="1"/>
  <c r="L209"/>
  <c r="P209" s="1"/>
  <c r="X213" i="10"/>
  <c r="K225"/>
  <c r="M225"/>
  <c r="O225"/>
  <c r="Q225"/>
  <c r="R225"/>
  <c r="S225"/>
  <c r="U225"/>
  <c r="V225"/>
  <c r="W225"/>
  <c r="Y225"/>
  <c r="AA225"/>
  <c r="AB225"/>
  <c r="AC225"/>
  <c r="AD225"/>
  <c r="AE225"/>
  <c r="AF225"/>
  <c r="AG225"/>
  <c r="AH225"/>
  <c r="AL225"/>
  <c r="H225"/>
  <c r="C225"/>
  <c r="Z220"/>
  <c r="Z221"/>
  <c r="J223"/>
  <c r="AK223"/>
  <c r="AK224"/>
  <c r="AJ223"/>
  <c r="J221"/>
  <c r="T223"/>
  <c r="AU223" s="1"/>
  <c r="BS223" s="1"/>
  <c r="P223"/>
  <c r="AS223" s="1"/>
  <c r="BQ223" s="1"/>
  <c r="N223"/>
  <c r="AR223" s="1"/>
  <c r="BP223" s="1"/>
  <c r="L223"/>
  <c r="AQ223" s="1"/>
  <c r="BO223" s="1"/>
  <c r="T221"/>
  <c r="AU221" s="1"/>
  <c r="BS221" s="1"/>
  <c r="P221"/>
  <c r="AS221" s="1"/>
  <c r="BQ221" s="1"/>
  <c r="N221"/>
  <c r="AR221" s="1"/>
  <c r="BP221" s="1"/>
  <c r="L221"/>
  <c r="AQ221" s="1"/>
  <c r="BO221" s="1"/>
  <c r="T220"/>
  <c r="P220"/>
  <c r="AS220" s="1"/>
  <c r="BQ220" s="1"/>
  <c r="N220"/>
  <c r="AQ220"/>
  <c r="BO220" s="1"/>
  <c r="AI223"/>
  <c r="BA223" s="1"/>
  <c r="BY223" s="1"/>
  <c r="AI220"/>
  <c r="BA220" s="1"/>
  <c r="BY220" s="1"/>
  <c r="AI221"/>
  <c r="BA221" s="1"/>
  <c r="BY221" s="1"/>
  <c r="I211"/>
  <c r="X211"/>
  <c r="AJ211"/>
  <c r="AK211"/>
  <c r="I212"/>
  <c r="X212"/>
  <c r="AJ212"/>
  <c r="AK212"/>
  <c r="I213"/>
  <c r="AJ213"/>
  <c r="AK213"/>
  <c r="I214"/>
  <c r="X214"/>
  <c r="AJ214"/>
  <c r="AK214"/>
  <c r="I215"/>
  <c r="X215"/>
  <c r="AJ215"/>
  <c r="AK215"/>
  <c r="I216"/>
  <c r="X216"/>
  <c r="AJ216"/>
  <c r="AK216"/>
  <c r="I217"/>
  <c r="X217"/>
  <c r="AJ217"/>
  <c r="AK217"/>
  <c r="I218"/>
  <c r="X218"/>
  <c r="AJ218"/>
  <c r="AK218"/>
  <c r="I219"/>
  <c r="X219"/>
  <c r="AJ219"/>
  <c r="AK219"/>
  <c r="I222"/>
  <c r="X222"/>
  <c r="AJ222"/>
  <c r="AK222"/>
  <c r="I224"/>
  <c r="X224"/>
  <c r="AJ224"/>
  <c r="AK210"/>
  <c r="AJ210"/>
  <c r="X210"/>
  <c r="I210"/>
  <c r="J207" i="9"/>
  <c r="K207"/>
  <c r="D19" i="11" s="1"/>
  <c r="M207" i="9"/>
  <c r="N207"/>
  <c r="O207"/>
  <c r="Q207"/>
  <c r="R207"/>
  <c r="I207"/>
  <c r="C19" i="11" s="1"/>
  <c r="L204" i="9"/>
  <c r="P204" s="1"/>
  <c r="L205"/>
  <c r="P205" s="1"/>
  <c r="L206"/>
  <c r="P206" s="1"/>
  <c r="L203"/>
  <c r="J208" i="10"/>
  <c r="AP208" s="1"/>
  <c r="BN208" s="1"/>
  <c r="K208"/>
  <c r="L208"/>
  <c r="M208"/>
  <c r="N208"/>
  <c r="O208"/>
  <c r="P208"/>
  <c r="Q208"/>
  <c r="R208"/>
  <c r="S208"/>
  <c r="T208"/>
  <c r="U208"/>
  <c r="V208"/>
  <c r="W208"/>
  <c r="Y208"/>
  <c r="Z208"/>
  <c r="AA208"/>
  <c r="AB208"/>
  <c r="AC208"/>
  <c r="AD208"/>
  <c r="AE208"/>
  <c r="AF208"/>
  <c r="AG208"/>
  <c r="AH208"/>
  <c r="AI208"/>
  <c r="AL208"/>
  <c r="C208"/>
  <c r="AK207"/>
  <c r="AJ207"/>
  <c r="AW207"/>
  <c r="BU207" s="1"/>
  <c r="I207"/>
  <c r="AK206"/>
  <c r="AJ206"/>
  <c r="X206"/>
  <c r="I206"/>
  <c r="AK205"/>
  <c r="AJ205"/>
  <c r="X205"/>
  <c r="I205"/>
  <c r="AK204"/>
  <c r="AK208" s="1"/>
  <c r="AJ204"/>
  <c r="I204"/>
  <c r="J201" i="9"/>
  <c r="K201"/>
  <c r="D18" i="11" s="1"/>
  <c r="M201" i="9"/>
  <c r="N201"/>
  <c r="O201"/>
  <c r="Q201"/>
  <c r="R201"/>
  <c r="I201"/>
  <c r="C18" i="11" s="1"/>
  <c r="L199" i="9"/>
  <c r="P199" s="1"/>
  <c r="L200"/>
  <c r="P200" s="1"/>
  <c r="L198"/>
  <c r="P198" s="1"/>
  <c r="C202" i="10"/>
  <c r="H202"/>
  <c r="J202"/>
  <c r="AP202" s="1"/>
  <c r="BN202" s="1"/>
  <c r="K202"/>
  <c r="L202"/>
  <c r="M202"/>
  <c r="N202"/>
  <c r="O202"/>
  <c r="P202"/>
  <c r="Q202"/>
  <c r="R202"/>
  <c r="S202"/>
  <c r="T202"/>
  <c r="U202"/>
  <c r="V202"/>
  <c r="W202"/>
  <c r="Y202"/>
  <c r="Z202"/>
  <c r="AA202"/>
  <c r="AB202"/>
  <c r="AC202"/>
  <c r="AD202"/>
  <c r="AE202"/>
  <c r="AF202"/>
  <c r="AG202"/>
  <c r="AH202"/>
  <c r="AI202"/>
  <c r="BA202" s="1"/>
  <c r="BY202" s="1"/>
  <c r="AL202"/>
  <c r="AK201"/>
  <c r="AJ201"/>
  <c r="X201"/>
  <c r="I201"/>
  <c r="AK200"/>
  <c r="AJ200"/>
  <c r="X200"/>
  <c r="I200"/>
  <c r="AK199"/>
  <c r="AK202" s="1"/>
  <c r="AJ199"/>
  <c r="AJ202" s="1"/>
  <c r="X199"/>
  <c r="I199"/>
  <c r="I202" s="1"/>
  <c r="L190" i="9"/>
  <c r="P190" s="1"/>
  <c r="L191"/>
  <c r="P191" s="1"/>
  <c r="L192"/>
  <c r="P192" s="1"/>
  <c r="L193"/>
  <c r="P193" s="1"/>
  <c r="L194"/>
  <c r="P194" s="1"/>
  <c r="L195"/>
  <c r="P195" s="1"/>
  <c r="L189"/>
  <c r="P189" s="1"/>
  <c r="K196"/>
  <c r="D17" i="11" s="1"/>
  <c r="M196" i="9"/>
  <c r="N196"/>
  <c r="O196"/>
  <c r="Q196"/>
  <c r="R196"/>
  <c r="I196"/>
  <c r="C17" i="11" s="1"/>
  <c r="I191" i="10"/>
  <c r="I192"/>
  <c r="I193"/>
  <c r="I194"/>
  <c r="I195"/>
  <c r="I196"/>
  <c r="I190"/>
  <c r="AL197"/>
  <c r="J197"/>
  <c r="AP197" s="1"/>
  <c r="BN197" s="1"/>
  <c r="K197"/>
  <c r="L197"/>
  <c r="M197"/>
  <c r="N197"/>
  <c r="O197"/>
  <c r="P197"/>
  <c r="Q197"/>
  <c r="R197"/>
  <c r="S197"/>
  <c r="T197"/>
  <c r="U197"/>
  <c r="V197"/>
  <c r="W197"/>
  <c r="Y197"/>
  <c r="Z197"/>
  <c r="AA197"/>
  <c r="AB197"/>
  <c r="AC197"/>
  <c r="AD197"/>
  <c r="AE197"/>
  <c r="AF197"/>
  <c r="AG197"/>
  <c r="AH197"/>
  <c r="AI197"/>
  <c r="C197"/>
  <c r="L185" i="9"/>
  <c r="P185" s="1"/>
  <c r="L186"/>
  <c r="P186" s="1"/>
  <c r="L184"/>
  <c r="P184" s="1"/>
  <c r="J187"/>
  <c r="K187"/>
  <c r="D16" i="11" s="1"/>
  <c r="M187" i="9"/>
  <c r="N187"/>
  <c r="O187"/>
  <c r="Q187"/>
  <c r="R187"/>
  <c r="I187"/>
  <c r="C16" i="11" s="1"/>
  <c r="J188" i="10"/>
  <c r="AP188" s="1"/>
  <c r="BN188" s="1"/>
  <c r="K188"/>
  <c r="L188"/>
  <c r="M188"/>
  <c r="N188"/>
  <c r="O188"/>
  <c r="P188"/>
  <c r="Q188"/>
  <c r="R188"/>
  <c r="S188"/>
  <c r="T188"/>
  <c r="U188"/>
  <c r="V188"/>
  <c r="W188"/>
  <c r="Y188"/>
  <c r="Z188"/>
  <c r="AA188"/>
  <c r="AB188"/>
  <c r="AC188"/>
  <c r="AD188"/>
  <c r="AE188"/>
  <c r="AF188"/>
  <c r="AG188"/>
  <c r="AH188"/>
  <c r="AI188"/>
  <c r="AL188"/>
  <c r="H188"/>
  <c r="C188"/>
  <c r="AK187"/>
  <c r="AJ187"/>
  <c r="AK186"/>
  <c r="AJ186"/>
  <c r="AK185"/>
  <c r="AK188" s="1"/>
  <c r="AJ185"/>
  <c r="X187"/>
  <c r="X186"/>
  <c r="X185"/>
  <c r="I186"/>
  <c r="I187"/>
  <c r="I185"/>
  <c r="J182" i="9"/>
  <c r="K182"/>
  <c r="D15" i="11" s="1"/>
  <c r="M182" i="9"/>
  <c r="N182"/>
  <c r="O182"/>
  <c r="Q182"/>
  <c r="R182"/>
  <c r="I182"/>
  <c r="C15" i="11" s="1"/>
  <c r="L170" i="9"/>
  <c r="P170" s="1"/>
  <c r="L172"/>
  <c r="P172" s="1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P181" s="1"/>
  <c r="L169"/>
  <c r="L183" i="10"/>
  <c r="M183"/>
  <c r="N183"/>
  <c r="O183"/>
  <c r="Q183"/>
  <c r="R183"/>
  <c r="S183"/>
  <c r="U183"/>
  <c r="V183"/>
  <c r="W183"/>
  <c r="Y183"/>
  <c r="Z183"/>
  <c r="AA183"/>
  <c r="AB183"/>
  <c r="AC183"/>
  <c r="AD183"/>
  <c r="AE183"/>
  <c r="AF183"/>
  <c r="AG183"/>
  <c r="AH183"/>
  <c r="AL183"/>
  <c r="AM183"/>
  <c r="AN183"/>
  <c r="K183"/>
  <c r="J183"/>
  <c r="AP183" s="1"/>
  <c r="BN183" s="1"/>
  <c r="C183"/>
  <c r="C168"/>
  <c r="P172"/>
  <c r="AK172"/>
  <c r="AJ172"/>
  <c r="AI172"/>
  <c r="T172"/>
  <c r="AW171"/>
  <c r="BU171" s="1"/>
  <c r="AJ171"/>
  <c r="AK171"/>
  <c r="AJ173"/>
  <c r="AK173"/>
  <c r="AJ174"/>
  <c r="AK174"/>
  <c r="AJ175"/>
  <c r="AK175"/>
  <c r="AJ176"/>
  <c r="AK176"/>
  <c r="AJ177"/>
  <c r="AK177"/>
  <c r="AJ178"/>
  <c r="AK178"/>
  <c r="AJ179"/>
  <c r="AK179"/>
  <c r="AJ180"/>
  <c r="AK180"/>
  <c r="AJ181"/>
  <c r="AK181"/>
  <c r="AJ182"/>
  <c r="AK182"/>
  <c r="AK170"/>
  <c r="AJ170"/>
  <c r="X173"/>
  <c r="X174"/>
  <c r="X175"/>
  <c r="X176"/>
  <c r="X177"/>
  <c r="X178"/>
  <c r="X179"/>
  <c r="X180"/>
  <c r="X181"/>
  <c r="X182"/>
  <c r="X170"/>
  <c r="I171"/>
  <c r="I173"/>
  <c r="I174"/>
  <c r="I175"/>
  <c r="I176"/>
  <c r="I177"/>
  <c r="I178"/>
  <c r="I179"/>
  <c r="I180"/>
  <c r="I181"/>
  <c r="I182"/>
  <c r="I170"/>
  <c r="J167" i="9"/>
  <c r="K167"/>
  <c r="D14" i="11" s="1"/>
  <c r="M167" i="9"/>
  <c r="N167"/>
  <c r="O167"/>
  <c r="Q167"/>
  <c r="R167"/>
  <c r="I167"/>
  <c r="C14" i="11" s="1"/>
  <c r="L162" i="9"/>
  <c r="P162" s="1"/>
  <c r="L163"/>
  <c r="P163" s="1"/>
  <c r="L165"/>
  <c r="P165" s="1"/>
  <c r="L166"/>
  <c r="P166" s="1"/>
  <c r="L160"/>
  <c r="P160" s="1"/>
  <c r="J168" i="10"/>
  <c r="AP168" s="1"/>
  <c r="BN168" s="1"/>
  <c r="K168"/>
  <c r="K15" s="1"/>
  <c r="L168"/>
  <c r="M168"/>
  <c r="M15" s="1"/>
  <c r="O168"/>
  <c r="O15" s="1"/>
  <c r="Q168"/>
  <c r="Q15" s="1"/>
  <c r="R168"/>
  <c r="S168"/>
  <c r="S15" s="1"/>
  <c r="U168"/>
  <c r="U15" s="1"/>
  <c r="V168"/>
  <c r="W168"/>
  <c r="W15" s="1"/>
  <c r="Y168"/>
  <c r="Y15" s="1"/>
  <c r="Z168"/>
  <c r="AA168"/>
  <c r="AC168"/>
  <c r="AD168"/>
  <c r="AE168"/>
  <c r="AF168"/>
  <c r="AG168"/>
  <c r="AH168"/>
  <c r="AI168"/>
  <c r="AL168"/>
  <c r="I162"/>
  <c r="I163"/>
  <c r="I164"/>
  <c r="I166"/>
  <c r="I167"/>
  <c r="N168"/>
  <c r="I161"/>
  <c r="T168"/>
  <c r="P168"/>
  <c r="AK163"/>
  <c r="AJ163"/>
  <c r="X164"/>
  <c r="X163"/>
  <c r="AK161"/>
  <c r="AJ161"/>
  <c r="X161"/>
  <c r="V88"/>
  <c r="N109"/>
  <c r="L125"/>
  <c r="AQ125" s="1"/>
  <c r="BO125" s="1"/>
  <c r="V129"/>
  <c r="N134"/>
  <c r="AR134" s="1"/>
  <c r="BP134" s="1"/>
  <c r="V135"/>
  <c r="V138"/>
  <c r="AI149"/>
  <c r="AI153"/>
  <c r="F154"/>
  <c r="F156"/>
  <c r="F157"/>
  <c r="F141"/>
  <c r="F142"/>
  <c r="F127"/>
  <c r="F128"/>
  <c r="F130"/>
  <c r="F132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0"/>
  <c r="F121"/>
  <c r="F123"/>
  <c r="F124"/>
  <c r="F75"/>
  <c r="F76"/>
  <c r="F77"/>
  <c r="F78"/>
  <c r="F79"/>
  <c r="F80"/>
  <c r="F82"/>
  <c r="F83"/>
  <c r="F84"/>
  <c r="F85"/>
  <c r="F86"/>
  <c r="F87"/>
  <c r="F89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3"/>
  <c r="F74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8"/>
  <c r="F19"/>
  <c r="F20"/>
  <c r="F21"/>
  <c r="F22"/>
  <c r="F23"/>
  <c r="F24"/>
  <c r="F25"/>
  <c r="F26"/>
  <c r="F27"/>
  <c r="F28"/>
  <c r="F29"/>
  <c r="F30"/>
  <c r="F31"/>
  <c r="F17"/>
  <c r="L17" i="9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L48"/>
  <c r="P48" s="1"/>
  <c r="L49"/>
  <c r="P49" s="1"/>
  <c r="L50"/>
  <c r="P50" s="1"/>
  <c r="L51"/>
  <c r="P51" s="1"/>
  <c r="L52"/>
  <c r="P52" s="1"/>
  <c r="L53"/>
  <c r="P53" s="1"/>
  <c r="L54"/>
  <c r="P54" s="1"/>
  <c r="L55"/>
  <c r="P55" s="1"/>
  <c r="L56"/>
  <c r="P56" s="1"/>
  <c r="L57"/>
  <c r="P57" s="1"/>
  <c r="L58"/>
  <c r="P58" s="1"/>
  <c r="L59"/>
  <c r="P59" s="1"/>
  <c r="L60"/>
  <c r="P60" s="1"/>
  <c r="L61"/>
  <c r="P61" s="1"/>
  <c r="L63"/>
  <c r="P63" s="1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L81"/>
  <c r="P81" s="1"/>
  <c r="L82"/>
  <c r="P82" s="1"/>
  <c r="L83"/>
  <c r="P83" s="1"/>
  <c r="L84"/>
  <c r="P84" s="1"/>
  <c r="L85"/>
  <c r="P85" s="1"/>
  <c r="L86"/>
  <c r="P86" s="1"/>
  <c r="L88"/>
  <c r="P88" s="1"/>
  <c r="L89"/>
  <c r="P89" s="1"/>
  <c r="L90"/>
  <c r="P90" s="1"/>
  <c r="L91"/>
  <c r="P91" s="1"/>
  <c r="L92"/>
  <c r="P92" s="1"/>
  <c r="L93"/>
  <c r="P93" s="1"/>
  <c r="L94"/>
  <c r="P94" s="1"/>
  <c r="L95"/>
  <c r="P95" s="1"/>
  <c r="L96"/>
  <c r="P96" s="1"/>
  <c r="L97"/>
  <c r="P97" s="1"/>
  <c r="L98"/>
  <c r="P98" s="1"/>
  <c r="L99"/>
  <c r="P99" s="1"/>
  <c r="L100"/>
  <c r="P100" s="1"/>
  <c r="L101"/>
  <c r="P101" s="1"/>
  <c r="L102"/>
  <c r="P102" s="1"/>
  <c r="L103"/>
  <c r="P103" s="1"/>
  <c r="L104"/>
  <c r="P104" s="1"/>
  <c r="L105"/>
  <c r="P105" s="1"/>
  <c r="L106"/>
  <c r="P106" s="1"/>
  <c r="L107"/>
  <c r="P107" s="1"/>
  <c r="L109"/>
  <c r="P109" s="1"/>
  <c r="L110"/>
  <c r="P110" s="1"/>
  <c r="L111"/>
  <c r="P111" s="1"/>
  <c r="L112"/>
  <c r="P112" s="1"/>
  <c r="L113"/>
  <c r="P113" s="1"/>
  <c r="L114"/>
  <c r="P114" s="1"/>
  <c r="L115"/>
  <c r="P115" s="1"/>
  <c r="L116"/>
  <c r="P116" s="1"/>
  <c r="L117"/>
  <c r="P117" s="1"/>
  <c r="L118"/>
  <c r="P118" s="1"/>
  <c r="L119"/>
  <c r="P119" s="1"/>
  <c r="L120"/>
  <c r="P120" s="1"/>
  <c r="L122"/>
  <c r="P122" s="1"/>
  <c r="L123"/>
  <c r="P123" s="1"/>
  <c r="L126"/>
  <c r="P126" s="1"/>
  <c r="L127"/>
  <c r="P127" s="1"/>
  <c r="L129"/>
  <c r="P129" s="1"/>
  <c r="L131"/>
  <c r="P131" s="1"/>
  <c r="L140"/>
  <c r="P140" s="1"/>
  <c r="L141"/>
  <c r="P141" s="1"/>
  <c r="L153"/>
  <c r="P153" s="1"/>
  <c r="L155"/>
  <c r="P155" s="1"/>
  <c r="L156"/>
  <c r="P156" s="1"/>
  <c r="L16"/>
  <c r="AK155" i="10"/>
  <c r="AJ155"/>
  <c r="AI155"/>
  <c r="BA155" s="1"/>
  <c r="BY155" s="1"/>
  <c r="F992" i="5" l="1"/>
  <c r="E993"/>
  <c r="N991" i="7" s="1"/>
  <c r="R992"/>
  <c r="S992"/>
  <c r="V992" s="1"/>
  <c r="C12" i="11"/>
  <c r="D12"/>
  <c r="D11" s="1"/>
  <c r="AH15" i="10"/>
  <c r="AF15"/>
  <c r="AD15"/>
  <c r="AA15"/>
  <c r="AL15"/>
  <c r="AG15"/>
  <c r="AE15"/>
  <c r="AC15"/>
  <c r="AW163"/>
  <c r="BU163" s="1"/>
  <c r="AW170"/>
  <c r="BU170" s="1"/>
  <c r="AW181"/>
  <c r="BU181" s="1"/>
  <c r="AW179"/>
  <c r="BU179" s="1"/>
  <c r="AW177"/>
  <c r="BU177" s="1"/>
  <c r="AW175"/>
  <c r="BU175" s="1"/>
  <c r="AW173"/>
  <c r="BU173" s="1"/>
  <c r="AW186"/>
  <c r="BU186" s="1"/>
  <c r="AJ208"/>
  <c r="AW210"/>
  <c r="BU210" s="1"/>
  <c r="AW224"/>
  <c r="BU224" s="1"/>
  <c r="AW222"/>
  <c r="BU222" s="1"/>
  <c r="AW219"/>
  <c r="BU219" s="1"/>
  <c r="AW218"/>
  <c r="BU218" s="1"/>
  <c r="AW217"/>
  <c r="BU217" s="1"/>
  <c r="AW216"/>
  <c r="BU216" s="1"/>
  <c r="AW215"/>
  <c r="BU215" s="1"/>
  <c r="AW214"/>
  <c r="BU214" s="1"/>
  <c r="AP221"/>
  <c r="BN221" s="1"/>
  <c r="AP223"/>
  <c r="BN223" s="1"/>
  <c r="AP220"/>
  <c r="BN220" s="1"/>
  <c r="AW254"/>
  <c r="BU254" s="1"/>
  <c r="AW255"/>
  <c r="BU255" s="1"/>
  <c r="AW266"/>
  <c r="BU266" s="1"/>
  <c r="AW269"/>
  <c r="BU269" s="1"/>
  <c r="AR295"/>
  <c r="BP295" s="1"/>
  <c r="AW305"/>
  <c r="BU305" s="1"/>
  <c r="AW309"/>
  <c r="BU309" s="1"/>
  <c r="AW312"/>
  <c r="BU312" s="1"/>
  <c r="AW161"/>
  <c r="BU161" s="1"/>
  <c r="AW164"/>
  <c r="BU164" s="1"/>
  <c r="AW182"/>
  <c r="BU182" s="1"/>
  <c r="AW180"/>
  <c r="BU180" s="1"/>
  <c r="AW178"/>
  <c r="BU178" s="1"/>
  <c r="AW176"/>
  <c r="BU176" s="1"/>
  <c r="AW174"/>
  <c r="BU174" s="1"/>
  <c r="AW185"/>
  <c r="BU185" s="1"/>
  <c r="AW187"/>
  <c r="BU187" s="1"/>
  <c r="AW200"/>
  <c r="BU200" s="1"/>
  <c r="AW201"/>
  <c r="BU201" s="1"/>
  <c r="AW205"/>
  <c r="BU205" s="1"/>
  <c r="AW206"/>
  <c r="BU206" s="1"/>
  <c r="AW212"/>
  <c r="BU212" s="1"/>
  <c r="AW211"/>
  <c r="BU211" s="1"/>
  <c r="AW213"/>
  <c r="BU213" s="1"/>
  <c r="AW232"/>
  <c r="BU232" s="1"/>
  <c r="AW251"/>
  <c r="BU251" s="1"/>
  <c r="AW250"/>
  <c r="BU250" s="1"/>
  <c r="AW248"/>
  <c r="BU248" s="1"/>
  <c r="AW252"/>
  <c r="BU252" s="1"/>
  <c r="AW256"/>
  <c r="BU256" s="1"/>
  <c r="AW267"/>
  <c r="BU267" s="1"/>
  <c r="AW268"/>
  <c r="BU268" s="1"/>
  <c r="AW284"/>
  <c r="BU284" s="1"/>
  <c r="AW285"/>
  <c r="BU285" s="1"/>
  <c r="AR294"/>
  <c r="BP294" s="1"/>
  <c r="AW313"/>
  <c r="BU313" s="1"/>
  <c r="AW317"/>
  <c r="BU317" s="1"/>
  <c r="AW318"/>
  <c r="BU318" s="1"/>
  <c r="BA153"/>
  <c r="BY153" s="1"/>
  <c r="AV138"/>
  <c r="BT138" s="1"/>
  <c r="BA149"/>
  <c r="BY149" s="1"/>
  <c r="AV135"/>
  <c r="BT135" s="1"/>
  <c r="AV129"/>
  <c r="BT129" s="1"/>
  <c r="AP158"/>
  <c r="BN158" s="1"/>
  <c r="AV88"/>
  <c r="BT88" s="1"/>
  <c r="AJ220"/>
  <c r="AX220"/>
  <c r="BV220" s="1"/>
  <c r="AI236"/>
  <c r="BA236" s="1"/>
  <c r="BY236" s="1"/>
  <c r="BA235"/>
  <c r="BY235" s="1"/>
  <c r="C270"/>
  <c r="BA266"/>
  <c r="BY266" s="1"/>
  <c r="L236"/>
  <c r="AQ236" s="1"/>
  <c r="BO236" s="1"/>
  <c r="AR109"/>
  <c r="BP109" s="1"/>
  <c r="AK221"/>
  <c r="AX221"/>
  <c r="BV221" s="1"/>
  <c r="J236"/>
  <c r="AP236" s="1"/>
  <c r="BN236" s="1"/>
  <c r="AP235"/>
  <c r="BN235" s="1"/>
  <c r="AJ221"/>
  <c r="I235"/>
  <c r="I236" s="1"/>
  <c r="C286"/>
  <c r="I493"/>
  <c r="I629"/>
  <c r="Y13"/>
  <c r="W13"/>
  <c r="AX159"/>
  <c r="BV159" s="1"/>
  <c r="AZ359"/>
  <c r="BX359" s="1"/>
  <c r="I564"/>
  <c r="AX359"/>
  <c r="BV359" s="1"/>
  <c r="AZ229"/>
  <c r="BX229" s="1"/>
  <c r="AY229"/>
  <c r="BW229" s="1"/>
  <c r="AX229"/>
  <c r="BV229" s="1"/>
  <c r="BA233"/>
  <c r="BY233" s="1"/>
  <c r="AV233"/>
  <c r="BT233" s="1"/>
  <c r="AU233"/>
  <c r="BS233" s="1"/>
  <c r="AT233"/>
  <c r="BR233" s="1"/>
  <c r="AS233"/>
  <c r="BQ233" s="1"/>
  <c r="AR233"/>
  <c r="BP233" s="1"/>
  <c r="AQ233"/>
  <c r="BO233" s="1"/>
  <c r="AZ236"/>
  <c r="BX236" s="1"/>
  <c r="AY236"/>
  <c r="BW236" s="1"/>
  <c r="AX236"/>
  <c r="BV236" s="1"/>
  <c r="AW236"/>
  <c r="BU236" s="1"/>
  <c r="AV236"/>
  <c r="BT236" s="1"/>
  <c r="AU236"/>
  <c r="BS236" s="1"/>
  <c r="AT236"/>
  <c r="BR236" s="1"/>
  <c r="AS236"/>
  <c r="BQ236" s="1"/>
  <c r="AR236"/>
  <c r="BP236" s="1"/>
  <c r="BA239"/>
  <c r="BY239" s="1"/>
  <c r="AV239"/>
  <c r="BT239" s="1"/>
  <c r="AU239"/>
  <c r="BS239" s="1"/>
  <c r="AT239"/>
  <c r="BR239" s="1"/>
  <c r="AS239"/>
  <c r="BQ239" s="1"/>
  <c r="AR239"/>
  <c r="BP239" s="1"/>
  <c r="AQ239"/>
  <c r="BO239" s="1"/>
  <c r="AZ242"/>
  <c r="BX242" s="1"/>
  <c r="AY242"/>
  <c r="BW242" s="1"/>
  <c r="AX242"/>
  <c r="BV242" s="1"/>
  <c r="AZ245"/>
  <c r="BX245" s="1"/>
  <c r="AY245"/>
  <c r="BW245" s="1"/>
  <c r="AX245"/>
  <c r="BV245" s="1"/>
  <c r="AB359"/>
  <c r="AY359" s="1"/>
  <c r="BW359" s="1"/>
  <c r="P359"/>
  <c r="AS359" s="1"/>
  <c r="BQ359" s="1"/>
  <c r="R359"/>
  <c r="AT359" s="1"/>
  <c r="BR359" s="1"/>
  <c r="BA168"/>
  <c r="BY168" s="1"/>
  <c r="AU168"/>
  <c r="BS168" s="1"/>
  <c r="AR168"/>
  <c r="BP168" s="1"/>
  <c r="AX168"/>
  <c r="BV168" s="1"/>
  <c r="AT168"/>
  <c r="BR168" s="1"/>
  <c r="AQ168"/>
  <c r="BO168" s="1"/>
  <c r="AZ183"/>
  <c r="BX183" s="1"/>
  <c r="AY183"/>
  <c r="BW183" s="1"/>
  <c r="AX183"/>
  <c r="BV183" s="1"/>
  <c r="AT183"/>
  <c r="BR183" s="1"/>
  <c r="AZ188"/>
  <c r="BX188" s="1"/>
  <c r="AY188"/>
  <c r="BW188" s="1"/>
  <c r="AX188"/>
  <c r="BV188" s="1"/>
  <c r="BA197"/>
  <c r="BY197" s="1"/>
  <c r="AV197"/>
  <c r="BT197" s="1"/>
  <c r="AU197"/>
  <c r="BS197" s="1"/>
  <c r="AT197"/>
  <c r="BR197" s="1"/>
  <c r="AS197"/>
  <c r="BQ197" s="1"/>
  <c r="AR197"/>
  <c r="BP197" s="1"/>
  <c r="AQ197"/>
  <c r="BO197" s="1"/>
  <c r="AZ225"/>
  <c r="BX225" s="1"/>
  <c r="AY225"/>
  <c r="BW225" s="1"/>
  <c r="AV225"/>
  <c r="BT225" s="1"/>
  <c r="I208"/>
  <c r="AZ261"/>
  <c r="BX261" s="1"/>
  <c r="AY261"/>
  <c r="BW261" s="1"/>
  <c r="AX261"/>
  <c r="BV261" s="1"/>
  <c r="BA264"/>
  <c r="BY264" s="1"/>
  <c r="AV264"/>
  <c r="BT264" s="1"/>
  <c r="AU264"/>
  <c r="BS264" s="1"/>
  <c r="AT264"/>
  <c r="BR264" s="1"/>
  <c r="AZ302"/>
  <c r="BX302" s="1"/>
  <c r="AY302"/>
  <c r="BW302" s="1"/>
  <c r="AZ306"/>
  <c r="BX306" s="1"/>
  <c r="AY306"/>
  <c r="BW306" s="1"/>
  <c r="AX306"/>
  <c r="BV306" s="1"/>
  <c r="AZ310"/>
  <c r="BX310" s="1"/>
  <c r="AY310"/>
  <c r="BW310" s="1"/>
  <c r="AX310"/>
  <c r="BV310" s="1"/>
  <c r="AS264"/>
  <c r="BQ264" s="1"/>
  <c r="AR264"/>
  <c r="BP264" s="1"/>
  <c r="AQ264"/>
  <c r="BO264" s="1"/>
  <c r="AZ314"/>
  <c r="BX314" s="1"/>
  <c r="AY314"/>
  <c r="BW314" s="1"/>
  <c r="AU314"/>
  <c r="BS314" s="1"/>
  <c r="AZ270"/>
  <c r="BX270" s="1"/>
  <c r="AY270"/>
  <c r="BW270" s="1"/>
  <c r="AX270"/>
  <c r="BV270" s="1"/>
  <c r="AZ273"/>
  <c r="BX273" s="1"/>
  <c r="AY273"/>
  <c r="BW273" s="1"/>
  <c r="AX273"/>
  <c r="BV273" s="1"/>
  <c r="AZ286"/>
  <c r="BX286" s="1"/>
  <c r="AY286"/>
  <c r="BW286" s="1"/>
  <c r="AX286"/>
  <c r="BV286" s="1"/>
  <c r="BA289"/>
  <c r="BY289" s="1"/>
  <c r="AV289"/>
  <c r="BT289" s="1"/>
  <c r="AU289"/>
  <c r="BS289" s="1"/>
  <c r="AT289"/>
  <c r="BR289" s="1"/>
  <c r="AS289"/>
  <c r="BQ289" s="1"/>
  <c r="AR289"/>
  <c r="BP289" s="1"/>
  <c r="AQ289"/>
  <c r="BO289" s="1"/>
  <c r="BA292"/>
  <c r="BY292" s="1"/>
  <c r="AV292"/>
  <c r="BT292" s="1"/>
  <c r="AU292"/>
  <c r="BS292" s="1"/>
  <c r="AT292"/>
  <c r="BR292" s="1"/>
  <c r="AS292"/>
  <c r="BQ292" s="1"/>
  <c r="AR292"/>
  <c r="BP292" s="1"/>
  <c r="AQ292"/>
  <c r="BO292" s="1"/>
  <c r="AX314"/>
  <c r="BV314" s="1"/>
  <c r="AT314"/>
  <c r="BR314" s="1"/>
  <c r="AS314"/>
  <c r="BQ314" s="1"/>
  <c r="AR314"/>
  <c r="BP314" s="1"/>
  <c r="AX302"/>
  <c r="BV302" s="1"/>
  <c r="AQ314"/>
  <c r="BO314" s="1"/>
  <c r="AZ258"/>
  <c r="BX258" s="1"/>
  <c r="AY258"/>
  <c r="BW258" s="1"/>
  <c r="AX258"/>
  <c r="BV258" s="1"/>
  <c r="AZ202"/>
  <c r="BX202" s="1"/>
  <c r="AY202"/>
  <c r="BW202" s="1"/>
  <c r="AX202"/>
  <c r="BV202" s="1"/>
  <c r="BA208"/>
  <c r="BY208" s="1"/>
  <c r="AV208"/>
  <c r="BT208" s="1"/>
  <c r="AU208"/>
  <c r="BS208" s="1"/>
  <c r="AT208"/>
  <c r="BR208" s="1"/>
  <c r="AS208"/>
  <c r="BQ208" s="1"/>
  <c r="AR208"/>
  <c r="BP208" s="1"/>
  <c r="AQ208"/>
  <c r="BO208" s="1"/>
  <c r="BA319"/>
  <c r="BY319" s="1"/>
  <c r="AV319"/>
  <c r="BT319" s="1"/>
  <c r="AU319"/>
  <c r="BS319" s="1"/>
  <c r="AT319"/>
  <c r="BR319" s="1"/>
  <c r="AS319"/>
  <c r="BQ319" s="1"/>
  <c r="AR319"/>
  <c r="BP319" s="1"/>
  <c r="AQ319"/>
  <c r="BO319" s="1"/>
  <c r="AZ299"/>
  <c r="BX299" s="1"/>
  <c r="AY299"/>
  <c r="BW299" s="1"/>
  <c r="AX299"/>
  <c r="BV299" s="1"/>
  <c r="AW299"/>
  <c r="BU299" s="1"/>
  <c r="AI183"/>
  <c r="BA183" s="1"/>
  <c r="BY183" s="1"/>
  <c r="BA172"/>
  <c r="BY172" s="1"/>
  <c r="X202"/>
  <c r="AW202" s="1"/>
  <c r="BU202" s="1"/>
  <c r="AW199"/>
  <c r="BU199" s="1"/>
  <c r="N225"/>
  <c r="AR225" s="1"/>
  <c r="BP225" s="1"/>
  <c r="AR220"/>
  <c r="BP220" s="1"/>
  <c r="T225"/>
  <c r="AU225" s="1"/>
  <c r="BS225" s="1"/>
  <c r="AU220"/>
  <c r="BS220" s="1"/>
  <c r="X229"/>
  <c r="AW229" s="1"/>
  <c r="BU229" s="1"/>
  <c r="AW228"/>
  <c r="BU228" s="1"/>
  <c r="X233"/>
  <c r="AW233" s="1"/>
  <c r="BU233" s="1"/>
  <c r="AW231"/>
  <c r="BU231" s="1"/>
  <c r="X239"/>
  <c r="AW239" s="1"/>
  <c r="BU239" s="1"/>
  <c r="AW238"/>
  <c r="BU238" s="1"/>
  <c r="P258"/>
  <c r="AS258" s="1"/>
  <c r="BQ258" s="1"/>
  <c r="AS253"/>
  <c r="BQ253" s="1"/>
  <c r="J258"/>
  <c r="AP258" s="1"/>
  <c r="BN258" s="1"/>
  <c r="AP253"/>
  <c r="BN253" s="1"/>
  <c r="AI258"/>
  <c r="BA258" s="1"/>
  <c r="BY258" s="1"/>
  <c r="BA253"/>
  <c r="BY253" s="1"/>
  <c r="X273"/>
  <c r="AW273" s="1"/>
  <c r="BU273" s="1"/>
  <c r="AW272"/>
  <c r="BU272" s="1"/>
  <c r="X286"/>
  <c r="AW286" s="1"/>
  <c r="BU286" s="1"/>
  <c r="AW283"/>
  <c r="BU283" s="1"/>
  <c r="AI299"/>
  <c r="BA299" s="1"/>
  <c r="BY299" s="1"/>
  <c r="BA297"/>
  <c r="BY297" s="1"/>
  <c r="X302"/>
  <c r="AW302" s="1"/>
  <c r="BU302" s="1"/>
  <c r="AW301"/>
  <c r="BU301" s="1"/>
  <c r="X306"/>
  <c r="AW306" s="1"/>
  <c r="BU306" s="1"/>
  <c r="AW304"/>
  <c r="BU304" s="1"/>
  <c r="X310"/>
  <c r="AW310" s="1"/>
  <c r="BU310" s="1"/>
  <c r="AW308"/>
  <c r="BU308" s="1"/>
  <c r="J359"/>
  <c r="AP547"/>
  <c r="BN547" s="1"/>
  <c r="N359"/>
  <c r="AR359" s="1"/>
  <c r="BP359" s="1"/>
  <c r="AR629"/>
  <c r="BP629" s="1"/>
  <c r="AN359"/>
  <c r="AN13" s="1"/>
  <c r="BA564"/>
  <c r="BY564" s="1"/>
  <c r="AS168"/>
  <c r="BQ168" s="1"/>
  <c r="AZ168"/>
  <c r="BX168" s="1"/>
  <c r="AV168"/>
  <c r="BT168" s="1"/>
  <c r="AV183"/>
  <c r="BT183" s="1"/>
  <c r="AR183"/>
  <c r="BP183" s="1"/>
  <c r="AQ183"/>
  <c r="BO183" s="1"/>
  <c r="BA188"/>
  <c r="BY188" s="1"/>
  <c r="AV188"/>
  <c r="BT188" s="1"/>
  <c r="AU188"/>
  <c r="BS188" s="1"/>
  <c r="AT188"/>
  <c r="BR188" s="1"/>
  <c r="AS188"/>
  <c r="BQ188" s="1"/>
  <c r="AR188"/>
  <c r="BP188" s="1"/>
  <c r="AQ188"/>
  <c r="BO188" s="1"/>
  <c r="AZ197"/>
  <c r="BX197" s="1"/>
  <c r="AY197"/>
  <c r="BW197" s="1"/>
  <c r="AX197"/>
  <c r="BV197" s="1"/>
  <c r="AV202"/>
  <c r="BT202" s="1"/>
  <c r="AU202"/>
  <c r="BS202" s="1"/>
  <c r="AT202"/>
  <c r="BR202" s="1"/>
  <c r="AS202"/>
  <c r="BQ202" s="1"/>
  <c r="AR202"/>
  <c r="BP202" s="1"/>
  <c r="AQ202"/>
  <c r="BO202" s="1"/>
  <c r="AZ208"/>
  <c r="BX208" s="1"/>
  <c r="AY208"/>
  <c r="BW208" s="1"/>
  <c r="AX208"/>
  <c r="BV208" s="1"/>
  <c r="AZ159"/>
  <c r="BX159" s="1"/>
  <c r="BA261"/>
  <c r="BY261" s="1"/>
  <c r="AV261"/>
  <c r="BT261" s="1"/>
  <c r="AU261"/>
  <c r="BS261" s="1"/>
  <c r="AT261"/>
  <c r="BR261" s="1"/>
  <c r="AS261"/>
  <c r="BQ261" s="1"/>
  <c r="AR261"/>
  <c r="BP261" s="1"/>
  <c r="AQ261"/>
  <c r="BO261" s="1"/>
  <c r="AZ264"/>
  <c r="BX264" s="1"/>
  <c r="AY264"/>
  <c r="BW264" s="1"/>
  <c r="AX264"/>
  <c r="BV264" s="1"/>
  <c r="BA270"/>
  <c r="BY270" s="1"/>
  <c r="AV270"/>
  <c r="BT270" s="1"/>
  <c r="AU270"/>
  <c r="BS270" s="1"/>
  <c r="AT270"/>
  <c r="BR270" s="1"/>
  <c r="AS270"/>
  <c r="BQ270" s="1"/>
  <c r="AR270"/>
  <c r="BP270" s="1"/>
  <c r="AQ270"/>
  <c r="BO270" s="1"/>
  <c r="BA273"/>
  <c r="BY273" s="1"/>
  <c r="AV273"/>
  <c r="BT273" s="1"/>
  <c r="AU273"/>
  <c r="BS273" s="1"/>
  <c r="AT273"/>
  <c r="BR273" s="1"/>
  <c r="AS273"/>
  <c r="BQ273" s="1"/>
  <c r="AR273"/>
  <c r="BP273" s="1"/>
  <c r="AQ273"/>
  <c r="BO273" s="1"/>
  <c r="BA286"/>
  <c r="BY286" s="1"/>
  <c r="AV286"/>
  <c r="BT286" s="1"/>
  <c r="AU286"/>
  <c r="BS286" s="1"/>
  <c r="AT286"/>
  <c r="BR286" s="1"/>
  <c r="AS286"/>
  <c r="BQ286" s="1"/>
  <c r="AR286"/>
  <c r="BP286" s="1"/>
  <c r="AQ286"/>
  <c r="BO286" s="1"/>
  <c r="AZ289"/>
  <c r="BX289" s="1"/>
  <c r="AY289"/>
  <c r="BW289" s="1"/>
  <c r="AX289"/>
  <c r="BV289" s="1"/>
  <c r="AZ292"/>
  <c r="BX292" s="1"/>
  <c r="AY292"/>
  <c r="BW292" s="1"/>
  <c r="AX292"/>
  <c r="BV292" s="1"/>
  <c r="AV299"/>
  <c r="BT299" s="1"/>
  <c r="AU299"/>
  <c r="BS299" s="1"/>
  <c r="AT299"/>
  <c r="BR299" s="1"/>
  <c r="AQ299"/>
  <c r="BO299" s="1"/>
  <c r="BA302"/>
  <c r="BY302" s="1"/>
  <c r="AV302"/>
  <c r="BT302" s="1"/>
  <c r="AU302"/>
  <c r="BS302" s="1"/>
  <c r="AT302"/>
  <c r="BR302" s="1"/>
  <c r="AS302"/>
  <c r="BQ302" s="1"/>
  <c r="AR302"/>
  <c r="BP302" s="1"/>
  <c r="AQ302"/>
  <c r="BO302" s="1"/>
  <c r="BA306"/>
  <c r="BY306" s="1"/>
  <c r="AV306"/>
  <c r="BT306" s="1"/>
  <c r="AU306"/>
  <c r="BS306" s="1"/>
  <c r="AT306"/>
  <c r="BR306" s="1"/>
  <c r="AS306"/>
  <c r="BQ306" s="1"/>
  <c r="AR306"/>
  <c r="BP306" s="1"/>
  <c r="AQ306"/>
  <c r="BO306" s="1"/>
  <c r="BA310"/>
  <c r="BY310" s="1"/>
  <c r="AV310"/>
  <c r="BT310" s="1"/>
  <c r="AU310"/>
  <c r="BS310" s="1"/>
  <c r="AT310"/>
  <c r="BR310" s="1"/>
  <c r="AS310"/>
  <c r="BQ310" s="1"/>
  <c r="AR310"/>
  <c r="BP310" s="1"/>
  <c r="AQ310"/>
  <c r="BO310" s="1"/>
  <c r="BA314"/>
  <c r="BY314" s="1"/>
  <c r="AZ319"/>
  <c r="BX319" s="1"/>
  <c r="AY319"/>
  <c r="BW319" s="1"/>
  <c r="AX319"/>
  <c r="BV319" s="1"/>
  <c r="BA359"/>
  <c r="BY359" s="1"/>
  <c r="T183"/>
  <c r="AU183" s="1"/>
  <c r="BS183" s="1"/>
  <c r="AU172"/>
  <c r="BS172" s="1"/>
  <c r="P183"/>
  <c r="AS183" s="1"/>
  <c r="BQ183" s="1"/>
  <c r="AS172"/>
  <c r="BQ172" s="1"/>
  <c r="X208"/>
  <c r="AW208" s="1"/>
  <c r="BU208" s="1"/>
  <c r="BU204"/>
  <c r="I227"/>
  <c r="I229" s="1"/>
  <c r="AP227"/>
  <c r="BN227" s="1"/>
  <c r="X242"/>
  <c r="AW242" s="1"/>
  <c r="BU242" s="1"/>
  <c r="AW241"/>
  <c r="BU241" s="1"/>
  <c r="X245"/>
  <c r="AW245" s="1"/>
  <c r="BU245" s="1"/>
  <c r="AW244"/>
  <c r="BU244" s="1"/>
  <c r="N258"/>
  <c r="AR258" s="1"/>
  <c r="BP258" s="1"/>
  <c r="AR253"/>
  <c r="BP253" s="1"/>
  <c r="T258"/>
  <c r="AU258" s="1"/>
  <c r="BS258" s="1"/>
  <c r="AU253"/>
  <c r="BS253" s="1"/>
  <c r="R258"/>
  <c r="AT258" s="1"/>
  <c r="BR258" s="1"/>
  <c r="AT253"/>
  <c r="BR253" s="1"/>
  <c r="V258"/>
  <c r="AV258" s="1"/>
  <c r="BT258" s="1"/>
  <c r="AV257"/>
  <c r="BT257" s="1"/>
  <c r="X261"/>
  <c r="AW261" s="1"/>
  <c r="BU261" s="1"/>
  <c r="AW260"/>
  <c r="BU260" s="1"/>
  <c r="X264"/>
  <c r="AW264" s="1"/>
  <c r="BU264" s="1"/>
  <c r="AW263"/>
  <c r="BU263" s="1"/>
  <c r="X289"/>
  <c r="AW289" s="1"/>
  <c r="BU289" s="1"/>
  <c r="AW288"/>
  <c r="BU288" s="1"/>
  <c r="P299"/>
  <c r="AS299" s="1"/>
  <c r="BQ299" s="1"/>
  <c r="AS296"/>
  <c r="BQ296" s="1"/>
  <c r="I298"/>
  <c r="H298" s="1"/>
  <c r="L297" i="9" s="1"/>
  <c r="P297" s="1"/>
  <c r="AS298" i="10"/>
  <c r="BQ298" s="1"/>
  <c r="X319"/>
  <c r="AW319" s="1"/>
  <c r="BU319" s="1"/>
  <c r="AW316"/>
  <c r="BU316" s="1"/>
  <c r="L359"/>
  <c r="AQ359" s="1"/>
  <c r="BO359" s="1"/>
  <c r="AQ493"/>
  <c r="BO493" s="1"/>
  <c r="V359"/>
  <c r="AV359" s="1"/>
  <c r="BT359" s="1"/>
  <c r="AV493"/>
  <c r="BT493" s="1"/>
  <c r="AT225"/>
  <c r="BR225" s="1"/>
  <c r="BA229"/>
  <c r="BY229" s="1"/>
  <c r="AV229"/>
  <c r="BT229" s="1"/>
  <c r="AU229"/>
  <c r="BS229" s="1"/>
  <c r="AT229"/>
  <c r="BR229" s="1"/>
  <c r="AS229"/>
  <c r="BQ229" s="1"/>
  <c r="AR229"/>
  <c r="BP229" s="1"/>
  <c r="AQ229"/>
  <c r="BO229" s="1"/>
  <c r="AZ233"/>
  <c r="BX233" s="1"/>
  <c r="AY233"/>
  <c r="BW233" s="1"/>
  <c r="AX233"/>
  <c r="BV233" s="1"/>
  <c r="AZ239"/>
  <c r="BX239" s="1"/>
  <c r="AY239"/>
  <c r="BW239" s="1"/>
  <c r="AX239"/>
  <c r="BV239" s="1"/>
  <c r="BA242"/>
  <c r="BY242" s="1"/>
  <c r="AV242"/>
  <c r="BT242" s="1"/>
  <c r="AU242"/>
  <c r="BS242" s="1"/>
  <c r="AT242"/>
  <c r="BR242" s="1"/>
  <c r="AS242"/>
  <c r="BQ242" s="1"/>
  <c r="AR242"/>
  <c r="BP242" s="1"/>
  <c r="AQ242"/>
  <c r="BO242" s="1"/>
  <c r="BA245"/>
  <c r="BY245" s="1"/>
  <c r="AV245"/>
  <c r="BT245" s="1"/>
  <c r="AU245"/>
  <c r="BS245" s="1"/>
  <c r="AT245"/>
  <c r="BR245" s="1"/>
  <c r="AS245"/>
  <c r="BQ245" s="1"/>
  <c r="AR245"/>
  <c r="BP245" s="1"/>
  <c r="AQ245"/>
  <c r="BO245" s="1"/>
  <c r="AU359"/>
  <c r="BS359" s="1"/>
  <c r="X168"/>
  <c r="AW168" s="1"/>
  <c r="BU168" s="1"/>
  <c r="P201" i="9"/>
  <c r="X225" i="10"/>
  <c r="AW225" s="1"/>
  <c r="BU225" s="1"/>
  <c r="N299"/>
  <c r="AR299" s="1"/>
  <c r="BP299" s="1"/>
  <c r="AJ299"/>
  <c r="AK299"/>
  <c r="AK183"/>
  <c r="AJ225"/>
  <c r="AI225"/>
  <c r="BA225" s="1"/>
  <c r="BY225" s="1"/>
  <c r="I270"/>
  <c r="AK270"/>
  <c r="AJ270"/>
  <c r="X270"/>
  <c r="AW270" s="1"/>
  <c r="BU270" s="1"/>
  <c r="I221"/>
  <c r="AK229"/>
  <c r="I253"/>
  <c r="I258" s="1"/>
  <c r="P269" i="9"/>
  <c r="X314" i="10"/>
  <c r="AW314" s="1"/>
  <c r="BU314" s="1"/>
  <c r="H145"/>
  <c r="L144" i="9" s="1"/>
  <c r="P144" s="1"/>
  <c r="AJ188" i="10"/>
  <c r="AJ183"/>
  <c r="I188"/>
  <c r="X188"/>
  <c r="AW188" s="1"/>
  <c r="BU188" s="1"/>
  <c r="I197"/>
  <c r="F145"/>
  <c r="I223"/>
  <c r="J229"/>
  <c r="AP229" s="1"/>
  <c r="BN229" s="1"/>
  <c r="P358" i="9"/>
  <c r="F50" i="11"/>
  <c r="F49" s="1"/>
  <c r="L358" i="9"/>
  <c r="L225" i="10"/>
  <c r="AQ225" s="1"/>
  <c r="BO225" s="1"/>
  <c r="P225"/>
  <c r="AS225" s="1"/>
  <c r="BQ225" s="1"/>
  <c r="J225"/>
  <c r="AP225" s="1"/>
  <c r="BN225" s="1"/>
  <c r="AJ229"/>
  <c r="I158"/>
  <c r="H158" s="1"/>
  <c r="L157" i="9" s="1"/>
  <c r="P157" s="1"/>
  <c r="H297" i="10"/>
  <c r="L296" i="9" s="1"/>
  <c r="P296" s="1"/>
  <c r="I314" i="10"/>
  <c r="AK314"/>
  <c r="AJ314"/>
  <c r="P224" i="9"/>
  <c r="R14"/>
  <c r="R12" s="1"/>
  <c r="O14"/>
  <c r="O12" s="1"/>
  <c r="M14"/>
  <c r="M12" s="1"/>
  <c r="I14"/>
  <c r="Q14"/>
  <c r="Q12" s="1"/>
  <c r="N14"/>
  <c r="N12" s="1"/>
  <c r="K14"/>
  <c r="K12" s="1"/>
  <c r="P228"/>
  <c r="AJ168" i="10"/>
  <c r="L293" i="9"/>
  <c r="P293" s="1"/>
  <c r="AB168" i="10"/>
  <c r="AY168" s="1"/>
  <c r="BW168" s="1"/>
  <c r="I172"/>
  <c r="I183" s="1"/>
  <c r="C15"/>
  <c r="C13" s="1"/>
  <c r="L207" i="9"/>
  <c r="F19" i="11" s="1"/>
  <c r="I220" i="10"/>
  <c r="AK220"/>
  <c r="AK225" s="1"/>
  <c r="Z225"/>
  <c r="AX225" s="1"/>
  <c r="BV225" s="1"/>
  <c r="AJ258"/>
  <c r="AL13"/>
  <c r="AH13"/>
  <c r="AF13"/>
  <c r="AD13"/>
  <c r="I281"/>
  <c r="P280" i="9"/>
  <c r="P285"/>
  <c r="H295" i="10"/>
  <c r="L294" i="9" s="1"/>
  <c r="P294" s="1"/>
  <c r="P305"/>
  <c r="P309"/>
  <c r="P313"/>
  <c r="L318"/>
  <c r="F41" i="11" s="1"/>
  <c r="AK168" i="10"/>
  <c r="H162"/>
  <c r="AK258"/>
  <c r="X258"/>
  <c r="AW258" s="1"/>
  <c r="BU258" s="1"/>
  <c r="L258"/>
  <c r="AQ258" s="1"/>
  <c r="BO258" s="1"/>
  <c r="AG13"/>
  <c r="AE13"/>
  <c r="AC13"/>
  <c r="AA13"/>
  <c r="U13"/>
  <c r="S13"/>
  <c r="Q13"/>
  <c r="O13"/>
  <c r="M13"/>
  <c r="K13"/>
  <c r="H296"/>
  <c r="L295" i="9" s="1"/>
  <c r="P295" s="1"/>
  <c r="L263"/>
  <c r="F29" i="11" s="1"/>
  <c r="L269" i="9"/>
  <c r="F30" i="11" s="1"/>
  <c r="L272" i="9"/>
  <c r="F31" i="11" s="1"/>
  <c r="L280" i="9"/>
  <c r="F32" i="11" s="1"/>
  <c r="L288" i="9"/>
  <c r="F34" i="11" s="1"/>
  <c r="L305" i="9"/>
  <c r="F38" i="11" s="1"/>
  <c r="P315" i="9"/>
  <c r="P318" s="1"/>
  <c r="L309"/>
  <c r="F39" i="11" s="1"/>
  <c r="L313" i="9"/>
  <c r="F40" i="11" s="1"/>
  <c r="P230" i="9"/>
  <c r="P232" s="1"/>
  <c r="L232"/>
  <c r="F22" i="11" s="1"/>
  <c r="P259" i="9"/>
  <c r="P260" s="1"/>
  <c r="L285"/>
  <c r="F33" i="11" s="1"/>
  <c r="L291" i="9"/>
  <c r="F35" i="11" s="1"/>
  <c r="I165" i="10"/>
  <c r="I168" s="1"/>
  <c r="L301" i="9"/>
  <c r="F37" i="11" s="1"/>
  <c r="P257" i="9"/>
  <c r="P187"/>
  <c r="P169"/>
  <c r="L224"/>
  <c r="F20" i="11" s="1"/>
  <c r="L187" i="9"/>
  <c r="F16" i="11" s="1"/>
  <c r="L201" i="9"/>
  <c r="F18" i="11" s="1"/>
  <c r="P203" i="9"/>
  <c r="P207" s="1"/>
  <c r="L228"/>
  <c r="F21" i="11" s="1"/>
  <c r="L235" i="9"/>
  <c r="F23" i="11" s="1"/>
  <c r="L238" i="9"/>
  <c r="F24" i="11" s="1"/>
  <c r="L257" i="9"/>
  <c r="F27" i="11" s="1"/>
  <c r="L241" i="9"/>
  <c r="F25" i="11" s="1"/>
  <c r="L244" i="9"/>
  <c r="F26" i="11" s="1"/>
  <c r="P196" i="9"/>
  <c r="L196"/>
  <c r="F17" i="11" s="1"/>
  <c r="P16" i="9"/>
  <c r="R155" i="10"/>
  <c r="AT155" s="1"/>
  <c r="BR155" s="1"/>
  <c r="T155"/>
  <c r="AU155" s="1"/>
  <c r="BS155" s="1"/>
  <c r="P155"/>
  <c r="AK147"/>
  <c r="AK148"/>
  <c r="AK149"/>
  <c r="AK150"/>
  <c r="AK151"/>
  <c r="AK152"/>
  <c r="AK153"/>
  <c r="AK146"/>
  <c r="AJ147"/>
  <c r="AJ148"/>
  <c r="AJ149"/>
  <c r="H149" s="1"/>
  <c r="AJ150"/>
  <c r="AJ151"/>
  <c r="AJ152"/>
  <c r="AJ153"/>
  <c r="H153" s="1"/>
  <c r="AJ146"/>
  <c r="AI147"/>
  <c r="AI148"/>
  <c r="AI150"/>
  <c r="AI151"/>
  <c r="AI152"/>
  <c r="AI146"/>
  <c r="AB143"/>
  <c r="AK140"/>
  <c r="AJ140"/>
  <c r="AI140"/>
  <c r="BA140" s="1"/>
  <c r="BY140" s="1"/>
  <c r="T140"/>
  <c r="AU140" s="1"/>
  <c r="BS140" s="1"/>
  <c r="P140"/>
  <c r="AS140" s="1"/>
  <c r="BQ140" s="1"/>
  <c r="L140"/>
  <c r="X139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10"/>
  <c r="I111"/>
  <c r="I112"/>
  <c r="I113"/>
  <c r="I114"/>
  <c r="I115"/>
  <c r="I116"/>
  <c r="I117"/>
  <c r="I118"/>
  <c r="I119"/>
  <c r="I120"/>
  <c r="I121"/>
  <c r="I122"/>
  <c r="I123"/>
  <c r="I124"/>
  <c r="I127"/>
  <c r="I128"/>
  <c r="I129"/>
  <c r="I130"/>
  <c r="I132"/>
  <c r="I135"/>
  <c r="I136"/>
  <c r="I137"/>
  <c r="I138"/>
  <c r="I139"/>
  <c r="I141"/>
  <c r="I142"/>
  <c r="I143"/>
  <c r="I144"/>
  <c r="I145"/>
  <c r="I146"/>
  <c r="I147"/>
  <c r="I148"/>
  <c r="I149"/>
  <c r="I150"/>
  <c r="I151"/>
  <c r="I152"/>
  <c r="I153"/>
  <c r="I154"/>
  <c r="I156"/>
  <c r="I157"/>
  <c r="I17"/>
  <c r="AB139"/>
  <c r="AY139" s="1"/>
  <c r="BW139" s="1"/>
  <c r="AK136"/>
  <c r="AK137"/>
  <c r="AK138"/>
  <c r="AK135"/>
  <c r="AJ136"/>
  <c r="AJ137"/>
  <c r="AJ138"/>
  <c r="H138" s="1"/>
  <c r="AJ135"/>
  <c r="H135" s="1"/>
  <c r="V136"/>
  <c r="AI134"/>
  <c r="BA134" s="1"/>
  <c r="BY134" s="1"/>
  <c r="AK134"/>
  <c r="AJ134"/>
  <c r="T134"/>
  <c r="AU134" s="1"/>
  <c r="BS134" s="1"/>
  <c r="R134"/>
  <c r="AT134" s="1"/>
  <c r="BR134" s="1"/>
  <c r="P134"/>
  <c r="AS134" s="1"/>
  <c r="BQ134" s="1"/>
  <c r="L134"/>
  <c r="AQ134" s="1"/>
  <c r="BO134" s="1"/>
  <c r="J134"/>
  <c r="AK133"/>
  <c r="AJ133"/>
  <c r="T133"/>
  <c r="AU133" s="1"/>
  <c r="BS133" s="1"/>
  <c r="J133"/>
  <c r="AK131"/>
  <c r="AJ131"/>
  <c r="AI131"/>
  <c r="BA131" s="1"/>
  <c r="BY131" s="1"/>
  <c r="R131"/>
  <c r="AT131" s="1"/>
  <c r="BR131" s="1"/>
  <c r="T131"/>
  <c r="AU131" s="1"/>
  <c r="BS131" s="1"/>
  <c r="P131"/>
  <c r="AS131" s="1"/>
  <c r="BQ131" s="1"/>
  <c r="L131"/>
  <c r="AQ131" s="1"/>
  <c r="BO131" s="1"/>
  <c r="J131"/>
  <c r="AK129"/>
  <c r="AJ129"/>
  <c r="AI126"/>
  <c r="BA126" s="1"/>
  <c r="BY126" s="1"/>
  <c r="AI125"/>
  <c r="BA125" s="1"/>
  <c r="BY125" s="1"/>
  <c r="AK126"/>
  <c r="AK125"/>
  <c r="AJ126"/>
  <c r="AJ125"/>
  <c r="T126"/>
  <c r="AU126" s="1"/>
  <c r="BS126" s="1"/>
  <c r="T125"/>
  <c r="AU125" s="1"/>
  <c r="BS125" s="1"/>
  <c r="J126"/>
  <c r="J125"/>
  <c r="L126"/>
  <c r="AQ126" s="1"/>
  <c r="BO126" s="1"/>
  <c r="N126"/>
  <c r="AR126" s="1"/>
  <c r="BP126" s="1"/>
  <c r="N125"/>
  <c r="AR125" s="1"/>
  <c r="BP125" s="1"/>
  <c r="P126"/>
  <c r="AS126" s="1"/>
  <c r="BQ126" s="1"/>
  <c r="P125"/>
  <c r="AS125" s="1"/>
  <c r="BQ125" s="1"/>
  <c r="AB122"/>
  <c r="AK109"/>
  <c r="AJ109"/>
  <c r="AI109"/>
  <c r="BA109" s="1"/>
  <c r="BY109" s="1"/>
  <c r="T109"/>
  <c r="AU109" s="1"/>
  <c r="BS109" s="1"/>
  <c r="P109"/>
  <c r="AS109" s="1"/>
  <c r="BQ109" s="1"/>
  <c r="J109"/>
  <c r="L109"/>
  <c r="AK88"/>
  <c r="AJ88"/>
  <c r="AK81"/>
  <c r="AJ81"/>
  <c r="T81"/>
  <c r="AU81" s="1"/>
  <c r="BS81" s="1"/>
  <c r="AI81"/>
  <c r="BA81" s="1"/>
  <c r="BY81" s="1"/>
  <c r="P81"/>
  <c r="AM75"/>
  <c r="AN63"/>
  <c r="AK63"/>
  <c r="AJ63"/>
  <c r="AI63"/>
  <c r="F991" i="5" l="1"/>
  <c r="F989" s="1"/>
  <c r="E992"/>
  <c r="R991" i="7"/>
  <c r="S991"/>
  <c r="V991" s="1"/>
  <c r="AP359" i="10"/>
  <c r="BN359" s="1"/>
  <c r="Z15"/>
  <c r="AP125"/>
  <c r="BN125" s="1"/>
  <c r="AP131"/>
  <c r="BN131" s="1"/>
  <c r="AP133"/>
  <c r="BN133" s="1"/>
  <c r="AP134"/>
  <c r="BN134" s="1"/>
  <c r="V159"/>
  <c r="V15" s="1"/>
  <c r="AQ140"/>
  <c r="BO140" s="1"/>
  <c r="BA152"/>
  <c r="BY152" s="1"/>
  <c r="BA150"/>
  <c r="BY150" s="1"/>
  <c r="AP126"/>
  <c r="BN126" s="1"/>
  <c r="H137"/>
  <c r="AW139"/>
  <c r="BU139" s="1"/>
  <c r="BA146"/>
  <c r="BY146" s="1"/>
  <c r="BA151"/>
  <c r="BY151" s="1"/>
  <c r="AS155"/>
  <c r="BQ155" s="1"/>
  <c r="AT63"/>
  <c r="BR63" s="1"/>
  <c r="R159"/>
  <c r="R15" s="1"/>
  <c r="AU63"/>
  <c r="BS63" s="1"/>
  <c r="T159"/>
  <c r="T15" s="1"/>
  <c r="AS81"/>
  <c r="BQ81" s="1"/>
  <c r="P159"/>
  <c r="P15" s="1"/>
  <c r="AP109"/>
  <c r="BN109" s="1"/>
  <c r="J159"/>
  <c r="J15" s="1"/>
  <c r="L161" i="9"/>
  <c r="P161" s="1"/>
  <c r="H129" i="10"/>
  <c r="F129" s="1"/>
  <c r="N159"/>
  <c r="N15" s="1"/>
  <c r="BA63"/>
  <c r="BY63" s="1"/>
  <c r="AI159"/>
  <c r="AI15" s="1"/>
  <c r="AQ109"/>
  <c r="BO109" s="1"/>
  <c r="L159"/>
  <c r="L15" s="1"/>
  <c r="Z13"/>
  <c r="I359"/>
  <c r="I225"/>
  <c r="I299"/>
  <c r="H148"/>
  <c r="L147" i="9" s="1"/>
  <c r="P147" s="1"/>
  <c r="BA148" i="10"/>
  <c r="BY148" s="1"/>
  <c r="AK122"/>
  <c r="AY122"/>
  <c r="BW122" s="1"/>
  <c r="AV136"/>
  <c r="BT136" s="1"/>
  <c r="AK143"/>
  <c r="AY143"/>
  <c r="BW143" s="1"/>
  <c r="H147"/>
  <c r="L146" i="9" s="1"/>
  <c r="P146" s="1"/>
  <c r="BA147" i="10"/>
  <c r="BY147" s="1"/>
  <c r="I125"/>
  <c r="H125" s="1"/>
  <c r="I131"/>
  <c r="H131" s="1"/>
  <c r="I133"/>
  <c r="H133" s="1"/>
  <c r="I134"/>
  <c r="H134" s="1"/>
  <c r="H172"/>
  <c r="H183" s="1"/>
  <c r="AB159"/>
  <c r="AB15" s="1"/>
  <c r="H165"/>
  <c r="L298" i="9"/>
  <c r="F36" i="11" s="1"/>
  <c r="I140" i="10"/>
  <c r="H140" s="1"/>
  <c r="H152"/>
  <c r="L151" i="9" s="1"/>
  <c r="P151" s="1"/>
  <c r="H150" i="10"/>
  <c r="L149" i="9" s="1"/>
  <c r="P149" s="1"/>
  <c r="H151" i="10"/>
  <c r="L150" i="9" s="1"/>
  <c r="P150" s="1"/>
  <c r="I126" i="10"/>
  <c r="H126" s="1"/>
  <c r="X183"/>
  <c r="AW183" s="1"/>
  <c r="BU183" s="1"/>
  <c r="H63"/>
  <c r="AM63"/>
  <c r="H88"/>
  <c r="L87" i="9" s="1"/>
  <c r="P87" s="1"/>
  <c r="AJ122" i="10"/>
  <c r="H136"/>
  <c r="I109"/>
  <c r="H109" s="1"/>
  <c r="F109" s="1"/>
  <c r="I81"/>
  <c r="H81" s="1"/>
  <c r="I63"/>
  <c r="AJ143"/>
  <c r="H146"/>
  <c r="P298" i="9"/>
  <c r="H299" i="10"/>
  <c r="F137"/>
  <c r="L136" i="9"/>
  <c r="P136" s="1"/>
  <c r="F135" i="10"/>
  <c r="L134" i="9"/>
  <c r="P134" s="1"/>
  <c r="F138" i="10"/>
  <c r="L137" i="9"/>
  <c r="P137" s="1"/>
  <c r="F149" i="10"/>
  <c r="L148" i="9"/>
  <c r="P148" s="1"/>
  <c r="F153" i="10"/>
  <c r="L152" i="9"/>
  <c r="P152" s="1"/>
  <c r="I155" i="10"/>
  <c r="H155" s="1"/>
  <c r="E989" i="5" l="1"/>
  <c r="F988"/>
  <c r="F986" s="1"/>
  <c r="E991"/>
  <c r="N990" i="7"/>
  <c r="F147" i="10"/>
  <c r="L164" i="9"/>
  <c r="P164" s="1"/>
  <c r="P167" s="1"/>
  <c r="L128"/>
  <c r="P128" s="1"/>
  <c r="I159" i="10"/>
  <c r="I15" s="1"/>
  <c r="I13" s="1"/>
  <c r="F150"/>
  <c r="L62" i="9"/>
  <c r="P62" s="1"/>
  <c r="H168" i="10"/>
  <c r="AY159"/>
  <c r="BW159" s="1"/>
  <c r="AB13"/>
  <c r="F148"/>
  <c r="H122"/>
  <c r="F122" s="1"/>
  <c r="L171" i="9"/>
  <c r="L182" s="1"/>
  <c r="F15" i="11" s="1"/>
  <c r="F152" i="10"/>
  <c r="H143"/>
  <c r="L142" i="9" s="1"/>
  <c r="P142" s="1"/>
  <c r="P13" i="10"/>
  <c r="AS159"/>
  <c r="BQ159" s="1"/>
  <c r="AP159"/>
  <c r="BN159" s="1"/>
  <c r="L13"/>
  <c r="AQ159"/>
  <c r="BO159" s="1"/>
  <c r="R13"/>
  <c r="AT159"/>
  <c r="BR159" s="1"/>
  <c r="V13"/>
  <c r="AV159"/>
  <c r="BT159" s="1"/>
  <c r="T13"/>
  <c r="AU159"/>
  <c r="BS159" s="1"/>
  <c r="N13"/>
  <c r="AR159"/>
  <c r="BP159" s="1"/>
  <c r="AI13"/>
  <c r="BA159"/>
  <c r="BY159" s="1"/>
  <c r="F151"/>
  <c r="F63"/>
  <c r="F88"/>
  <c r="L121" i="9"/>
  <c r="P121" s="1"/>
  <c r="F131" i="10"/>
  <c r="L130" i="9"/>
  <c r="P130" s="1"/>
  <c r="F155" i="10"/>
  <c r="L154" i="9"/>
  <c r="P154" s="1"/>
  <c r="F140" i="10"/>
  <c r="L139" i="9"/>
  <c r="P139" s="1"/>
  <c r="F143" i="10"/>
  <c r="F136"/>
  <c r="L135" i="9"/>
  <c r="P135" s="1"/>
  <c r="F133" i="10"/>
  <c r="L132" i="9"/>
  <c r="P132" s="1"/>
  <c r="F146" i="10"/>
  <c r="L145" i="9"/>
  <c r="P145" s="1"/>
  <c r="F126" i="10"/>
  <c r="L125" i="9"/>
  <c r="P125" s="1"/>
  <c r="F81" i="10"/>
  <c r="L80" i="9"/>
  <c r="L124"/>
  <c r="P124" s="1"/>
  <c r="F125" i="10"/>
  <c r="F134"/>
  <c r="L133" i="9"/>
  <c r="P133" s="1"/>
  <c r="L108"/>
  <c r="AM138" i="10"/>
  <c r="AM83"/>
  <c r="AM84"/>
  <c r="AM85"/>
  <c r="AM86"/>
  <c r="AM87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10"/>
  <c r="AM111"/>
  <c r="AM112"/>
  <c r="AM113"/>
  <c r="AM114"/>
  <c r="AM115"/>
  <c r="AM116"/>
  <c r="AM117"/>
  <c r="AM118"/>
  <c r="AM119"/>
  <c r="AM120"/>
  <c r="AM121"/>
  <c r="AM123"/>
  <c r="AM124"/>
  <c r="AM127"/>
  <c r="AM128"/>
  <c r="AM130"/>
  <c r="AM132"/>
  <c r="AM134"/>
  <c r="AM135"/>
  <c r="AM136"/>
  <c r="AM137"/>
  <c r="AM82"/>
  <c r="AM65"/>
  <c r="AM66"/>
  <c r="AM67"/>
  <c r="AM68"/>
  <c r="AM69"/>
  <c r="AM70"/>
  <c r="AM71"/>
  <c r="AM72"/>
  <c r="AM73"/>
  <c r="AM74"/>
  <c r="AM76"/>
  <c r="AM77"/>
  <c r="AM78"/>
  <c r="AM79"/>
  <c r="AM80"/>
  <c r="AM64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4"/>
  <c r="X65"/>
  <c r="X66"/>
  <c r="X67"/>
  <c r="X68"/>
  <c r="X69"/>
  <c r="X70"/>
  <c r="X71"/>
  <c r="X72"/>
  <c r="X73"/>
  <c r="X74"/>
  <c r="X75"/>
  <c r="X76"/>
  <c r="X77"/>
  <c r="X78"/>
  <c r="X79"/>
  <c r="X80"/>
  <c r="X82"/>
  <c r="X83"/>
  <c r="X84"/>
  <c r="X86"/>
  <c r="X87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10"/>
  <c r="X111"/>
  <c r="X112"/>
  <c r="X113"/>
  <c r="X114"/>
  <c r="X115"/>
  <c r="X116"/>
  <c r="X117"/>
  <c r="X118"/>
  <c r="X119"/>
  <c r="X120"/>
  <c r="X121"/>
  <c r="X123"/>
  <c r="X124"/>
  <c r="X127"/>
  <c r="X128"/>
  <c r="X130"/>
  <c r="X132"/>
  <c r="AW134"/>
  <c r="BU134" s="1"/>
  <c r="X141"/>
  <c r="X142"/>
  <c r="X154"/>
  <c r="X156"/>
  <c r="X157"/>
  <c r="AK141"/>
  <c r="AK142"/>
  <c r="AK154"/>
  <c r="AK156"/>
  <c r="AK157"/>
  <c r="AJ141"/>
  <c r="AJ142"/>
  <c r="AJ154"/>
  <c r="AJ156"/>
  <c r="AJ157"/>
  <c r="I635" i="9"/>
  <c r="C76" i="11" s="1"/>
  <c r="J469" i="9"/>
  <c r="J449"/>
  <c r="J492" s="1"/>
  <c r="J358" s="1"/>
  <c r="J283"/>
  <c r="J285" s="1"/>
  <c r="J268"/>
  <c r="J265"/>
  <c r="J190"/>
  <c r="J196" s="1"/>
  <c r="L156" i="7"/>
  <c r="M156"/>
  <c r="O156"/>
  <c r="P156"/>
  <c r="Q156"/>
  <c r="E145" i="5"/>
  <c r="N142" i="7" s="1"/>
  <c r="J269" i="9" l="1"/>
  <c r="J14" s="1"/>
  <c r="J12" s="1"/>
  <c r="E988" i="5"/>
  <c r="N987" i="7"/>
  <c r="R990"/>
  <c r="R995" s="1"/>
  <c r="N995"/>
  <c r="S995" s="1"/>
  <c r="V995" s="1"/>
  <c r="S990"/>
  <c r="V990" s="1"/>
  <c r="F985" i="5"/>
  <c r="E986"/>
  <c r="N984" i="7" s="1"/>
  <c r="L167" i="9"/>
  <c r="F14" i="11" s="1"/>
  <c r="AW156" i="10"/>
  <c r="BU156" s="1"/>
  <c r="AW142"/>
  <c r="BU142" s="1"/>
  <c r="AW130"/>
  <c r="BU130" s="1"/>
  <c r="AW127"/>
  <c r="BU127" s="1"/>
  <c r="AW123"/>
  <c r="BU123" s="1"/>
  <c r="AW120"/>
  <c r="BU120" s="1"/>
  <c r="AW118"/>
  <c r="BU118" s="1"/>
  <c r="AW116"/>
  <c r="BU116" s="1"/>
  <c r="AW114"/>
  <c r="BU114" s="1"/>
  <c r="AW112"/>
  <c r="BU112" s="1"/>
  <c r="AW110"/>
  <c r="BU110" s="1"/>
  <c r="AW107"/>
  <c r="BU107" s="1"/>
  <c r="AW105"/>
  <c r="BU105" s="1"/>
  <c r="AW103"/>
  <c r="BU103" s="1"/>
  <c r="AW101"/>
  <c r="BU101" s="1"/>
  <c r="AW99"/>
  <c r="BU99" s="1"/>
  <c r="AW97"/>
  <c r="BU97" s="1"/>
  <c r="AW95"/>
  <c r="BU95" s="1"/>
  <c r="AW93"/>
  <c r="BU93" s="1"/>
  <c r="AW91"/>
  <c r="BU91" s="1"/>
  <c r="AW89"/>
  <c r="BU89" s="1"/>
  <c r="AW86"/>
  <c r="BU86" s="1"/>
  <c r="AW84"/>
  <c r="BU84" s="1"/>
  <c r="AW82"/>
  <c r="BU82" s="1"/>
  <c r="AW79"/>
  <c r="BU79" s="1"/>
  <c r="AW77"/>
  <c r="BU77" s="1"/>
  <c r="AW75"/>
  <c r="BU75" s="1"/>
  <c r="AW73"/>
  <c r="BU73" s="1"/>
  <c r="AW71"/>
  <c r="BU71" s="1"/>
  <c r="AW69"/>
  <c r="BU69" s="1"/>
  <c r="AW67"/>
  <c r="BU67" s="1"/>
  <c r="AW65"/>
  <c r="BU65" s="1"/>
  <c r="AW62"/>
  <c r="BU62" s="1"/>
  <c r="AW60"/>
  <c r="BU60" s="1"/>
  <c r="AW58"/>
  <c r="BU58" s="1"/>
  <c r="AW56"/>
  <c r="BU56" s="1"/>
  <c r="AW54"/>
  <c r="BU54" s="1"/>
  <c r="AW52"/>
  <c r="BU52" s="1"/>
  <c r="AW50"/>
  <c r="BU50" s="1"/>
  <c r="AW48"/>
  <c r="BU48" s="1"/>
  <c r="AW46"/>
  <c r="BU46" s="1"/>
  <c r="AW44"/>
  <c r="BU44" s="1"/>
  <c r="AW42"/>
  <c r="BU42" s="1"/>
  <c r="AW40"/>
  <c r="BU40" s="1"/>
  <c r="AW38"/>
  <c r="BU38" s="1"/>
  <c r="AW36"/>
  <c r="BU36" s="1"/>
  <c r="AW34"/>
  <c r="BU34" s="1"/>
  <c r="AW32"/>
  <c r="BU32" s="1"/>
  <c r="AW30"/>
  <c r="BU30" s="1"/>
  <c r="AW28"/>
  <c r="BU28" s="1"/>
  <c r="AW26"/>
  <c r="BU26" s="1"/>
  <c r="AW24"/>
  <c r="BU24" s="1"/>
  <c r="AW22"/>
  <c r="BU22" s="1"/>
  <c r="AW20"/>
  <c r="BU20" s="1"/>
  <c r="AW18"/>
  <c r="BU18" s="1"/>
  <c r="AW157"/>
  <c r="BU157" s="1"/>
  <c r="AW154"/>
  <c r="BU154" s="1"/>
  <c r="AW141"/>
  <c r="BU141" s="1"/>
  <c r="AW132"/>
  <c r="BU132" s="1"/>
  <c r="AW128"/>
  <c r="BU128" s="1"/>
  <c r="AW124"/>
  <c r="BU124" s="1"/>
  <c r="AW121"/>
  <c r="BU121" s="1"/>
  <c r="AW119"/>
  <c r="BU119" s="1"/>
  <c r="AW117"/>
  <c r="BU117" s="1"/>
  <c r="AW115"/>
  <c r="BU115" s="1"/>
  <c r="AW113"/>
  <c r="BU113" s="1"/>
  <c r="AW111"/>
  <c r="BU111" s="1"/>
  <c r="AW108"/>
  <c r="BU108" s="1"/>
  <c r="AW106"/>
  <c r="BU106" s="1"/>
  <c r="AW104"/>
  <c r="BU104" s="1"/>
  <c r="AW102"/>
  <c r="BU102" s="1"/>
  <c r="AW100"/>
  <c r="BU100" s="1"/>
  <c r="AW98"/>
  <c r="BU98" s="1"/>
  <c r="AW96"/>
  <c r="BU96" s="1"/>
  <c r="AW94"/>
  <c r="BU94" s="1"/>
  <c r="AW92"/>
  <c r="BU92" s="1"/>
  <c r="AW90"/>
  <c r="BU90" s="1"/>
  <c r="AW87"/>
  <c r="BU87" s="1"/>
  <c r="AW85"/>
  <c r="BU85" s="1"/>
  <c r="AW83"/>
  <c r="BU83" s="1"/>
  <c r="AW80"/>
  <c r="BU80" s="1"/>
  <c r="AW78"/>
  <c r="BU78" s="1"/>
  <c r="AW76"/>
  <c r="BU76" s="1"/>
  <c r="AW74"/>
  <c r="BU74" s="1"/>
  <c r="AW72"/>
  <c r="BU72" s="1"/>
  <c r="AW70"/>
  <c r="BU70" s="1"/>
  <c r="AW68"/>
  <c r="BU68" s="1"/>
  <c r="AW66"/>
  <c r="BU66" s="1"/>
  <c r="AW64"/>
  <c r="BU64" s="1"/>
  <c r="AW61"/>
  <c r="BU61" s="1"/>
  <c r="AW59"/>
  <c r="BU59" s="1"/>
  <c r="AW57"/>
  <c r="BU57" s="1"/>
  <c r="AW55"/>
  <c r="BU55" s="1"/>
  <c r="AW53"/>
  <c r="BU53" s="1"/>
  <c r="AW51"/>
  <c r="BU51" s="1"/>
  <c r="AW49"/>
  <c r="BU49" s="1"/>
  <c r="AW47"/>
  <c r="BU47" s="1"/>
  <c r="AW45"/>
  <c r="BU45" s="1"/>
  <c r="AW43"/>
  <c r="BU43" s="1"/>
  <c r="AW41"/>
  <c r="BU41" s="1"/>
  <c r="AW39"/>
  <c r="BU39" s="1"/>
  <c r="AW37"/>
  <c r="BU37" s="1"/>
  <c r="AW35"/>
  <c r="BU35" s="1"/>
  <c r="AW33"/>
  <c r="BU33" s="1"/>
  <c r="AW31"/>
  <c r="BU31" s="1"/>
  <c r="AW29"/>
  <c r="BU29" s="1"/>
  <c r="AW27"/>
  <c r="BU27" s="1"/>
  <c r="AW25"/>
  <c r="BU25" s="1"/>
  <c r="AW23"/>
  <c r="BU23" s="1"/>
  <c r="AW21"/>
  <c r="BU21" s="1"/>
  <c r="AW19"/>
  <c r="BU19" s="1"/>
  <c r="J13"/>
  <c r="P171" i="9"/>
  <c r="P182" s="1"/>
  <c r="C49" i="11"/>
  <c r="C11" s="1"/>
  <c r="I358" i="9"/>
  <c r="I12" s="1"/>
  <c r="AK80" i="10"/>
  <c r="AJ80"/>
  <c r="AK78"/>
  <c r="AJ78"/>
  <c r="AK76"/>
  <c r="AJ76"/>
  <c r="AK74"/>
  <c r="AJ74"/>
  <c r="AK72"/>
  <c r="AJ72"/>
  <c r="AK70"/>
  <c r="AJ70"/>
  <c r="AK68"/>
  <c r="AJ68"/>
  <c r="AK66"/>
  <c r="AJ66"/>
  <c r="AJ64"/>
  <c r="AK64"/>
  <c r="AK61"/>
  <c r="AJ61"/>
  <c r="AK59"/>
  <c r="AJ59"/>
  <c r="AK57"/>
  <c r="AJ57"/>
  <c r="AK55"/>
  <c r="AJ55"/>
  <c r="AK53"/>
  <c r="AJ53"/>
  <c r="AK51"/>
  <c r="AJ51"/>
  <c r="AK49"/>
  <c r="AJ49"/>
  <c r="AK47"/>
  <c r="AJ47"/>
  <c r="AK45"/>
  <c r="AJ45"/>
  <c r="AK43"/>
  <c r="AJ43"/>
  <c r="AK41"/>
  <c r="AJ41"/>
  <c r="AK39"/>
  <c r="AJ39"/>
  <c r="AK37"/>
  <c r="AJ37"/>
  <c r="AK35"/>
  <c r="AJ35"/>
  <c r="AK33"/>
  <c r="AJ33"/>
  <c r="AK31"/>
  <c r="AJ31"/>
  <c r="AK29"/>
  <c r="AJ29"/>
  <c r="AK27"/>
  <c r="AJ27"/>
  <c r="AK25"/>
  <c r="AJ25"/>
  <c r="AK23"/>
  <c r="AJ23"/>
  <c r="AK21"/>
  <c r="AJ21"/>
  <c r="AK19"/>
  <c r="AJ19"/>
  <c r="AK79"/>
  <c r="AJ79"/>
  <c r="AK77"/>
  <c r="AJ77"/>
  <c r="AK75"/>
  <c r="AJ75"/>
  <c r="AK73"/>
  <c r="AJ73"/>
  <c r="AK71"/>
  <c r="AJ71"/>
  <c r="AK69"/>
  <c r="AJ69"/>
  <c r="AK67"/>
  <c r="AJ67"/>
  <c r="AK65"/>
  <c r="AJ65"/>
  <c r="AK62"/>
  <c r="AJ62"/>
  <c r="AK60"/>
  <c r="AJ60"/>
  <c r="AK58"/>
  <c r="AJ58"/>
  <c r="AK56"/>
  <c r="AJ56"/>
  <c r="AK54"/>
  <c r="AJ54"/>
  <c r="AK52"/>
  <c r="AJ52"/>
  <c r="AK50"/>
  <c r="AJ50"/>
  <c r="AK48"/>
  <c r="AJ48"/>
  <c r="AK46"/>
  <c r="AJ46"/>
  <c r="AK44"/>
  <c r="AJ44"/>
  <c r="AK42"/>
  <c r="AJ42"/>
  <c r="AK40"/>
  <c r="AJ40"/>
  <c r="AK38"/>
  <c r="AJ38"/>
  <c r="AK36"/>
  <c r="AJ36"/>
  <c r="AK34"/>
  <c r="AJ34"/>
  <c r="AK32"/>
  <c r="AJ32"/>
  <c r="AK30"/>
  <c r="AJ30"/>
  <c r="AK28"/>
  <c r="AJ28"/>
  <c r="AK26"/>
  <c r="AJ26"/>
  <c r="AK24"/>
  <c r="AJ24"/>
  <c r="AK22"/>
  <c r="AJ22"/>
  <c r="AK20"/>
  <c r="AJ20"/>
  <c r="AK18"/>
  <c r="AJ18"/>
  <c r="P80" i="9"/>
  <c r="AK132" i="10"/>
  <c r="AJ132"/>
  <c r="AJ130"/>
  <c r="AK130"/>
  <c r="AK128"/>
  <c r="AJ128"/>
  <c r="AK124"/>
  <c r="AJ124"/>
  <c r="AK121"/>
  <c r="AJ121"/>
  <c r="AK119"/>
  <c r="AJ119"/>
  <c r="AK117"/>
  <c r="AJ117"/>
  <c r="AK115"/>
  <c r="AJ115"/>
  <c r="AK113"/>
  <c r="AJ113"/>
  <c r="AK111"/>
  <c r="AJ111"/>
  <c r="AK107"/>
  <c r="AJ107"/>
  <c r="AK105"/>
  <c r="AJ105"/>
  <c r="AK103"/>
  <c r="AJ103"/>
  <c r="AJ101"/>
  <c r="AK101"/>
  <c r="AJ99"/>
  <c r="AK99"/>
  <c r="AJ97"/>
  <c r="AK97"/>
  <c r="AJ95"/>
  <c r="AK95"/>
  <c r="AJ93"/>
  <c r="AK93"/>
  <c r="AJ91"/>
  <c r="AK91"/>
  <c r="AJ89"/>
  <c r="AK89"/>
  <c r="AJ86"/>
  <c r="AK86"/>
  <c r="AJ84"/>
  <c r="AK84"/>
  <c r="AJ82"/>
  <c r="AK82"/>
  <c r="AJ127"/>
  <c r="AK127"/>
  <c r="AJ123"/>
  <c r="AK123"/>
  <c r="AJ120"/>
  <c r="AK120"/>
  <c r="AJ118"/>
  <c r="AK118"/>
  <c r="AJ116"/>
  <c r="AK116"/>
  <c r="AJ114"/>
  <c r="AK114"/>
  <c r="AJ112"/>
  <c r="AK112"/>
  <c r="AJ110"/>
  <c r="AK110"/>
  <c r="AK108"/>
  <c r="AJ108"/>
  <c r="AK106"/>
  <c r="AJ106"/>
  <c r="AK104"/>
  <c r="AJ104"/>
  <c r="AK102"/>
  <c r="AJ102"/>
  <c r="AK100"/>
  <c r="AJ100"/>
  <c r="AK98"/>
  <c r="AJ98"/>
  <c r="AK96"/>
  <c r="AJ96"/>
  <c r="AK94"/>
  <c r="AJ94"/>
  <c r="AK92"/>
  <c r="AJ92"/>
  <c r="AK90"/>
  <c r="AJ90"/>
  <c r="AK87"/>
  <c r="AJ87"/>
  <c r="AK85"/>
  <c r="AK83"/>
  <c r="AJ83"/>
  <c r="P108" i="9"/>
  <c r="R142" i="7"/>
  <c r="S142"/>
  <c r="V142" s="1"/>
  <c r="R984" l="1"/>
  <c r="S984"/>
  <c r="V984" s="1"/>
  <c r="E985" i="5"/>
  <c r="F984"/>
  <c r="F705" s="1"/>
  <c r="R987" i="7"/>
  <c r="R988" s="1"/>
  <c r="N988"/>
  <c r="S987"/>
  <c r="E128" i="5"/>
  <c r="N125" i="7" s="1"/>
  <c r="R125" s="1"/>
  <c r="E129" i="5"/>
  <c r="E130"/>
  <c r="N127" i="7" s="1"/>
  <c r="R127" s="1"/>
  <c r="E131" i="5"/>
  <c r="N128" i="7" s="1"/>
  <c r="R128" s="1"/>
  <c r="K125"/>
  <c r="K131" s="1"/>
  <c r="E158" i="5"/>
  <c r="N155" i="7" s="1"/>
  <c r="R155" s="1"/>
  <c r="V987" l="1"/>
  <c r="S988"/>
  <c r="V988" s="1"/>
  <c r="E984" i="5"/>
  <c r="E705" s="1"/>
  <c r="N983" i="7"/>
  <c r="N126"/>
  <c r="S126" s="1"/>
  <c r="V126" s="1"/>
  <c r="S125"/>
  <c r="V125" s="1"/>
  <c r="S127"/>
  <c r="V127" s="1"/>
  <c r="S128"/>
  <c r="V128" s="1"/>
  <c r="S155"/>
  <c r="V155" s="1"/>
  <c r="R983" l="1"/>
  <c r="R985" s="1"/>
  <c r="R704" s="1"/>
  <c r="S983"/>
  <c r="V983" s="1"/>
  <c r="N985"/>
  <c r="R126"/>
  <c r="Y262" i="5"/>
  <c r="S985" i="7" l="1"/>
  <c r="V985" s="1"/>
  <c r="N704"/>
  <c r="E157" i="5"/>
  <c r="N154" i="7" s="1"/>
  <c r="R154" s="1"/>
  <c r="E127" i="5"/>
  <c r="N124" i="7" s="1"/>
  <c r="S124" s="1"/>
  <c r="V124" s="1"/>
  <c r="E126" i="5"/>
  <c r="N123" i="7" s="1"/>
  <c r="S123" s="1"/>
  <c r="V123" s="1"/>
  <c r="Y127" i="5"/>
  <c r="S154" i="7" l="1"/>
  <c r="V154" s="1"/>
  <c r="R124"/>
  <c r="R123"/>
  <c r="W219" l="1"/>
  <c r="E74" i="5" l="1"/>
  <c r="D12" i="6" l="1"/>
  <c r="I12"/>
  <c r="C12"/>
  <c r="X19" i="5"/>
  <c r="Z19" s="1"/>
  <c r="K153" i="7" l="1"/>
  <c r="K156" s="1"/>
  <c r="AA247" i="5"/>
  <c r="W244" i="7"/>
  <c r="K244" l="1"/>
  <c r="W245" s="1"/>
  <c r="Q206" l="1"/>
  <c r="Q302"/>
  <c r="Q316"/>
  <c r="F341" i="5" l="1"/>
  <c r="G341"/>
  <c r="H341"/>
  <c r="I341"/>
  <c r="J341"/>
  <c r="L341"/>
  <c r="M341"/>
  <c r="N341"/>
  <c r="O341"/>
  <c r="P341"/>
  <c r="Q341"/>
  <c r="R341"/>
  <c r="S341"/>
  <c r="T341"/>
  <c r="U341"/>
  <c r="V341"/>
  <c r="F302"/>
  <c r="G302"/>
  <c r="H302"/>
  <c r="I302"/>
  <c r="J302"/>
  <c r="L302"/>
  <c r="M302"/>
  <c r="N302"/>
  <c r="O302"/>
  <c r="P302"/>
  <c r="Q302"/>
  <c r="R302"/>
  <c r="S302"/>
  <c r="T302"/>
  <c r="U302"/>
  <c r="V302"/>
  <c r="Y192" l="1"/>
  <c r="X192"/>
  <c r="Y191"/>
  <c r="Y358"/>
  <c r="Y359"/>
  <c r="X21"/>
  <c r="X20"/>
  <c r="Y20"/>
  <c r="I345"/>
  <c r="I306"/>
  <c r="I246"/>
  <c r="I243"/>
  <c r="I226"/>
  <c r="X359"/>
  <c r="Y346"/>
  <c r="I336"/>
  <c r="L330"/>
  <c r="I330"/>
  <c r="E324"/>
  <c r="E300"/>
  <c r="L296"/>
  <c r="E297"/>
  <c r="I292"/>
  <c r="I282"/>
  <c r="I278"/>
  <c r="L278"/>
  <c r="I272"/>
  <c r="L253"/>
  <c r="I253"/>
  <c r="I249"/>
  <c r="L249"/>
  <c r="E136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Y21"/>
  <c r="Y22"/>
  <c r="Y23"/>
  <c r="Y24"/>
  <c r="Y25"/>
  <c r="Y26"/>
  <c r="Y27"/>
  <c r="Y28"/>
  <c r="Y29"/>
  <c r="Y30"/>
  <c r="Y31"/>
  <c r="Y32"/>
  <c r="Y33"/>
  <c r="Y34"/>
  <c r="Y35"/>
  <c r="Y36"/>
  <c r="Y38"/>
  <c r="Y39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5"/>
  <c r="Y76"/>
  <c r="Y77"/>
  <c r="Y79"/>
  <c r="Y81"/>
  <c r="Y82"/>
  <c r="Y83"/>
  <c r="Y84"/>
  <c r="Y85"/>
  <c r="Y86"/>
  <c r="Y87"/>
  <c r="Y88"/>
  <c r="Y90"/>
  <c r="Y91"/>
  <c r="Y92"/>
  <c r="Y93"/>
  <c r="Y94"/>
  <c r="Y95"/>
  <c r="Y96"/>
  <c r="Y97"/>
  <c r="Y9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34"/>
  <c r="Y136"/>
  <c r="Y137"/>
  <c r="Y138"/>
  <c r="Y139"/>
  <c r="Y140"/>
  <c r="Y141"/>
  <c r="Y142"/>
  <c r="Y143"/>
  <c r="Y144"/>
  <c r="Y146"/>
  <c r="Y149"/>
  <c r="Y150"/>
  <c r="Y151"/>
  <c r="Y152"/>
  <c r="Y153"/>
  <c r="Y154"/>
  <c r="Y155"/>
  <c r="Y156"/>
  <c r="Y159"/>
  <c r="Y161"/>
  <c r="Y162"/>
  <c r="Y163"/>
  <c r="Y164"/>
  <c r="Y166"/>
  <c r="Y167"/>
  <c r="Y168"/>
  <c r="Y169"/>
  <c r="Y170"/>
  <c r="Y171"/>
  <c r="Y172"/>
  <c r="Y174"/>
  <c r="Y175"/>
  <c r="Y176"/>
  <c r="Y178"/>
  <c r="Y179"/>
  <c r="Y180"/>
  <c r="Y181"/>
  <c r="Y182"/>
  <c r="Y184"/>
  <c r="Y185"/>
  <c r="Y187"/>
  <c r="Y188"/>
  <c r="Y189"/>
  <c r="Y190"/>
  <c r="Y193"/>
  <c r="Y194"/>
  <c r="Y195"/>
  <c r="Y196"/>
  <c r="Y197"/>
  <c r="Y198"/>
  <c r="Y199"/>
  <c r="Y200"/>
  <c r="Y201"/>
  <c r="Y202"/>
  <c r="Y204"/>
  <c r="Y205"/>
  <c r="Y206"/>
  <c r="Y208"/>
  <c r="Y209"/>
  <c r="Y211"/>
  <c r="Y212"/>
  <c r="Y214"/>
  <c r="Y215"/>
  <c r="Y216"/>
  <c r="Y218"/>
  <c r="Y219"/>
  <c r="Y221"/>
  <c r="Y222"/>
  <c r="Y224"/>
  <c r="Y225"/>
  <c r="Y227"/>
  <c r="Y228"/>
  <c r="Y229"/>
  <c r="Y230"/>
  <c r="Y231"/>
  <c r="Y232"/>
  <c r="Y233"/>
  <c r="Y234"/>
  <c r="Y235"/>
  <c r="Y236"/>
  <c r="Y237"/>
  <c r="Y238"/>
  <c r="Y240"/>
  <c r="Y241"/>
  <c r="Y242"/>
  <c r="Y244"/>
  <c r="Y245"/>
  <c r="Y247"/>
  <c r="Y248"/>
  <c r="Y250"/>
  <c r="Y251"/>
  <c r="Y252"/>
  <c r="Y254"/>
  <c r="Y255"/>
  <c r="Y256"/>
  <c r="Y258"/>
  <c r="Y259"/>
  <c r="Y261"/>
  <c r="Y263"/>
  <c r="Y264"/>
  <c r="Y265"/>
  <c r="Y266"/>
  <c r="Y267"/>
  <c r="Y269"/>
  <c r="Y270"/>
  <c r="Y271"/>
  <c r="Y273"/>
  <c r="Y274"/>
  <c r="Y275"/>
  <c r="Y276"/>
  <c r="Y277"/>
  <c r="Y279"/>
  <c r="Y280"/>
  <c r="Y281"/>
  <c r="Y283"/>
  <c r="Y284"/>
  <c r="Y286"/>
  <c r="Y287"/>
  <c r="Y288"/>
  <c r="Y290"/>
  <c r="Y291"/>
  <c r="Y293"/>
  <c r="Y294"/>
  <c r="Y295"/>
  <c r="Y297"/>
  <c r="Y298"/>
  <c r="Y301"/>
  <c r="Y302"/>
  <c r="Y303"/>
  <c r="Y305"/>
  <c r="Y307"/>
  <c r="Y308"/>
  <c r="Y309"/>
  <c r="Y311"/>
  <c r="Y312"/>
  <c r="Y313"/>
  <c r="Y314"/>
  <c r="Y315"/>
  <c r="Y317"/>
  <c r="Y318"/>
  <c r="Y319"/>
  <c r="Y322"/>
  <c r="Y323"/>
  <c r="Y325"/>
  <c r="Y327"/>
  <c r="Y328"/>
  <c r="Y329"/>
  <c r="Y331"/>
  <c r="Y332"/>
  <c r="Y333"/>
  <c r="Y334"/>
  <c r="Y335"/>
  <c r="Y337"/>
  <c r="Y338"/>
  <c r="Y339"/>
  <c r="Y340"/>
  <c r="Y341"/>
  <c r="Y342"/>
  <c r="Y343"/>
  <c r="Y344"/>
  <c r="Y347"/>
  <c r="Y348"/>
  <c r="Y349"/>
  <c r="Y350"/>
  <c r="Y351"/>
  <c r="Y352"/>
  <c r="Y353"/>
  <c r="Y354"/>
  <c r="Y355"/>
  <c r="Y356"/>
  <c r="Y357"/>
  <c r="X22"/>
  <c r="X23"/>
  <c r="Z23" s="1"/>
  <c r="X24"/>
  <c r="X25"/>
  <c r="Z25" s="1"/>
  <c r="X26"/>
  <c r="X28"/>
  <c r="X29"/>
  <c r="X30"/>
  <c r="X31"/>
  <c r="X32"/>
  <c r="X33"/>
  <c r="X34"/>
  <c r="X35"/>
  <c r="X36"/>
  <c r="X37"/>
  <c r="X38"/>
  <c r="X39"/>
  <c r="Z40"/>
  <c r="X41"/>
  <c r="X42"/>
  <c r="X43"/>
  <c r="X44"/>
  <c r="X45"/>
  <c r="X46"/>
  <c r="X47"/>
  <c r="X48"/>
  <c r="X49"/>
  <c r="X50"/>
  <c r="Z50" s="1"/>
  <c r="X51"/>
  <c r="X52"/>
  <c r="Z52" s="1"/>
  <c r="X53"/>
  <c r="X54"/>
  <c r="Z54" s="1"/>
  <c r="X55"/>
  <c r="X56"/>
  <c r="Z56" s="1"/>
  <c r="X57"/>
  <c r="X58"/>
  <c r="Z58" s="1"/>
  <c r="X59"/>
  <c r="X60"/>
  <c r="Z60" s="1"/>
  <c r="X61"/>
  <c r="X62"/>
  <c r="Z62" s="1"/>
  <c r="X63"/>
  <c r="X64"/>
  <c r="Z64" s="1"/>
  <c r="X65"/>
  <c r="X66"/>
  <c r="Z66" s="1"/>
  <c r="X67"/>
  <c r="X68"/>
  <c r="Z68" s="1"/>
  <c r="X69"/>
  <c r="X70"/>
  <c r="Z70" s="1"/>
  <c r="X71"/>
  <c r="X72"/>
  <c r="Z72" s="1"/>
  <c r="X73"/>
  <c r="X74"/>
  <c r="X75"/>
  <c r="X76"/>
  <c r="Z76" s="1"/>
  <c r="X77"/>
  <c r="X78"/>
  <c r="X79"/>
  <c r="X80"/>
  <c r="X81"/>
  <c r="X82"/>
  <c r="Z82" s="1"/>
  <c r="X83"/>
  <c r="X84"/>
  <c r="Z84" s="1"/>
  <c r="X85"/>
  <c r="X86"/>
  <c r="Z86" s="1"/>
  <c r="X87"/>
  <c r="X88"/>
  <c r="Z88" s="1"/>
  <c r="X89"/>
  <c r="X90"/>
  <c r="Z90" s="1"/>
  <c r="X91"/>
  <c r="X92"/>
  <c r="Z92" s="1"/>
  <c r="X93"/>
  <c r="X95"/>
  <c r="Z95" s="1"/>
  <c r="X96"/>
  <c r="X97"/>
  <c r="Z97" s="1"/>
  <c r="X98"/>
  <c r="X99"/>
  <c r="X100"/>
  <c r="X101"/>
  <c r="Z101" s="1"/>
  <c r="X102"/>
  <c r="X103"/>
  <c r="Z103" s="1"/>
  <c r="X104"/>
  <c r="X105"/>
  <c r="Z105" s="1"/>
  <c r="X106"/>
  <c r="X107"/>
  <c r="Z107" s="1"/>
  <c r="X108"/>
  <c r="X109"/>
  <c r="X110"/>
  <c r="X111"/>
  <c r="Z111" s="1"/>
  <c r="X112"/>
  <c r="X113"/>
  <c r="Z113" s="1"/>
  <c r="X114"/>
  <c r="X115"/>
  <c r="Z115" s="1"/>
  <c r="X116"/>
  <c r="X117"/>
  <c r="Z117" s="1"/>
  <c r="X118"/>
  <c r="X119"/>
  <c r="Z119" s="1"/>
  <c r="X120"/>
  <c r="X121"/>
  <c r="Z121" s="1"/>
  <c r="X122"/>
  <c r="X123"/>
  <c r="Z123" s="1"/>
  <c r="X124"/>
  <c r="X125"/>
  <c r="Z125" s="1"/>
  <c r="X134"/>
  <c r="X136"/>
  <c r="X137"/>
  <c r="X138"/>
  <c r="X139"/>
  <c r="X140"/>
  <c r="X141"/>
  <c r="X142"/>
  <c r="X143"/>
  <c r="X144"/>
  <c r="X146"/>
  <c r="X149"/>
  <c r="X150"/>
  <c r="X151"/>
  <c r="X152"/>
  <c r="X153"/>
  <c r="X154"/>
  <c r="X155"/>
  <c r="X156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90"/>
  <c r="X191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Z325" s="1"/>
  <c r="X326"/>
  <c r="X327"/>
  <c r="X328"/>
  <c r="X329"/>
  <c r="X330"/>
  <c r="X331"/>
  <c r="Z331" s="1"/>
  <c r="X332"/>
  <c r="X333"/>
  <c r="Z333" s="1"/>
  <c r="X334"/>
  <c r="X335"/>
  <c r="Z335" s="1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Y285" s="1"/>
  <c r="M285"/>
  <c r="N285"/>
  <c r="O285"/>
  <c r="P285"/>
  <c r="Q285"/>
  <c r="R285"/>
  <c r="S285"/>
  <c r="T285"/>
  <c r="U285"/>
  <c r="V285"/>
  <c r="F282"/>
  <c r="G282"/>
  <c r="H282"/>
  <c r="J282"/>
  <c r="K282"/>
  <c r="L282"/>
  <c r="Y282" s="1"/>
  <c r="M282"/>
  <c r="N282"/>
  <c r="O282"/>
  <c r="P282"/>
  <c r="Q282"/>
  <c r="R282"/>
  <c r="S282"/>
  <c r="T282"/>
  <c r="U282"/>
  <c r="V282"/>
  <c r="Z109" l="1"/>
  <c r="Z323"/>
  <c r="Z319"/>
  <c r="Z317"/>
  <c r="Z309"/>
  <c r="Z307"/>
  <c r="Z303"/>
  <c r="Z301"/>
  <c r="Z291"/>
  <c r="Z283"/>
  <c r="Z245"/>
  <c r="Z237"/>
  <c r="Z235"/>
  <c r="Z233"/>
  <c r="Z231"/>
  <c r="Z229"/>
  <c r="Z227"/>
  <c r="Z221"/>
  <c r="Z215"/>
  <c r="Z209"/>
  <c r="Z201"/>
  <c r="Z199"/>
  <c r="Z184"/>
  <c r="Z176"/>
  <c r="Z174"/>
  <c r="Z164"/>
  <c r="Z162"/>
  <c r="Z294"/>
  <c r="Z270"/>
  <c r="Z20"/>
  <c r="Z271"/>
  <c r="Z261"/>
  <c r="Z255"/>
  <c r="Z143"/>
  <c r="Z139"/>
  <c r="Z47"/>
  <c r="Z39"/>
  <c r="Z26"/>
  <c r="Z24"/>
  <c r="Z22"/>
  <c r="Y249"/>
  <c r="Z359"/>
  <c r="Z334"/>
  <c r="Z332"/>
  <c r="Z290"/>
  <c r="Z284"/>
  <c r="Z252"/>
  <c r="Z250"/>
  <c r="Z248"/>
  <c r="Z242"/>
  <c r="Z240"/>
  <c r="Z224"/>
  <c r="Z218"/>
  <c r="Z212"/>
  <c r="Z206"/>
  <c r="Z204"/>
  <c r="Z197"/>
  <c r="Z195"/>
  <c r="Z193"/>
  <c r="Z187"/>
  <c r="Z181"/>
  <c r="Z179"/>
  <c r="Z171"/>
  <c r="Z169"/>
  <c r="Z167"/>
  <c r="Z159"/>
  <c r="Z155"/>
  <c r="Z153"/>
  <c r="Z151"/>
  <c r="Z149"/>
  <c r="Z138"/>
  <c r="Z136"/>
  <c r="Z43"/>
  <c r="Z41"/>
  <c r="Z35"/>
  <c r="Y278"/>
  <c r="Z278" s="1"/>
  <c r="Z141"/>
  <c r="Z192"/>
  <c r="Z357"/>
  <c r="Z355"/>
  <c r="Z353"/>
  <c r="Z351"/>
  <c r="Z349"/>
  <c r="Z347"/>
  <c r="Z343"/>
  <c r="Z341"/>
  <c r="Z329"/>
  <c r="Z327"/>
  <c r="Z315"/>
  <c r="Z313"/>
  <c r="Z311"/>
  <c r="Z305"/>
  <c r="Z295"/>
  <c r="Z293"/>
  <c r="Z287"/>
  <c r="Z281"/>
  <c r="Z279"/>
  <c r="Z277"/>
  <c r="Z275"/>
  <c r="Z273"/>
  <c r="Z267"/>
  <c r="Z265"/>
  <c r="Z263"/>
  <c r="Z259"/>
  <c r="Z251"/>
  <c r="Z241"/>
  <c r="Z225"/>
  <c r="Z219"/>
  <c r="Z211"/>
  <c r="Z205"/>
  <c r="Z196"/>
  <c r="Z194"/>
  <c r="Z190"/>
  <c r="Z185"/>
  <c r="Z175"/>
  <c r="Z163"/>
  <c r="Z161"/>
  <c r="Z134"/>
  <c r="Z124"/>
  <c r="Z122"/>
  <c r="Z120"/>
  <c r="Z118"/>
  <c r="Z116"/>
  <c r="Z114"/>
  <c r="Z112"/>
  <c r="Z110"/>
  <c r="Z108"/>
  <c r="Z106"/>
  <c r="Z104"/>
  <c r="Z102"/>
  <c r="Z100"/>
  <c r="Z93"/>
  <c r="Z91"/>
  <c r="Z79"/>
  <c r="Z73"/>
  <c r="Z71"/>
  <c r="Z69"/>
  <c r="Z67"/>
  <c r="Z65"/>
  <c r="Z63"/>
  <c r="Z61"/>
  <c r="Z59"/>
  <c r="Z57"/>
  <c r="Z55"/>
  <c r="Z53"/>
  <c r="Z51"/>
  <c r="Z49"/>
  <c r="Z44"/>
  <c r="Z42"/>
  <c r="Z36"/>
  <c r="Z34"/>
  <c r="Z32"/>
  <c r="Z30"/>
  <c r="Z28"/>
  <c r="Z21"/>
  <c r="Z269"/>
  <c r="Z258"/>
  <c r="Y330"/>
  <c r="Z330" s="1"/>
  <c r="Z247"/>
  <c r="Z312"/>
  <c r="Z314"/>
  <c r="Z328"/>
  <c r="Y292"/>
  <c r="Y289"/>
  <c r="Z356"/>
  <c r="Z354"/>
  <c r="Z352"/>
  <c r="Z350"/>
  <c r="Z348"/>
  <c r="Z346"/>
  <c r="Z344"/>
  <c r="Z342"/>
  <c r="Z340"/>
  <c r="Z338"/>
  <c r="Z324"/>
  <c r="Z322"/>
  <c r="Z318"/>
  <c r="Z308"/>
  <c r="Z298"/>
  <c r="Z288"/>
  <c r="Z286"/>
  <c r="Z280"/>
  <c r="Z276"/>
  <c r="Z274"/>
  <c r="Z266"/>
  <c r="Z264"/>
  <c r="Z256"/>
  <c r="Z244"/>
  <c r="Z238"/>
  <c r="Z236"/>
  <c r="Z234"/>
  <c r="Z232"/>
  <c r="Z230"/>
  <c r="Z228"/>
  <c r="Z222"/>
  <c r="Z216"/>
  <c r="Z214"/>
  <c r="Z208"/>
  <c r="Z202"/>
  <c r="Z200"/>
  <c r="Z191"/>
  <c r="Z188"/>
  <c r="Z182"/>
  <c r="Z180"/>
  <c r="Z172"/>
  <c r="Z170"/>
  <c r="Z168"/>
  <c r="Z166"/>
  <c r="Z156"/>
  <c r="Z154"/>
  <c r="Z150"/>
  <c r="Z146"/>
  <c r="Z144"/>
  <c r="Z137"/>
  <c r="Z98"/>
  <c r="Z96"/>
  <c r="Z87"/>
  <c r="Z85"/>
  <c r="Z83"/>
  <c r="Z77"/>
  <c r="Z75"/>
  <c r="Z48"/>
  <c r="Z46"/>
  <c r="Z38"/>
  <c r="Z33"/>
  <c r="Z31"/>
  <c r="Z29"/>
  <c r="E292"/>
  <c r="E299"/>
  <c r="E323"/>
  <c r="X27"/>
  <c r="Z27" s="1"/>
  <c r="Z339"/>
  <c r="Z337"/>
  <c r="Z262"/>
  <c r="Z178"/>
  <c r="Z152"/>
  <c r="Z142"/>
  <c r="Z140"/>
  <c r="Z81"/>
  <c r="Z302"/>
  <c r="Z148"/>
  <c r="Z282"/>
  <c r="Z289"/>
  <c r="Z285"/>
  <c r="Z297"/>
  <c r="Z292"/>
  <c r="Z254"/>
  <c r="Z249"/>
  <c r="T323"/>
  <c r="I239" l="1"/>
  <c r="I268"/>
  <c r="I260"/>
  <c r="I257"/>
  <c r="Y253"/>
  <c r="Z253" s="1"/>
  <c r="L239"/>
  <c r="Y239" l="1"/>
  <c r="Z239" s="1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V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Y210" s="1"/>
  <c r="Z210" s="1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M16"/>
  <c r="V16"/>
  <c r="R16"/>
  <c r="N16"/>
  <c r="T16"/>
  <c r="G16"/>
  <c r="O16"/>
  <c r="U16"/>
  <c r="H16"/>
  <c r="E178"/>
  <c r="I183"/>
  <c r="E189"/>
  <c r="E190"/>
  <c r="E191"/>
  <c r="E192"/>
  <c r="N188" i="7" l="1"/>
  <c r="N186"/>
  <c r="N189"/>
  <c r="N187"/>
  <c r="H14" i="5"/>
  <c r="R14"/>
  <c r="M14"/>
  <c r="E180"/>
  <c r="E193"/>
  <c r="L183"/>
  <c r="E181"/>
  <c r="E188"/>
  <c r="O14"/>
  <c r="S14"/>
  <c r="U14"/>
  <c r="G14"/>
  <c r="V14"/>
  <c r="Q14"/>
  <c r="T14"/>
  <c r="L177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V176" s="1"/>
  <c r="Y177" i="5"/>
  <c r="Z177" s="1"/>
  <c r="N185" i="7"/>
  <c r="R185" s="1"/>
  <c r="Y183" i="5"/>
  <c r="Z183" s="1"/>
  <c r="N177" i="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Y74" s="1"/>
  <c r="Z74" s="1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I220"/>
  <c r="I223"/>
  <c r="R234" i="7"/>
  <c r="E240" i="5"/>
  <c r="E241"/>
  <c r="E286"/>
  <c r="K286"/>
  <c r="E287"/>
  <c r="K287"/>
  <c r="I296"/>
  <c r="E303"/>
  <c r="K303"/>
  <c r="K302" s="1"/>
  <c r="I310"/>
  <c r="L310"/>
  <c r="E311"/>
  <c r="E312"/>
  <c r="E313"/>
  <c r="E314"/>
  <c r="I316"/>
  <c r="F320"/>
  <c r="I320"/>
  <c r="L321"/>
  <c r="I326"/>
  <c r="E343"/>
  <c r="K343"/>
  <c r="K341" s="1"/>
  <c r="T91" i="7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R187"/>
  <c r="R188"/>
  <c r="R189"/>
  <c r="T195"/>
  <c r="J203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V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J357"/>
  <c r="C55" i="6" s="1"/>
  <c r="K357" i="7"/>
  <c r="L357"/>
  <c r="M357"/>
  <c r="D55" i="6" s="1"/>
  <c r="O357" i="7"/>
  <c r="P357"/>
  <c r="Q357"/>
  <c r="K18" i="5" l="1"/>
  <c r="E33"/>
  <c r="J16"/>
  <c r="J14" s="1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V139" s="1"/>
  <c r="N119"/>
  <c r="R119" s="1"/>
  <c r="N105"/>
  <c r="R105" s="1"/>
  <c r="N100"/>
  <c r="R100" s="1"/>
  <c r="N98"/>
  <c r="R98" s="1"/>
  <c r="N90"/>
  <c r="R90" s="1"/>
  <c r="N69"/>
  <c r="R69" s="1"/>
  <c r="N65"/>
  <c r="R65" s="1"/>
  <c r="N61"/>
  <c r="R61" s="1"/>
  <c r="N57"/>
  <c r="R57" s="1"/>
  <c r="N55"/>
  <c r="R55" s="1"/>
  <c r="N26"/>
  <c r="N340"/>
  <c r="R340" s="1"/>
  <c r="N311"/>
  <c r="R311" s="1"/>
  <c r="N309"/>
  <c r="R309" s="1"/>
  <c r="N284"/>
  <c r="R284" s="1"/>
  <c r="N283"/>
  <c r="R283" s="1"/>
  <c r="Y217" i="5"/>
  <c r="Z217" s="1"/>
  <c r="N202" i="7"/>
  <c r="S202" s="1"/>
  <c r="V202" s="1"/>
  <c r="N192"/>
  <c r="N99"/>
  <c r="R99" s="1"/>
  <c r="N97"/>
  <c r="R97" s="1"/>
  <c r="N89"/>
  <c r="R89" s="1"/>
  <c r="N74"/>
  <c r="R74" s="1"/>
  <c r="N73"/>
  <c r="R73" s="1"/>
  <c r="N72"/>
  <c r="R72" s="1"/>
  <c r="N70"/>
  <c r="R70" s="1"/>
  <c r="N30"/>
  <c r="R30" s="1"/>
  <c r="N24"/>
  <c r="X358" i="5"/>
  <c r="Z358" s="1"/>
  <c r="X189"/>
  <c r="Z189" s="1"/>
  <c r="Y304"/>
  <c r="Z304" s="1"/>
  <c r="E80"/>
  <c r="N77" i="7" s="1"/>
  <c r="R77" s="1"/>
  <c r="Y80" i="5"/>
  <c r="Z80" s="1"/>
  <c r="K285"/>
  <c r="X198"/>
  <c r="Z198" s="1"/>
  <c r="X94"/>
  <c r="Z94" s="1"/>
  <c r="L320"/>
  <c r="Y320" s="1"/>
  <c r="Z320" s="1"/>
  <c r="Y321"/>
  <c r="Z321" s="1"/>
  <c r="E99"/>
  <c r="N96" i="7" s="1"/>
  <c r="R96" s="1"/>
  <c r="Y99" i="5"/>
  <c r="Z99" s="1"/>
  <c r="E89"/>
  <c r="N86" i="7" s="1"/>
  <c r="R86" s="1"/>
  <c r="Y89" i="5"/>
  <c r="Z89" s="1"/>
  <c r="E45"/>
  <c r="Y45"/>
  <c r="Z45" s="1"/>
  <c r="Y310"/>
  <c r="Z310" s="1"/>
  <c r="Y300"/>
  <c r="Z300" s="1"/>
  <c r="P16"/>
  <c r="P14" s="1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E236"/>
  <c r="E234"/>
  <c r="E231"/>
  <c r="E229"/>
  <c r="E215"/>
  <c r="L207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Y296"/>
  <c r="Z296" s="1"/>
  <c r="E283"/>
  <c r="E279"/>
  <c r="E276"/>
  <c r="E270"/>
  <c r="E266"/>
  <c r="E264"/>
  <c r="E262"/>
  <c r="N259" i="7" s="1"/>
  <c r="S259" s="1"/>
  <c r="V259" s="1"/>
  <c r="E251" i="5"/>
  <c r="L246"/>
  <c r="E235"/>
  <c r="E232"/>
  <c r="E230"/>
  <c r="E228"/>
  <c r="L223"/>
  <c r="L220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E19"/>
  <c r="L257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N321" i="7"/>
  <c r="E174" i="5"/>
  <c r="L173"/>
  <c r="E210"/>
  <c r="L186"/>
  <c r="L165"/>
  <c r="E161"/>
  <c r="L160"/>
  <c r="L213"/>
  <c r="E194"/>
  <c r="E214"/>
  <c r="E247"/>
  <c r="E244"/>
  <c r="L336"/>
  <c r="L326"/>
  <c r="E310"/>
  <c r="L306"/>
  <c r="L272"/>
  <c r="L345"/>
  <c r="E337"/>
  <c r="E327"/>
  <c r="E321"/>
  <c r="L316"/>
  <c r="E307"/>
  <c r="N294" i="7"/>
  <c r="R294" s="1"/>
  <c r="R295" s="1"/>
  <c r="E273" i="5"/>
  <c r="E258"/>
  <c r="E254"/>
  <c r="L226"/>
  <c r="E221"/>
  <c r="E204"/>
  <c r="E149"/>
  <c r="E147" s="1"/>
  <c r="L37"/>
  <c r="Y299"/>
  <c r="Z299" s="1"/>
  <c r="L268"/>
  <c r="E285"/>
  <c r="L260"/>
  <c r="E227"/>
  <c r="E224"/>
  <c r="E218"/>
  <c r="E208"/>
  <c r="E166"/>
  <c r="E137"/>
  <c r="E40"/>
  <c r="S188" i="7"/>
  <c r="V188" s="1"/>
  <c r="S190"/>
  <c r="V190" s="1"/>
  <c r="S187"/>
  <c r="V187" s="1"/>
  <c r="S185"/>
  <c r="V185" s="1"/>
  <c r="S65"/>
  <c r="V65" s="1"/>
  <c r="S160"/>
  <c r="V160" s="1"/>
  <c r="S310"/>
  <c r="V310" s="1"/>
  <c r="S234"/>
  <c r="V234" s="1"/>
  <c r="S189"/>
  <c r="V189" s="1"/>
  <c r="S186"/>
  <c r="V186" s="1"/>
  <c r="S90"/>
  <c r="V90" s="1"/>
  <c r="R178"/>
  <c r="S178"/>
  <c r="V178" s="1"/>
  <c r="P302"/>
  <c r="P14" s="1"/>
  <c r="P12" s="1"/>
  <c r="O302"/>
  <c r="O14" s="1"/>
  <c r="O12" s="1"/>
  <c r="L78" i="5"/>
  <c r="L18" s="1"/>
  <c r="R290" i="7"/>
  <c r="R292" s="1"/>
  <c r="N292"/>
  <c r="S291"/>
  <c r="V291" s="1"/>
  <c r="S175"/>
  <c r="V175" s="1"/>
  <c r="S72"/>
  <c r="V72" s="1"/>
  <c r="S300" l="1"/>
  <c r="V300" s="1"/>
  <c r="R202"/>
  <c r="S309"/>
  <c r="V309" s="1"/>
  <c r="E135" i="5"/>
  <c r="R24" i="7"/>
  <c r="S24"/>
  <c r="N42"/>
  <c r="S283"/>
  <c r="V283" s="1"/>
  <c r="S73"/>
  <c r="V73" s="1"/>
  <c r="S98"/>
  <c r="V98" s="1"/>
  <c r="S340"/>
  <c r="V340" s="1"/>
  <c r="S105"/>
  <c r="V105" s="1"/>
  <c r="S70"/>
  <c r="V70" s="1"/>
  <c r="S55"/>
  <c r="V55" s="1"/>
  <c r="S89"/>
  <c r="V89" s="1"/>
  <c r="S69"/>
  <c r="V69" s="1"/>
  <c r="S61"/>
  <c r="V61" s="1"/>
  <c r="S99"/>
  <c r="V99" s="1"/>
  <c r="S308"/>
  <c r="V308" s="1"/>
  <c r="S74"/>
  <c r="V74" s="1"/>
  <c r="S100"/>
  <c r="V100" s="1"/>
  <c r="N312"/>
  <c r="S312" s="1"/>
  <c r="V312" s="1"/>
  <c r="S119"/>
  <c r="V119" s="1"/>
  <c r="S57"/>
  <c r="V57" s="1"/>
  <c r="E345" i="5"/>
  <c r="E260"/>
  <c r="R285" i="7"/>
  <c r="K16" i="5"/>
  <c r="K14" s="1"/>
  <c r="S86" i="7"/>
  <c r="V86" s="1"/>
  <c r="S311"/>
  <c r="V311" s="1"/>
  <c r="R145"/>
  <c r="S97"/>
  <c r="V97" s="1"/>
  <c r="N285"/>
  <c r="S285" s="1"/>
  <c r="V285" s="1"/>
  <c r="S284"/>
  <c r="V284" s="1"/>
  <c r="S238"/>
  <c r="V238" s="1"/>
  <c r="S194"/>
  <c r="V194" s="1"/>
  <c r="S321"/>
  <c r="V321" s="1"/>
  <c r="R321"/>
  <c r="R322" s="1"/>
  <c r="R312"/>
  <c r="N205"/>
  <c r="R205" s="1"/>
  <c r="R206" s="1"/>
  <c r="Y260" i="5"/>
  <c r="Z260" s="1"/>
  <c r="Y268"/>
  <c r="Z268" s="1"/>
  <c r="E203"/>
  <c r="Y226"/>
  <c r="Z226" s="1"/>
  <c r="E257"/>
  <c r="Y316"/>
  <c r="Z316" s="1"/>
  <c r="N324" i="7"/>
  <c r="R324" s="1"/>
  <c r="Y345" i="5"/>
  <c r="Z345" s="1"/>
  <c r="Y306"/>
  <c r="Z306" s="1"/>
  <c r="Y326"/>
  <c r="Z326" s="1"/>
  <c r="Y160"/>
  <c r="Z160" s="1"/>
  <c r="Y165"/>
  <c r="Z165" s="1"/>
  <c r="N208" i="7"/>
  <c r="Y173" i="5"/>
  <c r="Z173" s="1"/>
  <c r="Y203"/>
  <c r="Z203" s="1"/>
  <c r="Y135"/>
  <c r="Z135" s="1"/>
  <c r="N47" i="7"/>
  <c r="R47" s="1"/>
  <c r="N66"/>
  <c r="R66" s="1"/>
  <c r="N252"/>
  <c r="R252" s="1"/>
  <c r="N336"/>
  <c r="R336" s="1"/>
  <c r="N347"/>
  <c r="R347" s="1"/>
  <c r="N350"/>
  <c r="R350" s="1"/>
  <c r="N56"/>
  <c r="R56" s="1"/>
  <c r="Y257" i="5"/>
  <c r="Z257" s="1"/>
  <c r="N36" i="7"/>
  <c r="R36" s="1"/>
  <c r="N40"/>
  <c r="R40" s="1"/>
  <c r="N49"/>
  <c r="R49" s="1"/>
  <c r="N53"/>
  <c r="R53" s="1"/>
  <c r="N63"/>
  <c r="R63" s="1"/>
  <c r="N76"/>
  <c r="R76" s="1"/>
  <c r="N80"/>
  <c r="R80" s="1"/>
  <c r="N84"/>
  <c r="R84" s="1"/>
  <c r="N92"/>
  <c r="R92" s="1"/>
  <c r="N103"/>
  <c r="R103" s="1"/>
  <c r="N109"/>
  <c r="R109" s="1"/>
  <c r="N113"/>
  <c r="R113" s="1"/>
  <c r="N117"/>
  <c r="R117" s="1"/>
  <c r="N137"/>
  <c r="R137" s="1"/>
  <c r="N148"/>
  <c r="R148" s="1"/>
  <c r="N152"/>
  <c r="R152" s="1"/>
  <c r="N165"/>
  <c r="R165" s="1"/>
  <c r="N196"/>
  <c r="R196" s="1"/>
  <c r="Y220" i="5"/>
  <c r="Z220" s="1"/>
  <c r="N225" i="7"/>
  <c r="R225" s="1"/>
  <c r="N229"/>
  <c r="R229" s="1"/>
  <c r="Y246" i="5"/>
  <c r="Z246" s="1"/>
  <c r="R259" i="7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R39" s="1"/>
  <c r="N43"/>
  <c r="R43" s="1"/>
  <c r="N46"/>
  <c r="N52"/>
  <c r="R52" s="1"/>
  <c r="N58"/>
  <c r="R58" s="1"/>
  <c r="N62"/>
  <c r="R62" s="1"/>
  <c r="N68"/>
  <c r="R68" s="1"/>
  <c r="N81"/>
  <c r="R81" s="1"/>
  <c r="N85"/>
  <c r="R85" s="1"/>
  <c r="N91"/>
  <c r="R91" s="1"/>
  <c r="N95"/>
  <c r="N104"/>
  <c r="R104" s="1"/>
  <c r="N110"/>
  <c r="R110" s="1"/>
  <c r="N114"/>
  <c r="N118"/>
  <c r="R118" s="1"/>
  <c r="N122"/>
  <c r="R122" s="1"/>
  <c r="N136"/>
  <c r="R136" s="1"/>
  <c r="N140"/>
  <c r="R140" s="1"/>
  <c r="N149"/>
  <c r="R149" s="1"/>
  <c r="N164"/>
  <c r="R164" s="1"/>
  <c r="N168"/>
  <c r="R168" s="1"/>
  <c r="N195"/>
  <c r="R195" s="1"/>
  <c r="Y207" i="5"/>
  <c r="Z207" s="1"/>
  <c r="N226" i="7"/>
  <c r="R226" s="1"/>
  <c r="N231"/>
  <c r="R231" s="1"/>
  <c r="Y243" i="5"/>
  <c r="Z243" s="1"/>
  <c r="N258" i="7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V71" s="1"/>
  <c r="Y78" i="5"/>
  <c r="Z78" s="1"/>
  <c r="N37" i="7"/>
  <c r="R37" s="1"/>
  <c r="E217" i="5"/>
  <c r="N146" i="7"/>
  <c r="R146" s="1"/>
  <c r="N270"/>
  <c r="R270" s="1"/>
  <c r="N334"/>
  <c r="R334" s="1"/>
  <c r="Y272" i="5"/>
  <c r="Z272" s="1"/>
  <c r="Y336"/>
  <c r="Z336" s="1"/>
  <c r="Y213"/>
  <c r="Z213" s="1"/>
  <c r="Y186"/>
  <c r="Z186" s="1"/>
  <c r="Y147"/>
  <c r="Z147" s="1"/>
  <c r="N48" i="7"/>
  <c r="R48" s="1"/>
  <c r="N172"/>
  <c r="R172" s="1"/>
  <c r="N272"/>
  <c r="R272" s="1"/>
  <c r="N346"/>
  <c r="R346" s="1"/>
  <c r="N351"/>
  <c r="R351" s="1"/>
  <c r="N356"/>
  <c r="R356" s="1"/>
  <c r="N108"/>
  <c r="R108" s="1"/>
  <c r="N230"/>
  <c r="R230" s="1"/>
  <c r="N16"/>
  <c r="N38"/>
  <c r="R38" s="1"/>
  <c r="N44"/>
  <c r="R44" s="1"/>
  <c r="N51"/>
  <c r="R51" s="1"/>
  <c r="N59"/>
  <c r="R59" s="1"/>
  <c r="N67"/>
  <c r="R67" s="1"/>
  <c r="N78"/>
  <c r="R78" s="1"/>
  <c r="N82"/>
  <c r="R82" s="1"/>
  <c r="N88"/>
  <c r="R88" s="1"/>
  <c r="N94"/>
  <c r="R94" s="1"/>
  <c r="N107"/>
  <c r="R107" s="1"/>
  <c r="N111"/>
  <c r="R111" s="1"/>
  <c r="N115"/>
  <c r="R115" s="1"/>
  <c r="N121"/>
  <c r="R121" s="1"/>
  <c r="N141"/>
  <c r="R141" s="1"/>
  <c r="N150"/>
  <c r="R150" s="1"/>
  <c r="N159"/>
  <c r="R159" s="1"/>
  <c r="N167"/>
  <c r="R167" s="1"/>
  <c r="N198"/>
  <c r="R198" s="1"/>
  <c r="Y223" i="5"/>
  <c r="Z223" s="1"/>
  <c r="N227" i="7"/>
  <c r="R227" s="1"/>
  <c r="N232"/>
  <c r="R232" s="1"/>
  <c r="N248"/>
  <c r="S248" s="1"/>
  <c r="V248" s="1"/>
  <c r="N261"/>
  <c r="R261" s="1"/>
  <c r="N267"/>
  <c r="R267" s="1"/>
  <c r="N276"/>
  <c r="R276" s="1"/>
  <c r="N329"/>
  <c r="R329" s="1"/>
  <c r="N345"/>
  <c r="R345" s="1"/>
  <c r="N353"/>
  <c r="R353" s="1"/>
  <c r="N35"/>
  <c r="R35" s="1"/>
  <c r="N41"/>
  <c r="R41" s="1"/>
  <c r="N45"/>
  <c r="R45" s="1"/>
  <c r="N50"/>
  <c r="R50" s="1"/>
  <c r="N60"/>
  <c r="R60" s="1"/>
  <c r="N64"/>
  <c r="R64" s="1"/>
  <c r="N79"/>
  <c r="R79" s="1"/>
  <c r="N83"/>
  <c r="R83" s="1"/>
  <c r="N87"/>
  <c r="R87" s="1"/>
  <c r="N93"/>
  <c r="R93" s="1"/>
  <c r="N102"/>
  <c r="R102" s="1"/>
  <c r="N106"/>
  <c r="R106" s="1"/>
  <c r="N112"/>
  <c r="R112" s="1"/>
  <c r="N116"/>
  <c r="N120"/>
  <c r="N135"/>
  <c r="W135" s="1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V266" s="1"/>
  <c r="N277"/>
  <c r="R277" s="1"/>
  <c r="N305"/>
  <c r="R305" s="1"/>
  <c r="N325"/>
  <c r="R325" s="1"/>
  <c r="N330"/>
  <c r="R330" s="1"/>
  <c r="N344"/>
  <c r="R344" s="1"/>
  <c r="N352"/>
  <c r="R352" s="1"/>
  <c r="E302" i="5"/>
  <c r="S30" i="7"/>
  <c r="V30" s="1"/>
  <c r="S77"/>
  <c r="V77" s="1"/>
  <c r="E316" i="5"/>
  <c r="V24" i="7"/>
  <c r="S96"/>
  <c r="V96" s="1"/>
  <c r="N19"/>
  <c r="R19" s="1"/>
  <c r="N25"/>
  <c r="R25" s="1"/>
  <c r="N32"/>
  <c r="R32" s="1"/>
  <c r="N17"/>
  <c r="S17" s="1"/>
  <c r="V17" s="1"/>
  <c r="N22"/>
  <c r="R22" s="1"/>
  <c r="N31"/>
  <c r="S31" s="1"/>
  <c r="V31" s="1"/>
  <c r="N206"/>
  <c r="E213" i="5"/>
  <c r="N211" i="7"/>
  <c r="N27"/>
  <c r="R27" s="1"/>
  <c r="N18"/>
  <c r="R18" s="1"/>
  <c r="N23"/>
  <c r="R23" s="1"/>
  <c r="N20"/>
  <c r="S20" s="1"/>
  <c r="V20" s="1"/>
  <c r="N28"/>
  <c r="S28" s="1"/>
  <c r="V28" s="1"/>
  <c r="N33"/>
  <c r="R33" s="1"/>
  <c r="N29"/>
  <c r="R29" s="1"/>
  <c r="N339"/>
  <c r="R339" s="1"/>
  <c r="R341" s="1"/>
  <c r="N247"/>
  <c r="N249" s="1"/>
  <c r="E249" i="5"/>
  <c r="E37"/>
  <c r="N34" i="7" s="1"/>
  <c r="R34" s="1"/>
  <c r="Z37" i="5"/>
  <c r="S267" i="7"/>
  <c r="V267" s="1"/>
  <c r="E278" i="5"/>
  <c r="R239" i="7"/>
  <c r="S83"/>
  <c r="V83" s="1"/>
  <c r="E330" i="5"/>
  <c r="N280" i="7"/>
  <c r="N54"/>
  <c r="S54" s="1"/>
  <c r="V54" s="1"/>
  <c r="N239"/>
  <c r="S239" s="1"/>
  <c r="V239" s="1"/>
  <c r="S237"/>
  <c r="V237" s="1"/>
  <c r="E268" i="5"/>
  <c r="S40" i="7"/>
  <c r="V40" s="1"/>
  <c r="S196"/>
  <c r="V196" s="1"/>
  <c r="S104"/>
  <c r="V104" s="1"/>
  <c r="S252"/>
  <c r="V252" s="1"/>
  <c r="S336"/>
  <c r="V336" s="1"/>
  <c r="S41"/>
  <c r="V41" s="1"/>
  <c r="S56"/>
  <c r="V56" s="1"/>
  <c r="S164"/>
  <c r="V164" s="1"/>
  <c r="S84"/>
  <c r="V84" s="1"/>
  <c r="S63"/>
  <c r="V63" s="1"/>
  <c r="S141"/>
  <c r="V141" s="1"/>
  <c r="S152"/>
  <c r="V152" s="1"/>
  <c r="S343"/>
  <c r="V343" s="1"/>
  <c r="S122"/>
  <c r="V122" s="1"/>
  <c r="S349"/>
  <c r="V349" s="1"/>
  <c r="S231"/>
  <c r="V231" s="1"/>
  <c r="S79"/>
  <c r="V79" s="1"/>
  <c r="S76"/>
  <c r="V76" s="1"/>
  <c r="S16"/>
  <c r="V16" s="1"/>
  <c r="S103"/>
  <c r="V103" s="1"/>
  <c r="S109"/>
  <c r="V109" s="1"/>
  <c r="S351"/>
  <c r="V351" s="1"/>
  <c r="S347"/>
  <c r="V347" s="1"/>
  <c r="S272"/>
  <c r="V272" s="1"/>
  <c r="S350"/>
  <c r="V350" s="1"/>
  <c r="S49"/>
  <c r="V49" s="1"/>
  <c r="N14" i="5"/>
  <c r="S292" i="7"/>
  <c r="V292" s="1"/>
  <c r="M42" i="6"/>
  <c r="N42" s="1"/>
  <c r="M47"/>
  <c r="N47" s="1"/>
  <c r="M40"/>
  <c r="N40" s="1"/>
  <c r="N322" i="7"/>
  <c r="S322" s="1"/>
  <c r="V322" s="1"/>
  <c r="N298"/>
  <c r="S297"/>
  <c r="V297" s="1"/>
  <c r="S145"/>
  <c r="V145" s="1"/>
  <c r="S208"/>
  <c r="V208" s="1"/>
  <c r="E296" i="5"/>
  <c r="S159" i="7"/>
  <c r="V159" s="1"/>
  <c r="E207" i="5"/>
  <c r="N158" i="7"/>
  <c r="R158" s="1"/>
  <c r="R161" s="1"/>
  <c r="E160" i="5"/>
  <c r="N171" i="7"/>
  <c r="E173" i="5"/>
  <c r="N163" i="7"/>
  <c r="E165" i="5"/>
  <c r="N134" i="7"/>
  <c r="R134" s="1"/>
  <c r="N191"/>
  <c r="E186" i="5"/>
  <c r="S42" i="7"/>
  <c r="V42" s="1"/>
  <c r="R26"/>
  <c r="S26"/>
  <c r="V26" s="1"/>
  <c r="E24" i="5"/>
  <c r="R139" i="7"/>
  <c r="S294"/>
  <c r="V294" s="1"/>
  <c r="E326" i="5"/>
  <c r="E336"/>
  <c r="N295" i="7"/>
  <c r="S146"/>
  <c r="V146" s="1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N281" i="7" l="1"/>
  <c r="S281" s="1"/>
  <c r="V281" s="1"/>
  <c r="R280"/>
  <c r="R42"/>
  <c r="R337"/>
  <c r="S324"/>
  <c r="V324" s="1"/>
  <c r="S37"/>
  <c r="V37" s="1"/>
  <c r="S334"/>
  <c r="V334" s="1"/>
  <c r="N337"/>
  <c r="M53" i="6" s="1"/>
  <c r="N53" s="1"/>
  <c r="S108" i="7"/>
  <c r="V108" s="1"/>
  <c r="S47"/>
  <c r="V47" s="1"/>
  <c r="S229"/>
  <c r="V229" s="1"/>
  <c r="S273"/>
  <c r="V273" s="1"/>
  <c r="S197"/>
  <c r="V197" s="1"/>
  <c r="S301"/>
  <c r="V301" s="1"/>
  <c r="S91"/>
  <c r="V91" s="1"/>
  <c r="S226"/>
  <c r="V226" s="1"/>
  <c r="S148"/>
  <c r="V148" s="1"/>
  <c r="S92"/>
  <c r="V92" s="1"/>
  <c r="S140"/>
  <c r="V140" s="1"/>
  <c r="S262"/>
  <c r="V262" s="1"/>
  <c r="S64"/>
  <c r="V64" s="1"/>
  <c r="S52"/>
  <c r="V52" s="1"/>
  <c r="S59"/>
  <c r="V59" s="1"/>
  <c r="S355"/>
  <c r="V355" s="1"/>
  <c r="S80"/>
  <c r="V80" s="1"/>
  <c r="S88"/>
  <c r="V88" s="1"/>
  <c r="S43"/>
  <c r="V43" s="1"/>
  <c r="S50"/>
  <c r="V50" s="1"/>
  <c r="N156"/>
  <c r="S156" s="1"/>
  <c r="V156" s="1"/>
  <c r="S60"/>
  <c r="V60" s="1"/>
  <c r="S198"/>
  <c r="V198" s="1"/>
  <c r="N316"/>
  <c r="S316" s="1"/>
  <c r="V316" s="1"/>
  <c r="N274"/>
  <c r="M37" i="6" s="1"/>
  <c r="N37" s="1"/>
  <c r="S346" i="7"/>
  <c r="V346" s="1"/>
  <c r="S261"/>
  <c r="V261" s="1"/>
  <c r="S121"/>
  <c r="V121" s="1"/>
  <c r="S53"/>
  <c r="V53" s="1"/>
  <c r="S113"/>
  <c r="V113" s="1"/>
  <c r="S356"/>
  <c r="V356" s="1"/>
  <c r="S354"/>
  <c r="V354" s="1"/>
  <c r="S137"/>
  <c r="V137" s="1"/>
  <c r="S118"/>
  <c r="V118" s="1"/>
  <c r="S67"/>
  <c r="V67" s="1"/>
  <c r="S66"/>
  <c r="V66" s="1"/>
  <c r="S172"/>
  <c r="V172" s="1"/>
  <c r="S335"/>
  <c r="V335" s="1"/>
  <c r="S205"/>
  <c r="V205" s="1"/>
  <c r="R274"/>
  <c r="S270"/>
  <c r="V270" s="1"/>
  <c r="S225"/>
  <c r="V225" s="1"/>
  <c r="S111"/>
  <c r="V111" s="1"/>
  <c r="S39"/>
  <c r="V39" s="1"/>
  <c r="S87"/>
  <c r="V87" s="1"/>
  <c r="S339"/>
  <c r="V339" s="1"/>
  <c r="S85"/>
  <c r="V85" s="1"/>
  <c r="S271"/>
  <c r="V271" s="1"/>
  <c r="S102"/>
  <c r="V102" s="1"/>
  <c r="R266"/>
  <c r="R268" s="1"/>
  <c r="S258"/>
  <c r="V258" s="1"/>
  <c r="S45"/>
  <c r="V45" s="1"/>
  <c r="S232"/>
  <c r="V232" s="1"/>
  <c r="S150"/>
  <c r="V150" s="1"/>
  <c r="S136"/>
  <c r="V136" s="1"/>
  <c r="S34"/>
  <c r="V34" s="1"/>
  <c r="N169"/>
  <c r="M16" i="6" s="1"/>
  <c r="N16" s="1"/>
  <c r="R16" i="7"/>
  <c r="S35"/>
  <c r="V35" s="1"/>
  <c r="S44"/>
  <c r="V44" s="1"/>
  <c r="S107"/>
  <c r="V107" s="1"/>
  <c r="S78"/>
  <c r="V78" s="1"/>
  <c r="S115"/>
  <c r="V115" s="1"/>
  <c r="S233"/>
  <c r="V233" s="1"/>
  <c r="S345"/>
  <c r="V345" s="1"/>
  <c r="S112"/>
  <c r="V112" s="1"/>
  <c r="S193"/>
  <c r="V193" s="1"/>
  <c r="S167"/>
  <c r="V167" s="1"/>
  <c r="S276"/>
  <c r="V276" s="1"/>
  <c r="S48"/>
  <c r="V48" s="1"/>
  <c r="S195"/>
  <c r="V195" s="1"/>
  <c r="S81"/>
  <c r="V81" s="1"/>
  <c r="S165"/>
  <c r="V165" s="1"/>
  <c r="S62"/>
  <c r="V62" s="1"/>
  <c r="R326"/>
  <c r="S29"/>
  <c r="V29" s="1"/>
  <c r="S23"/>
  <c r="V23" s="1"/>
  <c r="S18"/>
  <c r="V18" s="1"/>
  <c r="S25"/>
  <c r="V25" s="1"/>
  <c r="S82"/>
  <c r="V82" s="1"/>
  <c r="S230"/>
  <c r="V230" s="1"/>
  <c r="S227"/>
  <c r="V227" s="1"/>
  <c r="S353"/>
  <c r="V353" s="1"/>
  <c r="S110"/>
  <c r="V110" s="1"/>
  <c r="S94"/>
  <c r="V94" s="1"/>
  <c r="S168"/>
  <c r="V168" s="1"/>
  <c r="S68"/>
  <c r="V68" s="1"/>
  <c r="S38"/>
  <c r="V38" s="1"/>
  <c r="S149"/>
  <c r="V149" s="1"/>
  <c r="S93"/>
  <c r="V93" s="1"/>
  <c r="N332"/>
  <c r="M52" i="6" s="1"/>
  <c r="N52" s="1"/>
  <c r="S36" i="7"/>
  <c r="V36" s="1"/>
  <c r="N268"/>
  <c r="M36" i="6" s="1"/>
  <c r="N36" s="1"/>
  <c r="S58" i="7"/>
  <c r="V58" s="1"/>
  <c r="S117"/>
  <c r="V117" s="1"/>
  <c r="N264"/>
  <c r="M35" i="6" s="1"/>
  <c r="N35" s="1"/>
  <c r="S263" i="7"/>
  <c r="V263" s="1"/>
  <c r="R71"/>
  <c r="S344"/>
  <c r="V344" s="1"/>
  <c r="N278"/>
  <c r="S314"/>
  <c r="V314" s="1"/>
  <c r="R314"/>
  <c r="N209"/>
  <c r="R208"/>
  <c r="R209" s="1"/>
  <c r="S280"/>
  <c r="V280" s="1"/>
  <c r="R281"/>
  <c r="S315"/>
  <c r="V315" s="1"/>
  <c r="R315"/>
  <c r="N326"/>
  <c r="M51" i="6" s="1"/>
  <c r="N51" s="1"/>
  <c r="N357" i="7"/>
  <c r="S357" s="1"/>
  <c r="V357" s="1"/>
  <c r="S277"/>
  <c r="V277" s="1"/>
  <c r="R332"/>
  <c r="S332"/>
  <c r="V332" s="1"/>
  <c r="S51"/>
  <c r="V51" s="1"/>
  <c r="S325"/>
  <c r="V325" s="1"/>
  <c r="S352"/>
  <c r="V352" s="1"/>
  <c r="S305"/>
  <c r="V305" s="1"/>
  <c r="S151"/>
  <c r="V151" s="1"/>
  <c r="S212"/>
  <c r="V212" s="1"/>
  <c r="S138"/>
  <c r="V138" s="1"/>
  <c r="S106"/>
  <c r="V106" s="1"/>
  <c r="R348"/>
  <c r="S348"/>
  <c r="V348" s="1"/>
  <c r="N302"/>
  <c r="M45" i="6" s="1"/>
  <c r="N45" s="1"/>
  <c r="R114" i="7"/>
  <c r="S114"/>
  <c r="V114" s="1"/>
  <c r="R95"/>
  <c r="S95"/>
  <c r="V95" s="1"/>
  <c r="R46"/>
  <c r="S46"/>
  <c r="V46" s="1"/>
  <c r="R260"/>
  <c r="R264" s="1"/>
  <c r="S260"/>
  <c r="V260" s="1"/>
  <c r="R228"/>
  <c r="S228"/>
  <c r="V228" s="1"/>
  <c r="R166"/>
  <c r="S166"/>
  <c r="V166" s="1"/>
  <c r="R147"/>
  <c r="R156" s="1"/>
  <c r="S147"/>
  <c r="V147" s="1"/>
  <c r="R135"/>
  <c r="S135"/>
  <c r="V135" s="1"/>
  <c r="R120"/>
  <c r="S120"/>
  <c r="V120" s="1"/>
  <c r="R116"/>
  <c r="S116"/>
  <c r="V116" s="1"/>
  <c r="R278"/>
  <c r="S32"/>
  <c r="V32" s="1"/>
  <c r="N341"/>
  <c r="S247"/>
  <c r="V247" s="1"/>
  <c r="S22"/>
  <c r="V22" s="1"/>
  <c r="R357"/>
  <c r="S27"/>
  <c r="V27" s="1"/>
  <c r="S19"/>
  <c r="V19" s="1"/>
  <c r="S33"/>
  <c r="V33" s="1"/>
  <c r="R20"/>
  <c r="R28"/>
  <c r="M29" i="6"/>
  <c r="N29" s="1"/>
  <c r="R31" i="7"/>
  <c r="R17"/>
  <c r="N21"/>
  <c r="R21" s="1"/>
  <c r="R211"/>
  <c r="R213" s="1"/>
  <c r="N213"/>
  <c r="S211"/>
  <c r="V211" s="1"/>
  <c r="M22" i="6"/>
  <c r="N22" s="1"/>
  <c r="S206" i="7"/>
  <c r="V206" s="1"/>
  <c r="M14" i="6"/>
  <c r="N14" s="1"/>
  <c r="N75" i="7"/>
  <c r="R171"/>
  <c r="R173" s="1"/>
  <c r="S171"/>
  <c r="V171" s="1"/>
  <c r="R248"/>
  <c r="R247"/>
  <c r="R54"/>
  <c r="S302"/>
  <c r="V302" s="1"/>
  <c r="S326"/>
  <c r="V326" s="1"/>
  <c r="S298"/>
  <c r="V298" s="1"/>
  <c r="M44" i="6"/>
  <c r="N44" s="1"/>
  <c r="S295" i="7"/>
  <c r="V295" s="1"/>
  <c r="M43" i="6"/>
  <c r="N43" s="1"/>
  <c r="M50"/>
  <c r="N50" s="1"/>
  <c r="S134" i="7"/>
  <c r="V134" s="1"/>
  <c r="L16" i="5"/>
  <c r="N173" i="7"/>
  <c r="S173" s="1"/>
  <c r="V173" s="1"/>
  <c r="N161"/>
  <c r="S158"/>
  <c r="V158" s="1"/>
  <c r="N133"/>
  <c r="N143" s="1"/>
  <c r="R241"/>
  <c r="R242" s="1"/>
  <c r="S241"/>
  <c r="V241" s="1"/>
  <c r="N242"/>
  <c r="R244"/>
  <c r="R245" s="1"/>
  <c r="N245"/>
  <c r="S244"/>
  <c r="V244" s="1"/>
  <c r="R287"/>
  <c r="R288" s="1"/>
  <c r="N288"/>
  <c r="S287"/>
  <c r="V287" s="1"/>
  <c r="R251"/>
  <c r="R253" s="1"/>
  <c r="N253"/>
  <c r="S251"/>
  <c r="V251" s="1"/>
  <c r="R318"/>
  <c r="R319" s="1"/>
  <c r="N319"/>
  <c r="S318"/>
  <c r="V318" s="1"/>
  <c r="R304"/>
  <c r="R306" s="1"/>
  <c r="S304"/>
  <c r="V304" s="1"/>
  <c r="N306"/>
  <c r="R203"/>
  <c r="S201"/>
  <c r="V201" s="1"/>
  <c r="N203"/>
  <c r="R177"/>
  <c r="R179" s="1"/>
  <c r="N179"/>
  <c r="S177"/>
  <c r="V177" s="1"/>
  <c r="N256"/>
  <c r="R255"/>
  <c r="R256" s="1"/>
  <c r="S255"/>
  <c r="V255" s="1"/>
  <c r="R218"/>
  <c r="R219" s="1"/>
  <c r="N219"/>
  <c r="S218"/>
  <c r="V218" s="1"/>
  <c r="R224"/>
  <c r="N235"/>
  <c r="S224"/>
  <c r="V224" s="1"/>
  <c r="R215"/>
  <c r="R216" s="1"/>
  <c r="S215"/>
  <c r="V215" s="1"/>
  <c r="N216"/>
  <c r="R184"/>
  <c r="S184"/>
  <c r="V184" s="1"/>
  <c r="N199"/>
  <c r="R192"/>
  <c r="S192"/>
  <c r="V192" s="1"/>
  <c r="R163"/>
  <c r="S163"/>
  <c r="V163" s="1"/>
  <c r="R221"/>
  <c r="R222" s="1"/>
  <c r="N222"/>
  <c r="S221"/>
  <c r="V221" s="1"/>
  <c r="R181"/>
  <c r="R182" s="1"/>
  <c r="N182"/>
  <c r="S181"/>
  <c r="V181" s="1"/>
  <c r="M39" i="6" l="1"/>
  <c r="N39" s="1"/>
  <c r="S337" i="7"/>
  <c r="V337" s="1"/>
  <c r="M48" i="6"/>
  <c r="N48" s="1"/>
  <c r="S169" i="7"/>
  <c r="V169" s="1"/>
  <c r="S274"/>
  <c r="V274" s="1"/>
  <c r="M55" i="6"/>
  <c r="N55" s="1"/>
  <c r="S264" i="7"/>
  <c r="V264" s="1"/>
  <c r="R75"/>
  <c r="S268"/>
  <c r="V268" s="1"/>
  <c r="M38" i="6"/>
  <c r="N38" s="1"/>
  <c r="S278" i="7"/>
  <c r="V278" s="1"/>
  <c r="S209"/>
  <c r="V209" s="1"/>
  <c r="M23" i="6"/>
  <c r="N23" s="1"/>
  <c r="R316" i="7"/>
  <c r="R235"/>
  <c r="R169"/>
  <c r="M54" i="6"/>
  <c r="N54" s="1"/>
  <c r="S341" i="7"/>
  <c r="V341" s="1"/>
  <c r="M24" i="6"/>
  <c r="N24" s="1"/>
  <c r="S213" i="7"/>
  <c r="V213" s="1"/>
  <c r="R249"/>
  <c r="S249"/>
  <c r="V249" s="1"/>
  <c r="M32" i="6"/>
  <c r="N32" s="1"/>
  <c r="L14" i="5"/>
  <c r="S182" i="7"/>
  <c r="V182" s="1"/>
  <c r="M19" i="6"/>
  <c r="N19" s="1"/>
  <c r="S199" i="7"/>
  <c r="V199" s="1"/>
  <c r="M20" i="6"/>
  <c r="N20" s="1"/>
  <c r="S222" i="7"/>
  <c r="V222" s="1"/>
  <c r="M27" i="6"/>
  <c r="N27" s="1"/>
  <c r="S216" i="7"/>
  <c r="V216" s="1"/>
  <c r="M25" i="6"/>
  <c r="N25" s="1"/>
  <c r="S235" i="7"/>
  <c r="V235" s="1"/>
  <c r="M28" i="6"/>
  <c r="N28" s="1"/>
  <c r="S306" i="7"/>
  <c r="V306" s="1"/>
  <c r="M46" i="6"/>
  <c r="N46" s="1"/>
  <c r="S319" i="7"/>
  <c r="V319" s="1"/>
  <c r="M49" i="6"/>
  <c r="N49" s="1"/>
  <c r="S288" i="7"/>
  <c r="V288" s="1"/>
  <c r="M41" i="6"/>
  <c r="N41" s="1"/>
  <c r="M13"/>
  <c r="N13" s="1"/>
  <c r="M17"/>
  <c r="N17" s="1"/>
  <c r="S219" i="7"/>
  <c r="V219" s="1"/>
  <c r="M26" i="6"/>
  <c r="N26" s="1"/>
  <c r="S256" i="7"/>
  <c r="V256" s="1"/>
  <c r="M34" i="6"/>
  <c r="N34" s="1"/>
  <c r="S179" i="7"/>
  <c r="V179" s="1"/>
  <c r="M18" i="6"/>
  <c r="N18" s="1"/>
  <c r="S203" i="7"/>
  <c r="V203" s="1"/>
  <c r="M21" i="6"/>
  <c r="N21" s="1"/>
  <c r="S253" i="7"/>
  <c r="V253" s="1"/>
  <c r="M33" i="6"/>
  <c r="N33" s="1"/>
  <c r="S245" i="7"/>
  <c r="V245" s="1"/>
  <c r="M31" i="6"/>
  <c r="N31" s="1"/>
  <c r="S242" i="7"/>
  <c r="V242" s="1"/>
  <c r="M30" i="6"/>
  <c r="N30" s="1"/>
  <c r="S161" i="7"/>
  <c r="V161" s="1"/>
  <c r="M15" i="6"/>
  <c r="N15" s="1"/>
  <c r="R133" i="7"/>
  <c r="R143" s="1"/>
  <c r="S133"/>
  <c r="V133" s="1"/>
  <c r="S21"/>
  <c r="V21" s="1"/>
  <c r="R191"/>
  <c r="R199" s="1"/>
  <c r="S191"/>
  <c r="V191" s="1"/>
  <c r="S75"/>
  <c r="V75" s="1"/>
  <c r="S143" l="1"/>
  <c r="V143" s="1"/>
  <c r="X17" i="10" l="1"/>
  <c r="AM17"/>
  <c r="AW17" l="1"/>
  <c r="BU17" s="1"/>
  <c r="X159"/>
  <c r="AJ17"/>
  <c r="AK17"/>
  <c r="AJ139"/>
  <c r="AK139" l="1"/>
  <c r="H139" s="1"/>
  <c r="AJ191"/>
  <c r="AK191"/>
  <c r="X191"/>
  <c r="AJ192"/>
  <c r="AK192"/>
  <c r="AJ193"/>
  <c r="AK193"/>
  <c r="X193"/>
  <c r="AJ194"/>
  <c r="AK194"/>
  <c r="AJ195"/>
  <c r="AK195"/>
  <c r="AW195"/>
  <c r="BU195" s="1"/>
  <c r="AJ196"/>
  <c r="AK196"/>
  <c r="AJ190"/>
  <c r="X190"/>
  <c r="AK190"/>
  <c r="X196"/>
  <c r="AW194"/>
  <c r="BU194" s="1"/>
  <c r="AW192"/>
  <c r="BU192" s="1"/>
  <c r="AW196" l="1"/>
  <c r="BU196" s="1"/>
  <c r="AW190"/>
  <c r="BU190" s="1"/>
  <c r="AW191"/>
  <c r="BU191" s="1"/>
  <c r="AW193"/>
  <c r="BU193" s="1"/>
  <c r="AK197"/>
  <c r="AJ197"/>
  <c r="F139"/>
  <c r="L138" i="9"/>
  <c r="X197" i="10"/>
  <c r="AJ278"/>
  <c r="AK278"/>
  <c r="AJ279"/>
  <c r="AK279"/>
  <c r="AJ280"/>
  <c r="AK280"/>
  <c r="AK277"/>
  <c r="AJ277"/>
  <c r="AK276"/>
  <c r="AJ276"/>
  <c r="AK275"/>
  <c r="AJ275"/>
  <c r="X280"/>
  <c r="X276"/>
  <c r="X279"/>
  <c r="X277"/>
  <c r="X275"/>
  <c r="X278"/>
  <c r="AK291"/>
  <c r="AK292" s="1"/>
  <c r="X291"/>
  <c r="AJ291"/>
  <c r="AJ292" s="1"/>
  <c r="AW275" l="1"/>
  <c r="BU275" s="1"/>
  <c r="AW279"/>
  <c r="BU279" s="1"/>
  <c r="AW280"/>
  <c r="BU280" s="1"/>
  <c r="AW278"/>
  <c r="BU278" s="1"/>
  <c r="AW277"/>
  <c r="BU277" s="1"/>
  <c r="AW276"/>
  <c r="BU276" s="1"/>
  <c r="AJ281"/>
  <c r="AW197"/>
  <c r="BU197" s="1"/>
  <c r="X292"/>
  <c r="AW292" s="1"/>
  <c r="BU292" s="1"/>
  <c r="AW291"/>
  <c r="BU291" s="1"/>
  <c r="AK281"/>
  <c r="P138" i="9"/>
  <c r="X281" i="10"/>
  <c r="AW281" s="1"/>
  <c r="BU281" s="1"/>
  <c r="AJ553"/>
  <c r="AK553"/>
  <c r="AJ552"/>
  <c r="AJ554" s="1"/>
  <c r="AJ359" s="1"/>
  <c r="AK552"/>
  <c r="AK554" s="1"/>
  <c r="AK359" s="1"/>
  <c r="X552"/>
  <c r="AW552" s="1"/>
  <c r="BU552" s="1"/>
  <c r="X553"/>
  <c r="AW553" s="1"/>
  <c r="BU553" s="1"/>
  <c r="AW159"/>
  <c r="BU159" s="1"/>
  <c r="X15" l="1"/>
  <c r="X554"/>
  <c r="AK144"/>
  <c r="AJ144"/>
  <c r="AJ159" l="1"/>
  <c r="AK159"/>
  <c r="X359"/>
  <c r="AW554"/>
  <c r="BU554" s="1"/>
  <c r="H144"/>
  <c r="H159" l="1"/>
  <c r="AO159" s="1"/>
  <c r="AW359"/>
  <c r="BU359" s="1"/>
  <c r="AO360"/>
  <c r="AO361" s="1"/>
  <c r="AK15"/>
  <c r="AK13" s="1"/>
  <c r="AJ15"/>
  <c r="X13"/>
  <c r="L143" i="9"/>
  <c r="F144" i="10"/>
  <c r="AO17" l="1"/>
  <c r="H15"/>
  <c r="AJ13"/>
  <c r="AO14"/>
  <c r="L158" i="9"/>
  <c r="P143"/>
  <c r="P158" s="1"/>
  <c r="P14" s="1"/>
  <c r="P12" s="1"/>
  <c r="L14" l="1"/>
  <c r="L12" s="1"/>
  <c r="F13" i="11"/>
  <c r="F12" s="1"/>
  <c r="F11" s="1"/>
  <c r="H13" i="10"/>
  <c r="F16" i="5"/>
  <c r="F14" s="1"/>
  <c r="X14" s="1"/>
  <c r="E104"/>
  <c r="N101" i="7" l="1"/>
  <c r="N131" s="1"/>
  <c r="E18" i="5"/>
  <c r="E16" s="1"/>
  <c r="E14" s="1"/>
  <c r="R101" i="7"/>
  <c r="S101" l="1"/>
  <c r="V101" s="1"/>
  <c r="R131"/>
  <c r="R14" s="1"/>
  <c r="R12" s="1"/>
  <c r="S131"/>
  <c r="V131" s="1"/>
  <c r="M12" i="6"/>
  <c r="N14" i="7"/>
  <c r="N12" s="1"/>
  <c r="M11" i="6" l="1"/>
  <c r="N12"/>
  <c r="N11" s="1"/>
  <c r="S11" l="1"/>
  <c r="N10"/>
</calcChain>
</file>

<file path=xl/sharedStrings.xml><?xml version="1.0" encoding="utf-8"?>
<sst xmlns="http://schemas.openxmlformats.org/spreadsheetml/2006/main" count="12547" uniqueCount="1217">
  <si>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</si>
  <si>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</si>
  <si>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</si>
  <si>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</si>
  <si>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</si>
  <si>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</si>
  <si>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</si>
  <si>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</si>
  <si>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</si>
  <si>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</si>
  <si>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</si>
  <si>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</si>
  <si>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</si>
  <si>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</si>
  <si>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</si>
  <si>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</si>
  <si>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</si>
  <si>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</si>
  <si>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</si>
  <si>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</si>
  <si>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</si>
  <si>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</si>
  <si>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</si>
  <si>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</si>
  <si>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</si>
  <si>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</si>
  <si>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</si>
  <si>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</si>
  <si>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</si>
  <si>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</si>
  <si>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</si>
  <si>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</si>
  <si>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</si>
  <si>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</si>
  <si>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</si>
  <si>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</si>
  <si>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</si>
  <si>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</si>
  <si>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</si>
  <si>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</si>
  <si>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</si>
  <si>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</si>
  <si>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</si>
  <si>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</si>
  <si>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</si>
  <si>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</si>
  <si>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</si>
  <si>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</si>
  <si>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</si>
  <si>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</si>
  <si>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</si>
  <si>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</si>
  <si>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</si>
  <si>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</si>
  <si>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</si>
  <si>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</si>
  <si>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</si>
  <si>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</si>
  <si>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</si>
  <si>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</si>
  <si>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</si>
  <si>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</si>
  <si>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</si>
  <si>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</si>
  <si>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</si>
  <si>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</si>
  <si>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</si>
  <si>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</si>
  <si>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</si>
  <si>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</si>
  <si>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</si>
  <si>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</si>
  <si>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</si>
  <si>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</si>
  <si>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</si>
  <si>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</si>
  <si>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</si>
  <si>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</si>
  <si>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</si>
  <si>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</si>
  <si>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</si>
  <si>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</si>
  <si>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</si>
  <si>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</si>
  <si>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</si>
  <si>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</si>
  <si>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</si>
  <si>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</si>
  <si>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</si>
  <si>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</si>
  <si>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</si>
  <si>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</si>
  <si>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</si>
  <si>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</si>
  <si>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</si>
  <si>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</si>
  <si>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</si>
  <si>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</si>
  <si>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</si>
  <si>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</si>
  <si>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</si>
  <si>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</si>
  <si>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</si>
  <si>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</si>
  <si>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</si>
  <si>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</si>
  <si>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</si>
  <si>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</si>
  <si>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</si>
  <si>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</si>
  <si>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</si>
  <si>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</si>
  <si>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</si>
  <si>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</si>
  <si>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</si>
  <si>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</si>
  <si>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</si>
  <si>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</si>
  <si>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</si>
  <si>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</si>
  <si>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</si>
  <si>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</si>
  <si>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</si>
  <si>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</si>
  <si>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</si>
  <si>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</si>
  <si>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</si>
  <si>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</si>
  <si>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</si>
  <si>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</si>
  <si>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</si>
  <si>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</si>
  <si>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</si>
  <si>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</si>
  <si>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</si>
  <si>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</si>
  <si>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</si>
  <si>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</si>
  <si>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</si>
  <si>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</si>
  <si>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</si>
  <si>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</si>
  <si>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</si>
  <si>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</si>
  <si>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</si>
  <si>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</si>
  <si>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</si>
  <si>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</si>
  <si>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</si>
  <si>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</si>
  <si>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</si>
  <si>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</si>
  <si>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</si>
  <si>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</si>
  <si>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</si>
  <si>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</si>
  <si>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</si>
  <si>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</si>
  <si>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</si>
  <si>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</si>
  <si>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</si>
  <si>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</si>
  <si>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</si>
  <si>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</si>
  <si>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</si>
  <si>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</si>
  <si>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</si>
  <si>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</si>
  <si>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</si>
  <si>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</si>
  <si>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</si>
  <si>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</si>
  <si>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</si>
  <si>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</si>
  <si>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</si>
  <si>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</si>
  <si>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</si>
  <si>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</si>
  <si>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</si>
  <si>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</si>
  <si>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</si>
  <si>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</si>
  <si>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</si>
  <si>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</si>
  <si>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</si>
  <si>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</si>
  <si>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</si>
  <si>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</si>
  <si>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</si>
  <si>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</si>
  <si>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</si>
  <si>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</si>
  <si>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</si>
  <si>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</si>
  <si>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</si>
  <si>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</si>
  <si>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</si>
  <si>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</si>
  <si>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</si>
  <si>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</si>
  <si>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</si>
  <si>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</si>
  <si>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</si>
  <si>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</si>
  <si>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</si>
  <si>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</si>
  <si>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</si>
  <si>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</si>
  <si>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</si>
  <si>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</si>
  <si>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</si>
  <si>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</si>
  <si>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</si>
  <si>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</si>
  <si>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</si>
  <si>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</si>
  <si>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</si>
  <si>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</si>
  <si>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</si>
  <si>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</si>
  <si>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</si>
  <si>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</si>
  <si>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</si>
  <si>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</si>
  <si>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 ,д. 2 В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</si>
  <si>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</si>
  <si>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</si>
  <si>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</si>
  <si>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</si>
  <si>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</si>
  <si>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</si>
  <si>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</si>
  <si>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</si>
  <si>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</si>
  <si>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</si>
  <si>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</si>
  <si>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</si>
  <si>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</si>
  <si>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</si>
  <si>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</si>
  <si>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</si>
  <si>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</si>
  <si>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</si>
  <si>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</si>
  <si>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</si>
  <si>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</si>
  <si>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</si>
  <si>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</si>
  <si>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</si>
  <si>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</si>
  <si>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</si>
  <si>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</si>
  <si>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</si>
  <si>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</si>
  <si>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</si>
  <si>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</si>
  <si>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</si>
  <si>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</si>
  <si>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</si>
  <si>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</si>
  <si>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</si>
  <si>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</si>
  <si>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</si>
  <si>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</si>
  <si>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</si>
  <si>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</si>
  <si>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</si>
  <si>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</si>
  <si>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</si>
  <si>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</si>
  <si>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</si>
  <si>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</si>
  <si>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</si>
  <si>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</si>
  <si>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</si>
  <si>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</si>
  <si>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</si>
  <si>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</si>
  <si>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</si>
  <si>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</si>
  <si>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</si>
  <si>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</si>
  <si>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</si>
  <si>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</si>
  <si>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</si>
  <si>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</si>
  <si>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</si>
  <si>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</si>
  <si>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</si>
  <si>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</si>
  <si>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</si>
  <si>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</si>
  <si>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</si>
  <si>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</si>
  <si>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</si>
  <si>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</si>
  <si>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</si>
  <si>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</si>
  <si>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</si>
  <si>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</si>
  <si>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</si>
  <si>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</si>
  <si>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</si>
  <si>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</si>
  <si>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</si>
  <si>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</si>
  <si>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</si>
  <si>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</si>
  <si>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</si>
  <si>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</si>
  <si>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</si>
  <si>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</si>
  <si>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</si>
  <si>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</si>
  <si>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</si>
  <si>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</si>
  <si>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</si>
  <si>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</si>
  <si>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</si>
  <si>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</si>
  <si>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</si>
  <si>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</si>
  <si>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</si>
  <si>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</si>
  <si>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</si>
  <si>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</si>
  <si>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</si>
  <si>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</si>
  <si>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</si>
  <si>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</si>
  <si>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</si>
  <si>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</si>
  <si>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</si>
  <si>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</si>
  <si>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</si>
  <si>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</si>
  <si>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</si>
  <si>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</si>
  <si>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</si>
  <si>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</si>
  <si>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</si>
  <si>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</si>
  <si>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</si>
  <si>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</si>
  <si>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</si>
  <si>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</si>
  <si>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</si>
  <si>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</si>
  <si>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</si>
  <si>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</si>
  <si>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</si>
  <si>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</si>
  <si>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</si>
  <si>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</si>
  <si>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</si>
  <si>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</si>
  <si>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</si>
  <si>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</si>
  <si>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</si>
  <si>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</si>
  <si>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</si>
  <si>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</si>
  <si>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</si>
  <si>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</si>
  <si>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</si>
  <si>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</si>
  <si>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</si>
  <si>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</si>
  <si>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</si>
  <si>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</si>
  <si>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</si>
  <si>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</si>
  <si>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</si>
  <si>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</si>
  <si>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</si>
  <si>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</si>
  <si>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</si>
  <si>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</si>
  <si>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</si>
  <si>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</si>
  <si>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</si>
  <si>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</si>
  <si>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</si>
  <si>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</si>
  <si>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</si>
  <si>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</si>
  <si>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</si>
  <si>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</si>
  <si>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</si>
  <si>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</si>
  <si>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</si>
  <si>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</si>
  <si>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</si>
  <si>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</si>
  <si>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</si>
  <si>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</si>
  <si>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</si>
  <si>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</si>
  <si>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</si>
  <si>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</si>
  <si>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</si>
  <si>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</si>
  <si>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</si>
  <si>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</si>
  <si>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</si>
  <si>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</si>
  <si>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</si>
  <si>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</si>
  <si>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</si>
  <si>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</si>
  <si>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</si>
  <si>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</si>
  <si>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</si>
  <si>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</si>
  <si>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</si>
  <si>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</si>
  <si>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</si>
  <si>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</si>
  <si>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</si>
  <si>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</si>
  <si>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</si>
  <si>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</si>
  <si>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</si>
  <si>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</si>
  <si>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</si>
  <si>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</si>
  <si>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</si>
  <si>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</si>
  <si>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</si>
  <si>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</si>
  <si>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</si>
  <si>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</si>
  <si>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</si>
  <si>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</si>
  <si>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</si>
  <si>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</si>
  <si>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</si>
  <si>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</si>
  <si>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</si>
  <si>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</si>
  <si>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</si>
  <si>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</si>
  <si>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</si>
  <si>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</si>
  <si>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</si>
  <si>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</si>
  <si>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</si>
  <si>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</si>
  <si>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</si>
  <si>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</si>
  <si>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</si>
  <si>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</si>
  <si>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</si>
  <si>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</si>
  <si>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</si>
  <si>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</si>
  <si>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</si>
  <si>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</si>
  <si>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</si>
  <si>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</si>
  <si>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</si>
  <si>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</si>
  <si>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</si>
  <si>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</si>
  <si>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</si>
  <si>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</si>
  <si>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</si>
  <si>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</si>
  <si>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</si>
  <si>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</si>
  <si>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</si>
  <si>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</si>
  <si>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</si>
  <si>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</si>
  <si>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</si>
  <si>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</si>
  <si>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</si>
  <si>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</si>
  <si>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</si>
  <si>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</si>
  <si>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</si>
  <si>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</si>
  <si>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</si>
  <si>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</si>
  <si>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</si>
  <si>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</si>
  <si>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</si>
  <si>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</si>
  <si>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</si>
  <si>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</si>
  <si>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</si>
  <si>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</si>
  <si>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</si>
  <si>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</si>
  <si>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</si>
  <si>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</si>
  <si>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</si>
  <si>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</si>
  <si>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</si>
  <si>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</si>
  <si>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</si>
  <si>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</si>
  <si>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</si>
  <si>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</si>
  <si>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</si>
  <si>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</si>
  <si>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</si>
  <si>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</si>
  <si>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</si>
  <si>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</si>
  <si>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</si>
  <si>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</si>
  <si>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</si>
  <si>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</si>
  <si>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</si>
  <si>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</si>
  <si>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</si>
  <si>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</si>
  <si>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</si>
  <si>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</si>
  <si>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</si>
  <si>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</si>
  <si>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</si>
  <si>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</si>
  <si>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</si>
  <si>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</si>
  <si>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</si>
  <si>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</si>
  <si>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</si>
  <si>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</si>
  <si>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</si>
  <si>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</si>
  <si>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</si>
  <si>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</si>
  <si>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</si>
  <si>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</si>
  <si>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</si>
  <si>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</si>
  <si>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</si>
  <si>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</si>
  <si>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</si>
  <si>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</si>
  <si>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</si>
  <si>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</si>
  <si>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</si>
  <si>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</si>
  <si>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</si>
  <si>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</si>
  <si>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</si>
  <si>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</si>
  <si>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</si>
  <si>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</si>
  <si>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</si>
  <si>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</si>
  <si>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</si>
  <si>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</si>
  <si>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</si>
  <si>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</si>
  <si>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</si>
  <si>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</si>
  <si>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</si>
  <si>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</si>
  <si>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</si>
  <si>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</si>
  <si>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</si>
  <si>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</si>
  <si>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</si>
  <si>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</si>
  <si>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</si>
  <si>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</si>
  <si>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</si>
  <si>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</si>
  <si>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</si>
  <si>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</si>
  <si>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</si>
  <si>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</si>
  <si>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</si>
  <si>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</si>
  <si>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</si>
  <si>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</si>
  <si>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</si>
  <si>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</si>
  <si>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</si>
  <si>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</si>
  <si>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</si>
  <si>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</si>
  <si>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</si>
  <si>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</si>
  <si>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</si>
  <si>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</si>
  <si>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</si>
  <si>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</si>
  <si>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</si>
  <si>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</si>
  <si>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</si>
  <si>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</si>
  <si>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</si>
  <si>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</si>
  <si>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</si>
  <si>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</si>
  <si>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</si>
  <si>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</si>
  <si>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</si>
  <si>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</si>
  <si>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</si>
  <si>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</si>
  <si>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</si>
  <si>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</si>
  <si>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</si>
  <si>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</si>
  <si>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</si>
  <si>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</si>
  <si>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</si>
  <si>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</si>
  <si>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</si>
  <si>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</si>
  <si>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</si>
  <si>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</si>
  <si>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</si>
  <si>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</si>
  <si>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</si>
  <si>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</si>
  <si>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</si>
  <si>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</si>
  <si>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</si>
  <si>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</si>
  <si>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</si>
  <si>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</si>
  <si>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</si>
  <si>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</si>
  <si>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</si>
  <si>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</si>
  <si>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</si>
  <si>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</si>
  <si>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</si>
  <si>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</si>
  <si>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</si>
  <si>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</si>
  <si>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</si>
  <si>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</si>
  <si>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</si>
  <si>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</si>
  <si>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</si>
  <si>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</si>
  <si>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</si>
  <si>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</si>
  <si>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</si>
  <si>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</si>
  <si>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</si>
  <si>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</si>
  <si>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</si>
  <si>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</si>
  <si>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</si>
  <si>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</si>
  <si>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</si>
  <si>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</si>
  <si>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</si>
  <si>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</si>
  <si>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</si>
  <si>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</si>
  <si>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</si>
  <si>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</si>
  <si>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</si>
  <si>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</si>
  <si>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</si>
  <si>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</si>
  <si>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</si>
  <si>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</si>
  <si>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</si>
  <si>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</si>
  <si>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</si>
  <si>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</si>
  <si>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</si>
  <si>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</si>
  <si>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</si>
  <si>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</si>
  <si>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</si>
  <si>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</si>
  <si>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</si>
  <si>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</si>
  <si>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</si>
  <si>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</si>
  <si>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</si>
  <si>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</si>
  <si>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</si>
  <si>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</si>
  <si>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</si>
  <si>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</si>
  <si>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</si>
  <si>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</si>
  <si>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</si>
  <si>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</si>
  <si>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</si>
  <si>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</si>
  <si>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</si>
  <si>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</si>
  <si>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</si>
  <si>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</si>
  <si>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</si>
  <si>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</si>
  <si>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</si>
  <si>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</si>
  <si>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</si>
  <si>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</si>
  <si>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</si>
  <si>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</si>
  <si>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</si>
  <si>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</si>
  <si>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</si>
  <si>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</si>
  <si>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</si>
  <si>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</si>
  <si>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</si>
  <si>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</si>
  <si>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</si>
  <si>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</si>
  <si>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</si>
  <si>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</si>
  <si>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</si>
  <si>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</si>
  <si>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</si>
  <si>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</si>
  <si>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</si>
  <si>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</si>
  <si>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</si>
  <si>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</si>
  <si>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</si>
  <si>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</si>
  <si>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</si>
  <si>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</si>
  <si>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</si>
  <si>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</si>
  <si>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</si>
  <si>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</si>
  <si>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</si>
  <si>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</si>
  <si>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</si>
  <si>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</si>
  <si>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</si>
  <si>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</si>
  <si>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</si>
  <si>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</si>
  <si>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</si>
  <si>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</si>
  <si>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</si>
  <si>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</si>
  <si>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</si>
  <si>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</si>
  <si>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</si>
  <si>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</si>
  <si>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</si>
  <si>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</si>
  <si>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</si>
  <si>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</si>
  <si>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</si>
  <si>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</si>
  <si>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</si>
  <si>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</si>
  <si>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</si>
  <si>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</si>
  <si>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</si>
  <si>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</si>
  <si>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</si>
  <si>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</si>
  <si>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</si>
  <si>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</si>
  <si>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</si>
  <si>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</si>
  <si>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</si>
  <si>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</si>
  <si>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</si>
  <si>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</si>
  <si>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</si>
  <si>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</si>
  <si>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</si>
  <si>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</si>
  <si>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</si>
  <si>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</si>
  <si>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</si>
  <si>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</si>
  <si>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</si>
  <si>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</si>
  <si>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</si>
  <si>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</si>
  <si>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</si>
  <si>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</si>
  <si>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</si>
  <si>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</si>
  <si>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</si>
  <si>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</si>
  <si>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</si>
  <si>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Луначарского, д. 3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</si>
  <si>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</si>
  <si>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</si>
  <si>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</si>
  <si>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</si>
  <si>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</si>
  <si>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</si>
  <si>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</si>
  <si>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</si>
  <si>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</si>
  <si>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</si>
  <si>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</si>
  <si>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1951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</si>
  <si>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</si>
  <si>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</si>
  <si>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</si>
  <si>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</si>
  <si>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</si>
  <si>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</si>
  <si>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</si>
  <si>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</si>
  <si>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</si>
  <si>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</si>
  <si>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</si>
  <si>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</si>
  <si>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</si>
  <si>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</si>
  <si>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</si>
  <si>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</si>
  <si>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</si>
  <si>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</si>
  <si>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</si>
  <si>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</si>
  <si>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</si>
  <si>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</si>
  <si>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</si>
  <si>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</si>
  <si>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</si>
  <si>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</si>
  <si>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</si>
  <si>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</si>
  <si>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</si>
  <si>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</si>
  <si>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</si>
  <si>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</si>
  <si>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</si>
  <si>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</si>
  <si>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</si>
  <si>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</si>
  <si>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</si>
  <si>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</si>
  <si>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</si>
  <si>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</si>
  <si>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</si>
  <si>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</si>
  <si>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</si>
  <si>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</si>
  <si>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</si>
  <si>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</si>
  <si>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</si>
  <si>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п. Мирный, ул. Лесная, д. 2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</si>
  <si>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</si>
  <si>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</si>
  <si>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</si>
  <si>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</si>
  <si>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</si>
  <si>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</si>
  <si>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</si>
  <si>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</si>
  <si>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</si>
  <si>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</si>
  <si>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</si>
  <si>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</si>
  <si>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</si>
  <si>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</si>
  <si>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</si>
  <si>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</si>
  <si>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</si>
  <si>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</si>
  <si>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</si>
  <si>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</si>
  <si>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</si>
  <si>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</si>
  <si>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</si>
  <si>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</si>
  <si>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</si>
  <si>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</si>
  <si>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</si>
  <si>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</si>
  <si>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</si>
  <si>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</si>
  <si>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</si>
  <si>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</si>
  <si>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</si>
  <si>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п. Ивот, ул. Пролетарская, д. 4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</si>
  <si>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</si>
  <si>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</si>
  <si>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</si>
  <si>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</si>
  <si>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</si>
  <si>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</si>
  <si>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</si>
  <si>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</si>
  <si>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</si>
  <si>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</si>
  <si>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</si>
  <si>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</si>
  <si>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</si>
  <si>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</si>
  <si>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</si>
  <si>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</si>
  <si>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</si>
  <si>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</si>
  <si>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</si>
  <si>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</si>
  <si>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</si>
  <si>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</si>
  <si>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</si>
  <si>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</si>
  <si>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</si>
  <si>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</si>
  <si>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</si>
  <si>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</si>
  <si>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</si>
  <si>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</si>
  <si>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</si>
  <si>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</si>
  <si>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</si>
  <si>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</si>
  <si>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</si>
  <si>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</si>
  <si>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</si>
  <si>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</si>
  <si>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</si>
  <si>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</si>
  <si>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</si>
  <si>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</si>
  <si>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</si>
  <si>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</si>
  <si>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</si>
  <si>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</si>
  <si>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</si>
  <si>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пер. Юность, д. 6</t>
  </si>
  <si>
    <t>пгт. Красная Гора, ул. Батуровская, д. 6</t>
  </si>
  <si>
    <t>пгт. Красная Гора, ул. Куйбышева, д. 19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</si>
  <si>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</si>
  <si>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</si>
  <si>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</si>
  <si>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</si>
  <si>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</si>
  <si>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</si>
  <si>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</si>
  <si>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</si>
  <si>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</si>
  <si>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</si>
  <si>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</si>
  <si>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</si>
  <si>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</si>
  <si>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</si>
  <si>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</si>
  <si>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</si>
  <si>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</si>
  <si>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</si>
  <si>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7</t>
  </si>
  <si>
    <t>г. Почеп, ул. Мглинская, д. 35</t>
  </si>
  <si>
    <t>г. Почеп, ул. Мглинская, д. 35Б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</si>
  <si>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</si>
  <si>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</si>
  <si>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</si>
  <si>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</si>
  <si>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</si>
  <si>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</si>
  <si>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</si>
  <si>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</si>
  <si>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</si>
  <si>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</si>
  <si>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</si>
  <si>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</si>
  <si>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</si>
  <si>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</si>
  <si>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</si>
  <si>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</si>
  <si>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</si>
  <si>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</si>
  <si>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</si>
  <si>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</si>
  <si>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</si>
  <si>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</si>
  <si>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</si>
  <si>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</si>
  <si>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1948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</si>
  <si>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</si>
  <si>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</si>
  <si>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</si>
  <si>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</si>
  <si>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</si>
  <si>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</si>
  <si>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</si>
  <si>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</si>
  <si>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</si>
  <si>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</si>
  <si>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</si>
  <si>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</si>
  <si>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</si>
  <si>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</si>
  <si>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</si>
  <si>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</si>
  <si>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</si>
  <si>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</si>
  <si>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Ленина, д. 26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</si>
  <si>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</si>
  <si>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</si>
  <si>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</si>
  <si>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</si>
  <si>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</si>
  <si>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</si>
  <si>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</si>
  <si>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</si>
  <si>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</si>
  <si>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</si>
  <si>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</si>
  <si>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</si>
  <si>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</si>
  <si>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</si>
  <si>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</si>
  <si>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</si>
  <si>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</si>
  <si>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</si>
  <si>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</si>
  <si>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</si>
  <si>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</si>
  <si>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</si>
  <si>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</si>
  <si>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</si>
  <si>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</si>
  <si>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</si>
  <si>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</si>
  <si>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</si>
  <si>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</si>
  <si>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 15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</si>
  <si>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</si>
  <si>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</si>
  <si>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</si>
  <si>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</si>
  <si>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</si>
  <si>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</si>
  <si>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г. Клинцы, ул. Гагарина, д.74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</si>
  <si>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</si>
  <si>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</si>
  <si>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</si>
  <si>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</si>
  <si>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</si>
  <si>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</si>
  <si>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г. Брянск, ул. Орловскя д. 13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</si>
  <si>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</si>
  <si>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</si>
  <si>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</si>
  <si>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</si>
  <si>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</si>
  <si>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</si>
  <si>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</si>
  <si>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</si>
  <si>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</si>
  <si>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</si>
  <si>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</si>
  <si>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2017 г. № _____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</si>
  <si>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</si>
  <si>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2017 г. № _____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</si>
  <si>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</si>
  <si>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2017 г. № _____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</si>
  <si>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</si>
  <si>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</si>
  <si>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</si>
  <si>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</si>
  <si>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</si>
  <si>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</si>
  <si>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</si>
  <si>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</si>
  <si>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</si>
  <si>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</si>
  <si>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</si>
  <si>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</si>
  <si>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</si>
  <si>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</si>
  <si>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</si>
  <si>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</si>
  <si>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</si>
  <si>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</si>
  <si>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</si>
  <si>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</si>
  <si>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</si>
  <si>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</si>
  <si>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</si>
  <si>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</si>
  <si>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</si>
  <si>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</si>
  <si>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</si>
  <si>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</si>
  <si>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</si>
  <si>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</si>
  <si>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</si>
  <si>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</si>
  <si>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</si>
  <si>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</si>
  <si>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</si>
  <si>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</si>
  <si>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</si>
  <si>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</si>
  <si>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</si>
  <si>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</si>
  <si>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</si>
  <si>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 Дружбы, д. 32</t>
  </si>
  <si>
    <t>г. Брянск, ул. Костычева, д. 41/2</t>
  </si>
  <si>
    <t>г. Брянск, ул. Молодой Гвардии, д. 88</t>
  </si>
  <si>
    <t>г. Брянск, ул. Медведева, д. 71</t>
  </si>
  <si>
    <t>г. Новозыбков, пер. Замишевского, д. 47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</si>
  <si>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</si>
  <si>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</si>
  <si>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</si>
  <si>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</si>
  <si>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</si>
  <si>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</si>
  <si>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</si>
  <si>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</si>
  <si>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кирптчные</t>
  </si>
  <si>
    <t>г. Новозыбков, ул. Садовая, д. 61</t>
  </si>
  <si>
    <t xml:space="preserve">г. Брянск, ул. Федюнинского, д. 18 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</si>
  <si>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</si>
  <si>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</si>
  <si>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</si>
  <si>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Ленина, д. 112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</si>
  <si>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</si>
  <si>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</si>
  <si>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</si>
  <si>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</si>
  <si>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</si>
  <si>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</si>
  <si>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</si>
  <si>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</si>
  <si>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</si>
  <si>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многоквартирных домов Брянской области, включенных в краткосрочный план</t>
  </si>
  <si>
    <t>ПЕРЕЧЕНЬ</t>
  </si>
  <si>
    <t>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</si>
  <si>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Удельная стоимость услуг и (или) работ по капитальному ремонту общего имущества в МКД</t>
  </si>
  <si>
    <t>Предельная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</si>
  <si>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</si>
  <si>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</si>
  <si>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</si>
  <si>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</si>
  <si>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</si>
  <si>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</si>
  <si>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</si>
  <si>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</si>
  <si>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руб./кв. м</t>
  </si>
  <si>
    <t>руб./п.м</t>
  </si>
  <si>
    <t>(руб./лифт)</t>
  </si>
  <si>
    <t>ПЛАНИРУЕМЫЕ ПОКАЗАТЕЛИ</t>
  </si>
  <si>
    <t>выполнения работ по капитальному ремонту многоквартирных домов,</t>
  </si>
  <si>
    <t>Брянской области, включенных в краткосрочный план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</si>
  <si>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</si>
  <si>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</si>
  <si>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</si>
  <si>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</si>
  <si>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</si>
  <si>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</si>
  <si>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</si>
  <si>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</si>
  <si>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Тип кровли (ПК - плоская; СК - скатная) - указывается в случае проведения ремонта крыши</t>
  </si>
  <si>
    <t>0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</si>
  <si>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</si>
  <si>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</si>
  <si>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</si>
  <si>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</si>
  <si>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</si>
  <si>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</si>
  <si>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</si>
  <si>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</si>
  <si>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</si>
  <si>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</si>
  <si>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</si>
  <si>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</si>
  <si>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</si>
  <si>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</si>
  <si>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</si>
  <si>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</si>
  <si>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</si>
  <si>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</si>
  <si>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</si>
  <si>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ПРОВЕРКА ("+" - превышение)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</si>
  <si>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</si>
  <si>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</si>
  <si>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</si>
  <si>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</si>
  <si>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</si>
  <si>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</si>
  <si>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</si>
  <si>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</si>
  <si>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</si>
  <si>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</si>
  <si>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</si>
  <si>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</si>
  <si>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Ремонт крыши, включая ПСД и строительный контроль</t>
  </si>
  <si>
    <t>Ремонт или замена лифтового оборудования, признанного непригодным для эксплуатации, ремонт лифтовых шахт, включая ПСД и строительный контроль</t>
  </si>
  <si>
    <t>Ремонт фасада, включая ПСД и строительный контроль</t>
  </si>
  <si>
    <t>Ремонт систем электроснабжения, включая ПСД и строительный контроль</t>
  </si>
  <si>
    <t>2010</t>
  </si>
  <si>
    <t>ИС и ПУ и ПОДВАЛ</t>
  </si>
  <si>
    <t>ИС + ПУ</t>
  </si>
  <si>
    <t>Электро+Тепло</t>
  </si>
  <si>
    <t>ПУ</t>
  </si>
  <si>
    <t>2008</t>
  </si>
  <si>
    <t>Ремонт систем газоснабжения, включая ПСД и строительный контроль</t>
  </si>
  <si>
    <t>2012</t>
  </si>
  <si>
    <t>2015</t>
  </si>
  <si>
    <t>Итого по муниципальному образованию  "Гордеевское сельское поселение" Гордеевского района</t>
  </si>
  <si>
    <t>ИС + ФАСАД</t>
  </si>
  <si>
    <t>ЛИФТ</t>
  </si>
  <si>
    <t xml:space="preserve"> скатная</t>
  </si>
  <si>
    <t>г. Брянск, ул. Орловская д. 13</t>
  </si>
  <si>
    <t>г. Брянск, б-р. 50 лет Октября, д. 5</t>
  </si>
  <si>
    <t>Тепло + энерго</t>
  </si>
  <si>
    <t>Итого по Муниципальному образованию "Мглинское городское поселение" Мглинского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</si>
  <si>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</si>
  <si>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 xml:space="preserve">Муниципальное образование  "Гордеевское городское поселение" Гордеевского муниципального района </t>
  </si>
  <si>
    <t>Итого по муниципальному образованию  "Гордеевского городского поселение" Гордеевского муниципального района</t>
  </si>
  <si>
    <t>2019г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</si>
</sst>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</numFmts>
  <fonts count="7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sz val="9"/>
      <name val="Arial Narrow"/>
      <family val="2"/>
      <charset val="204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2413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</cellStyleXfs>
  <cellXfs count="1039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" fillId="0" borderId="10" xfId="0" applyFont="1" applyFill="1" applyBorder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24" fillId="79" borderId="10" xfId="0" applyFont="1" applyFill="1" applyBorder="1" applyAlignment="1">
      <alignment horizontal="left" vertical="center"/>
    </xf>
    <xf numFmtId="4" fontId="3" fillId="79" borderId="10" xfId="0" applyNumberFormat="1" applyFont="1" applyFill="1" applyBorder="1" applyAlignment="1">
      <alignment horizontal="center" vertical="center" wrapText="1"/>
    </xf>
    <xf numFmtId="1" fontId="3" fillId="79" borderId="10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/>
    </xf>
    <xf numFmtId="0" fontId="43" fillId="79" borderId="10" xfId="0" applyFont="1" applyFill="1" applyBorder="1" applyAlignment="1">
      <alignment horizontal="center" vertical="center" wrapText="1"/>
    </xf>
    <xf numFmtId="0" fontId="0" fillId="79" borderId="0" xfId="0" applyFill="1">
      <alignment horizontal="left" vertical="center" wrapText="1"/>
    </xf>
    <xf numFmtId="2" fontId="3" fillId="79" borderId="10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left" vertical="center" wrapText="1"/>
    </xf>
    <xf numFmtId="0" fontId="3" fillId="79" borderId="10" xfId="0" applyFont="1" applyFill="1" applyBorder="1" applyAlignment="1">
      <alignment horizontal="left" vertical="center"/>
    </xf>
    <xf numFmtId="0" fontId="3" fillId="79" borderId="10" xfId="0" applyFont="1" applyFill="1" applyBorder="1" applyAlignment="1">
      <alignment horizontal="center"/>
    </xf>
    <xf numFmtId="0" fontId="24" fillId="79" borderId="10" xfId="0" applyFont="1" applyFill="1" applyBorder="1" applyAlignment="1">
      <alignment horizontal="center" vertical="center"/>
    </xf>
    <xf numFmtId="0" fontId="3" fillId="79" borderId="10" xfId="2142" applyFont="1" applyFill="1" applyBorder="1" applyAlignment="1">
      <alignment horizontal="center" vertical="center" wrapText="1"/>
    </xf>
    <xf numFmtId="4" fontId="30" fillId="79" borderId="10" xfId="0" applyNumberFormat="1" applyFont="1" applyFill="1" applyBorder="1" applyAlignment="1">
      <alignment horizontal="center" vertical="center" wrapText="1"/>
    </xf>
    <xf numFmtId="0" fontId="3" fillId="79" borderId="10" xfId="2143" applyFont="1" applyFill="1" applyBorder="1" applyAlignment="1">
      <alignment horizontal="center" vertical="center" wrapText="1"/>
    </xf>
    <xf numFmtId="0" fontId="3" fillId="79" borderId="10" xfId="2143" applyFont="1" applyFill="1" applyBorder="1" applyAlignment="1">
      <alignment horizontal="left" vertical="center" wrapText="1"/>
    </xf>
    <xf numFmtId="0" fontId="3" fillId="79" borderId="10" xfId="2140" applyFont="1" applyFill="1" applyBorder="1" applyAlignment="1">
      <alignment horizontal="left" vertical="center"/>
    </xf>
    <xf numFmtId="0" fontId="3" fillId="79" borderId="10" xfId="2143" applyFont="1" applyFill="1" applyBorder="1" applyAlignment="1">
      <alignment horizontal="left" vertical="center"/>
    </xf>
    <xf numFmtId="4" fontId="3" fillId="79" borderId="10" xfId="2143" applyNumberFormat="1" applyFont="1" applyFill="1" applyBorder="1" applyAlignment="1">
      <alignment horizontal="center" vertical="center" wrapText="1"/>
    </xf>
    <xf numFmtId="1" fontId="3" fillId="79" borderId="10" xfId="2143" applyNumberFormat="1" applyFont="1" applyFill="1" applyBorder="1" applyAlignment="1">
      <alignment horizontal="center" vertical="center" wrapText="1"/>
    </xf>
    <xf numFmtId="0" fontId="0" fillId="79" borderId="0" xfId="0" applyFill="1" applyBorder="1">
      <alignment horizontal="left" vertical="center" wrapText="1"/>
    </xf>
    <xf numFmtId="2" fontId="24" fillId="79" borderId="10" xfId="0" applyNumberFormat="1" applyFont="1" applyFill="1" applyBorder="1" applyAlignment="1">
      <alignment horizontal="center" vertical="center"/>
    </xf>
    <xf numFmtId="4" fontId="63" fillId="79" borderId="10" xfId="0" applyNumberFormat="1" applyFont="1" applyFill="1" applyBorder="1" applyAlignment="1">
      <alignment horizontal="center" vertical="center" wrapText="1"/>
    </xf>
    <xf numFmtId="0" fontId="63" fillId="80" borderId="10" xfId="0" applyFont="1" applyFill="1" applyBorder="1" applyAlignment="1">
      <alignment vertical="center" wrapText="1"/>
    </xf>
    <xf numFmtId="0" fontId="63" fillId="80" borderId="10" xfId="0" applyFont="1" applyFill="1" applyBorder="1" applyAlignment="1">
      <alignment horizontal="left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3" fillId="80" borderId="10" xfId="0" applyFont="1" applyFill="1" applyBorder="1" applyAlignment="1">
      <alignment horizontal="center" vertical="center" wrapText="1"/>
    </xf>
    <xf numFmtId="0" fontId="24" fillId="80" borderId="10" xfId="0" applyFont="1" applyFill="1" applyBorder="1" applyAlignment="1">
      <alignment horizontal="left" vertical="center"/>
    </xf>
    <xf numFmtId="4" fontId="3" fillId="80" borderId="10" xfId="0" applyNumberFormat="1" applyFont="1" applyFill="1" applyBorder="1" applyAlignment="1">
      <alignment horizontal="center" vertical="center" wrapText="1"/>
    </xf>
    <xf numFmtId="1" fontId="3" fillId="80" borderId="10" xfId="0" applyNumberFormat="1" applyFont="1" applyFill="1" applyBorder="1" applyAlignment="1">
      <alignment horizontal="center" vertical="center" wrapText="1"/>
    </xf>
    <xf numFmtId="0" fontId="3" fillId="80" borderId="10" xfId="0" applyFont="1" applyFill="1" applyBorder="1" applyAlignment="1">
      <alignment horizontal="center"/>
    </xf>
    <xf numFmtId="2" fontId="24" fillId="80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0" xfId="2139" applyNumberFormat="1" applyFont="1" applyFill="1" applyBorder="1" applyAlignment="1">
      <alignment vertical="center" wrapText="1"/>
    </xf>
    <xf numFmtId="0" fontId="63" fillId="80" borderId="0" xfId="0" applyFont="1" applyFill="1" applyBorder="1">
      <alignment horizontal="left" vertical="center" wrapText="1"/>
    </xf>
    <xf numFmtId="0" fontId="0" fillId="80" borderId="0" xfId="0" applyFill="1">
      <alignment horizontal="left" vertical="center" wrapText="1"/>
    </xf>
    <xf numFmtId="2" fontId="3" fillId="80" borderId="10" xfId="0" applyNumberFormat="1" applyFont="1" applyFill="1" applyBorder="1" applyAlignment="1">
      <alignment horizontal="center" vertical="center" wrapText="1"/>
    </xf>
    <xf numFmtId="0" fontId="2" fillId="80" borderId="0" xfId="0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wrapText="1" shrinkToFit="1"/>
    </xf>
    <xf numFmtId="0" fontId="25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horizontal="center" vertical="center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0" applyFont="1" applyFill="1" applyBorder="1" applyAlignment="1">
      <alignment horizontal="center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79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3" fillId="79" borderId="10" xfId="0" applyNumberFormat="1" applyFont="1" applyFill="1" applyBorder="1" applyAlignment="1">
      <alignment horizontal="center" vertical="center"/>
    </xf>
    <xf numFmtId="4" fontId="63" fillId="79" borderId="10" xfId="2040" applyNumberFormat="1" applyFont="1" applyFill="1" applyBorder="1" applyAlignment="1">
      <alignment horizontal="center" vertical="center" wrapText="1"/>
    </xf>
    <xf numFmtId="4" fontId="63" fillId="79" borderId="10" xfId="2051" applyNumberFormat="1" applyFont="1" applyFill="1" applyBorder="1" applyAlignment="1">
      <alignment horizontal="center" vertical="center" wrapText="1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0" fontId="25" fillId="79" borderId="0" xfId="0" applyFont="1" applyFill="1" applyAlignment="1">
      <alignment horizontal="center" wrapText="1" shrinkToFit="1"/>
    </xf>
    <xf numFmtId="165" fontId="3" fillId="79" borderId="13" xfId="0" applyNumberFormat="1" applyFont="1" applyFill="1" applyBorder="1" applyAlignment="1">
      <alignment horizontal="center" vertical="center" textRotation="90" wrapText="1"/>
    </xf>
    <xf numFmtId="165" fontId="3" fillId="79" borderId="18" xfId="0" applyNumberFormat="1" applyFont="1" applyFill="1" applyBorder="1" applyAlignment="1">
      <alignment horizontal="center" vertical="center" textRotation="90" wrapText="1"/>
    </xf>
    <xf numFmtId="165" fontId="3" fillId="79" borderId="12" xfId="0" applyNumberFormat="1" applyFont="1" applyFill="1" applyBorder="1" applyAlignment="1">
      <alignment horizontal="center" vertical="center" textRotation="90" wrapText="1"/>
    </xf>
    <xf numFmtId="0" fontId="63" fillId="79" borderId="10" xfId="2094" applyFont="1" applyFill="1" applyBorder="1" applyAlignment="1">
      <alignment horizontal="center" vertical="center" wrapText="1"/>
    </xf>
    <xf numFmtId="4" fontId="0" fillId="79" borderId="0" xfId="0" applyNumberFormat="1" applyFill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>
      <alignment horizontal="left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6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4" fontId="63" fillId="79" borderId="10" xfId="2105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vertical="center" wrapText="1"/>
    </xf>
    <xf numFmtId="4" fontId="63" fillId="79" borderId="10" xfId="2139" applyNumberFormat="1" applyFont="1" applyFill="1" applyBorder="1" applyAlignment="1">
      <alignment horizontal="center" vertical="center" wrapText="1"/>
    </xf>
    <xf numFmtId="4" fontId="63" fillId="79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79" borderId="10" xfId="2141" applyNumberFormat="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52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4" fontId="63" fillId="0" borderId="10" xfId="2037" applyNumberFormat="1" applyFont="1" applyFill="1" applyBorder="1" applyAlignment="1">
      <alignment horizontal="center" vertical="center" wrapText="1"/>
    </xf>
    <xf numFmtId="4" fontId="67" fillId="0" borderId="10" xfId="2052" applyNumberFormat="1" applyFont="1" applyFill="1" applyBorder="1" applyAlignment="1">
      <alignment horizontal="center" vertical="center" wrapText="1"/>
    </xf>
    <xf numFmtId="4" fontId="63" fillId="0" borderId="10" xfId="2071" applyNumberFormat="1" applyFont="1" applyFill="1" applyBorder="1" applyAlignment="1">
      <alignment horizontal="center" vertical="center" wrapText="1"/>
    </xf>
    <xf numFmtId="4" fontId="63" fillId="79" borderId="10" xfId="2071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78" applyNumberFormat="1" applyFont="1" applyFill="1" applyBorder="1" applyAlignment="1">
      <alignment horizontal="center" vertical="center" wrapText="1"/>
    </xf>
    <xf numFmtId="4" fontId="63" fillId="79" borderId="10" xfId="2078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63" fillId="79" borderId="10" xfId="2074" applyNumberFormat="1" applyFont="1" applyFill="1" applyBorder="1" applyAlignment="1">
      <alignment horizontal="center" vertical="center" wrapText="1"/>
    </xf>
    <xf numFmtId="4" fontId="63" fillId="0" borderId="10" xfId="2100" applyNumberFormat="1" applyFont="1" applyFill="1" applyBorder="1" applyAlignment="1">
      <alignment horizontal="center" vertical="center" wrapText="1"/>
    </xf>
    <xf numFmtId="4" fontId="63" fillId="79" borderId="10" xfId="2100" applyNumberFormat="1" applyFont="1" applyFill="1" applyBorder="1" applyAlignment="1">
      <alignment horizontal="center" vertical="center" wrapText="1"/>
    </xf>
    <xf numFmtId="4" fontId="63" fillId="79" borderId="10" xfId="2094" applyNumberFormat="1" applyFont="1" applyFill="1" applyBorder="1" applyAlignment="1">
      <alignment horizontal="center" vertical="center" wrapText="1"/>
    </xf>
    <xf numFmtId="4" fontId="63" fillId="0" borderId="10" xfId="2140" applyNumberFormat="1" applyFont="1" applyFill="1" applyBorder="1" applyAlignment="1">
      <alignment horizontal="left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0" fontId="3" fillId="79" borderId="0" xfId="0" applyFont="1" applyFill="1">
      <alignment horizontal="left" vertical="center" wrapText="1"/>
    </xf>
    <xf numFmtId="0" fontId="3" fillId="79" borderId="10" xfId="0" applyFont="1" applyFill="1" applyBorder="1">
      <alignment horizontal="left" vertical="center" wrapText="1"/>
    </xf>
    <xf numFmtId="4" fontId="3" fillId="79" borderId="10" xfId="2412" applyNumberFormat="1" applyFont="1" applyFill="1" applyBorder="1" applyAlignment="1">
      <alignment horizontal="center" vertical="center" wrapText="1"/>
    </xf>
    <xf numFmtId="4" fontId="3" fillId="79" borderId="0" xfId="0" applyNumberFormat="1" applyFont="1" applyFill="1" applyAlignment="1">
      <alignment horizontal="center" vertical="center" wrapText="1"/>
    </xf>
    <xf numFmtId="0" fontId="3" fillId="81" borderId="0" xfId="0" applyFont="1" applyFill="1">
      <alignment horizontal="left" vertical="center" wrapText="1"/>
    </xf>
    <xf numFmtId="4" fontId="25" fillId="81" borderId="0" xfId="0" applyNumberFormat="1" applyFont="1" applyFill="1" applyBorder="1" applyAlignment="1">
      <alignment horizontal="right" vertical="center" wrapText="1"/>
    </xf>
    <xf numFmtId="0" fontId="25" fillId="81" borderId="0" xfId="0" applyFont="1" applyFill="1" applyAlignment="1">
      <alignment horizontal="center" wrapText="1" shrinkToFit="1"/>
    </xf>
    <xf numFmtId="0" fontId="3" fillId="81" borderId="10" xfId="0" applyFont="1" applyFill="1" applyBorder="1" applyAlignment="1">
      <alignment horizontal="center" vertical="center" wrapText="1"/>
    </xf>
    <xf numFmtId="0" fontId="3" fillId="81" borderId="10" xfId="0" applyFont="1" applyFill="1" applyBorder="1">
      <alignment horizontal="left" vertical="center" wrapText="1"/>
    </xf>
    <xf numFmtId="4" fontId="3" fillId="81" borderId="0" xfId="0" applyNumberFormat="1" applyFont="1" applyFill="1" applyAlignment="1">
      <alignment horizontal="center" vertical="center" wrapText="1"/>
    </xf>
    <xf numFmtId="0" fontId="0" fillId="81" borderId="0" xfId="0" applyFill="1">
      <alignment horizontal="left" vertical="center" wrapText="1"/>
    </xf>
    <xf numFmtId="0" fontId="3" fillId="82" borderId="0" xfId="0" applyFont="1" applyFill="1">
      <alignment horizontal="left" vertical="center" wrapText="1"/>
    </xf>
    <xf numFmtId="0" fontId="0" fillId="82" borderId="0" xfId="0" applyFill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79" borderId="13" xfId="0" applyNumberFormat="1" applyFont="1" applyFill="1" applyBorder="1" applyAlignment="1">
      <alignment horizontal="center" vertical="center" wrapText="1"/>
    </xf>
    <xf numFmtId="4" fontId="3" fillId="79" borderId="18" xfId="0" applyNumberFormat="1" applyFont="1" applyFill="1" applyBorder="1" applyAlignment="1">
      <alignment horizontal="center" vertical="center" wrapText="1"/>
    </xf>
    <xf numFmtId="4" fontId="3" fillId="79" borderId="12" xfId="0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vertical="center" wrapText="1"/>
    </xf>
    <xf numFmtId="0" fontId="3" fillId="79" borderId="10" xfId="0" applyNumberFormat="1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horizontal="left" vertical="center" wrapText="1"/>
    </xf>
    <xf numFmtId="4" fontId="63" fillId="79" borderId="10" xfId="2041" applyNumberFormat="1" applyFont="1" applyFill="1" applyBorder="1" applyAlignment="1">
      <alignment horizontal="center" vertical="center" wrapText="1"/>
    </xf>
    <xf numFmtId="0" fontId="63" fillId="79" borderId="10" xfId="2040" applyFont="1" applyFill="1" applyBorder="1" applyAlignment="1">
      <alignment horizontal="center" vertical="center" wrapText="1"/>
    </xf>
    <xf numFmtId="0" fontId="63" fillId="79" borderId="10" xfId="2051" applyFont="1" applyFill="1" applyBorder="1" applyAlignment="1">
      <alignment horizontal="center" vertical="center" wrapText="1"/>
    </xf>
    <xf numFmtId="4" fontId="63" fillId="79" borderId="10" xfId="2055" applyNumberFormat="1" applyFont="1" applyFill="1" applyBorder="1" applyAlignment="1">
      <alignment horizontal="center" vertical="center" wrapText="1"/>
    </xf>
    <xf numFmtId="4" fontId="63" fillId="79" borderId="10" xfId="2076" applyNumberFormat="1" applyFont="1" applyFill="1" applyBorder="1" applyAlignment="1">
      <alignment horizontal="center" vertical="center" wrapText="1"/>
    </xf>
    <xf numFmtId="0" fontId="63" fillId="79" borderId="10" xfId="2075" applyFont="1" applyFill="1" applyBorder="1" applyAlignment="1">
      <alignment horizontal="center" vertical="center" wrapText="1"/>
    </xf>
    <xf numFmtId="4" fontId="63" fillId="79" borderId="10" xfId="2106" applyNumberFormat="1" applyFont="1" applyFill="1" applyBorder="1" applyAlignment="1">
      <alignment horizontal="center" vertical="center" wrapText="1"/>
    </xf>
    <xf numFmtId="4" fontId="67" fillId="79" borderId="10" xfId="2042" applyNumberFormat="1" applyFont="1" applyFill="1" applyBorder="1" applyAlignment="1">
      <alignment horizontal="center" vertical="center" wrapText="1"/>
    </xf>
    <xf numFmtId="4" fontId="63" fillId="79" borderId="10" xfId="2053" applyNumberFormat="1" applyFont="1" applyFill="1" applyBorder="1" applyAlignment="1">
      <alignment horizontal="center" vertical="center" wrapText="1"/>
    </xf>
    <xf numFmtId="4" fontId="63" fillId="79" borderId="10" xfId="2072" applyNumberFormat="1" applyFont="1" applyFill="1" applyBorder="1" applyAlignment="1">
      <alignment horizontal="center" vertical="center" wrapText="1"/>
    </xf>
    <xf numFmtId="4" fontId="63" fillId="79" borderId="10" xfId="2092" applyNumberFormat="1" applyFont="1" applyFill="1" applyBorder="1" applyAlignment="1">
      <alignment horizontal="center" vertical="center" wrapText="1"/>
    </xf>
    <xf numFmtId="4" fontId="63" fillId="79" borderId="10" xfId="2103" applyNumberFormat="1" applyFont="1" applyFill="1" applyBorder="1" applyAlignment="1">
      <alignment horizontal="center" vertical="center" wrapText="1"/>
    </xf>
    <xf numFmtId="4" fontId="63" fillId="79" borderId="10" xfId="2096" applyNumberFormat="1" applyFont="1" applyFill="1" applyBorder="1" applyAlignment="1">
      <alignment horizontal="center" vertical="center" wrapText="1"/>
    </xf>
    <xf numFmtId="4" fontId="63" fillId="79" borderId="10" xfId="2133" applyNumberFormat="1" applyFont="1" applyFill="1" applyBorder="1" applyAlignment="1">
      <alignment horizontal="center" vertical="center" wrapText="1"/>
    </xf>
    <xf numFmtId="4" fontId="63" fillId="79" borderId="10" xfId="2057" applyNumberFormat="1" applyFont="1" applyFill="1" applyBorder="1" applyAlignment="1">
      <alignment horizontal="center" vertical="center" wrapText="1"/>
    </xf>
    <xf numFmtId="4" fontId="3" fillId="79" borderId="10" xfId="0" applyNumberFormat="1" applyFont="1" applyFill="1" applyBorder="1">
      <alignment horizontal="left" vertical="center" wrapText="1"/>
    </xf>
    <xf numFmtId="4" fontId="25" fillId="79" borderId="0" xfId="0" applyNumberFormat="1" applyFont="1" applyFill="1" applyBorder="1" applyAlignment="1">
      <alignment vertical="center" wrapText="1"/>
    </xf>
    <xf numFmtId="0" fontId="3" fillId="83" borderId="0" xfId="0" applyFont="1" applyFill="1">
      <alignment horizontal="left" vertical="center" wrapText="1"/>
    </xf>
    <xf numFmtId="0" fontId="25" fillId="83" borderId="0" xfId="0" applyFont="1" applyFill="1" applyAlignment="1">
      <alignment horizontal="center" wrapText="1" shrinkToFit="1"/>
    </xf>
    <xf numFmtId="0" fontId="3" fillId="83" borderId="10" xfId="0" applyFont="1" applyFill="1" applyBorder="1" applyAlignment="1">
      <alignment horizontal="center" vertical="center" wrapText="1"/>
    </xf>
    <xf numFmtId="0" fontId="3" fillId="83" borderId="10" xfId="0" applyFont="1" applyFill="1" applyBorder="1">
      <alignment horizontal="left" vertical="center" wrapText="1"/>
    </xf>
    <xf numFmtId="4" fontId="3" fillId="83" borderId="10" xfId="2412" applyNumberFormat="1" applyFont="1" applyFill="1" applyBorder="1" applyAlignment="1">
      <alignment horizontal="center" vertical="center" wrapText="1"/>
    </xf>
    <xf numFmtId="4" fontId="3" fillId="83" borderId="0" xfId="0" applyNumberFormat="1" applyFont="1" applyFill="1" applyAlignment="1">
      <alignment horizontal="center" vertical="center" wrapText="1"/>
    </xf>
    <xf numFmtId="0" fontId="3" fillId="82" borderId="10" xfId="0" applyFont="1" applyFill="1" applyBorder="1" applyAlignment="1">
      <alignment horizontal="center" vertical="center" wrapText="1"/>
    </xf>
    <xf numFmtId="0" fontId="3" fillId="82" borderId="10" xfId="0" applyFont="1" applyFill="1" applyBorder="1">
      <alignment horizontal="left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4" fontId="3" fillId="81" borderId="10" xfId="0" applyNumberFormat="1" applyFont="1" applyFill="1" applyBorder="1">
      <alignment horizontal="left" vertical="center" wrapText="1"/>
    </xf>
    <xf numFmtId="4" fontId="3" fillId="82" borderId="10" xfId="0" applyNumberFormat="1" applyFont="1" applyFill="1" applyBorder="1">
      <alignment horizontal="left" vertical="center" wrapText="1"/>
    </xf>
    <xf numFmtId="4" fontId="3" fillId="81" borderId="10" xfId="2412" applyNumberFormat="1" applyFont="1" applyFill="1" applyBorder="1" applyAlignment="1">
      <alignment horizontal="center" vertical="center" wrapText="1"/>
    </xf>
    <xf numFmtId="4" fontId="3" fillId="82" borderId="10" xfId="2412" applyNumberFormat="1" applyFont="1" applyFill="1" applyBorder="1" applyAlignment="1">
      <alignment horizontal="left" vertical="center" wrapText="1"/>
    </xf>
    <xf numFmtId="4" fontId="3" fillId="83" borderId="10" xfId="0" applyNumberFormat="1" applyFont="1" applyFill="1" applyBorder="1">
      <alignment horizontal="left" vertical="center" wrapText="1"/>
    </xf>
    <xf numFmtId="4" fontId="3" fillId="83" borderId="10" xfId="0" applyNumberFormat="1" applyFont="1" applyFill="1" applyBorder="1" applyAlignment="1">
      <alignment horizontal="center" vertical="center" wrapText="1"/>
    </xf>
    <xf numFmtId="4" fontId="3" fillId="79" borderId="0" xfId="0" applyNumberFormat="1" applyFont="1" applyFill="1">
      <alignment horizontal="left" vertical="center" wrapText="1"/>
    </xf>
    <xf numFmtId="4" fontId="3" fillId="8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67" fillId="0" borderId="10" xfId="2042" applyFont="1" applyFill="1" applyBorder="1" applyAlignment="1">
      <alignment horizontal="right" vertical="center" wrapText="1"/>
    </xf>
    <xf numFmtId="0" fontId="63" fillId="0" borderId="22" xfId="2036" applyFont="1" applyFill="1" applyBorder="1" applyAlignment="1">
      <alignment vertical="center" wrapText="1"/>
    </xf>
    <xf numFmtId="0" fontId="67" fillId="0" borderId="22" xfId="2042" applyFont="1" applyFill="1" applyBorder="1" applyAlignment="1">
      <alignment horizontal="right" vertical="center" wrapText="1"/>
    </xf>
    <xf numFmtId="0" fontId="63" fillId="0" borderId="22" xfId="2040" applyFont="1" applyFill="1" applyBorder="1" applyAlignment="1">
      <alignment horizontal="center" vertical="center" wrapText="1"/>
    </xf>
    <xf numFmtId="0" fontId="63" fillId="0" borderId="22" xfId="2037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22" xfId="2041" applyFont="1" applyFill="1" applyBorder="1" applyAlignment="1">
      <alignment horizontal="center" vertical="center" wrapText="1"/>
    </xf>
    <xf numFmtId="0" fontId="63" fillId="0" borderId="22" xfId="2041" applyNumberFormat="1" applyFont="1" applyFill="1" applyBorder="1" applyAlignment="1">
      <alignment horizontal="center" vertical="center" wrapText="1"/>
    </xf>
    <xf numFmtId="4" fontId="63" fillId="0" borderId="22" xfId="2041" applyNumberFormat="1" applyFont="1" applyFill="1" applyBorder="1" applyAlignment="1">
      <alignment horizontal="center" vertical="center" wrapText="1"/>
    </xf>
    <xf numFmtId="0" fontId="63" fillId="0" borderId="36" xfId="2036" applyFont="1" applyFill="1" applyBorder="1" applyAlignment="1">
      <alignment vertical="center" wrapText="1"/>
    </xf>
    <xf numFmtId="0" fontId="67" fillId="0" borderId="36" xfId="2042" applyFont="1" applyFill="1" applyBorder="1" applyAlignment="1">
      <alignment horizontal="right" vertical="center" wrapText="1"/>
    </xf>
    <xf numFmtId="0" fontId="63" fillId="0" borderId="36" xfId="2040" applyFont="1" applyFill="1" applyBorder="1" applyAlignment="1">
      <alignment horizontal="center" vertical="center" wrapText="1"/>
    </xf>
    <xf numFmtId="0" fontId="63" fillId="0" borderId="36" xfId="2037" applyNumberFormat="1" applyFont="1" applyFill="1" applyBorder="1" applyAlignment="1">
      <alignment horizontal="center" vertical="center" wrapText="1"/>
    </xf>
    <xf numFmtId="0" fontId="63" fillId="0" borderId="36" xfId="2041" applyFont="1" applyFill="1" applyBorder="1" applyAlignment="1">
      <alignment horizontal="center" vertical="center" wrapText="1"/>
    </xf>
    <xf numFmtId="0" fontId="63" fillId="0" borderId="36" xfId="2041" applyNumberFormat="1" applyFont="1" applyFill="1" applyBorder="1" applyAlignment="1">
      <alignment horizontal="center" vertical="center" wrapText="1"/>
    </xf>
    <xf numFmtId="4" fontId="63" fillId="0" borderId="36" xfId="2041" applyNumberFormat="1" applyFont="1" applyFill="1" applyBorder="1" applyAlignment="1">
      <alignment horizontal="center" vertical="center" wrapText="1"/>
    </xf>
    <xf numFmtId="0" fontId="63" fillId="0" borderId="37" xfId="2036" applyFont="1" applyFill="1" applyBorder="1" applyAlignment="1">
      <alignment vertical="center" wrapText="1"/>
    </xf>
    <xf numFmtId="0" fontId="67" fillId="0" borderId="37" xfId="2042" applyFont="1" applyFill="1" applyBorder="1" applyAlignment="1">
      <alignment horizontal="right" vertical="center" wrapText="1"/>
    </xf>
    <xf numFmtId="0" fontId="63" fillId="0" borderId="37" xfId="2040" applyFont="1" applyFill="1" applyBorder="1" applyAlignment="1">
      <alignment horizontal="center" vertical="center" wrapText="1"/>
    </xf>
    <xf numFmtId="0" fontId="63" fillId="0" borderId="37" xfId="2037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37" xfId="2041" applyFont="1" applyFill="1" applyBorder="1" applyAlignment="1">
      <alignment horizontal="center" vertical="center" wrapText="1"/>
    </xf>
    <xf numFmtId="0" fontId="63" fillId="0" borderId="37" xfId="2041" applyNumberFormat="1" applyFont="1" applyFill="1" applyBorder="1" applyAlignment="1">
      <alignment horizontal="center" vertical="center" wrapText="1"/>
    </xf>
    <xf numFmtId="4" fontId="63" fillId="0" borderId="37" xfId="2041" applyNumberFormat="1" applyFont="1" applyFill="1" applyBorder="1" applyAlignment="1">
      <alignment horizontal="center" vertical="center" wrapText="1"/>
    </xf>
    <xf numFmtId="0" fontId="63" fillId="0" borderId="13" xfId="2036" applyFont="1" applyFill="1" applyBorder="1" applyAlignment="1">
      <alignment vertical="center" wrapText="1"/>
    </xf>
    <xf numFmtId="0" fontId="67" fillId="0" borderId="13" xfId="2042" applyFont="1" applyFill="1" applyBorder="1" applyAlignment="1">
      <alignment horizontal="right" vertical="center" wrapText="1"/>
    </xf>
    <xf numFmtId="0" fontId="63" fillId="0" borderId="13" xfId="2040" applyFont="1" applyFill="1" applyBorder="1" applyAlignment="1">
      <alignment horizontal="center" vertical="center" wrapText="1"/>
    </xf>
    <xf numFmtId="0" fontId="63" fillId="0" borderId="13" xfId="2037" applyNumberFormat="1" applyFont="1" applyFill="1" applyBorder="1" applyAlignment="1">
      <alignment horizontal="center" vertical="center" wrapText="1"/>
    </xf>
    <xf numFmtId="0" fontId="63" fillId="0" borderId="13" xfId="2041" applyFont="1" applyFill="1" applyBorder="1" applyAlignment="1">
      <alignment horizontal="center" vertical="center" wrapText="1"/>
    </xf>
    <xf numFmtId="0" fontId="63" fillId="0" borderId="13" xfId="2041" applyNumberFormat="1" applyFont="1" applyFill="1" applyBorder="1" applyAlignment="1">
      <alignment horizontal="center" vertical="center" wrapText="1"/>
    </xf>
    <xf numFmtId="4" fontId="63" fillId="0" borderId="13" xfId="2041" applyNumberFormat="1" applyFont="1" applyFill="1" applyBorder="1" applyAlignment="1">
      <alignment horizontal="center" vertical="center" wrapText="1"/>
    </xf>
    <xf numFmtId="4" fontId="63" fillId="0" borderId="38" xfId="2041" applyNumberFormat="1" applyFont="1" applyFill="1" applyBorder="1" applyAlignment="1">
      <alignment horizontal="center" vertical="center" wrapText="1"/>
    </xf>
    <xf numFmtId="0" fontId="63" fillId="86" borderId="10" xfId="0" applyFont="1" applyFill="1" applyBorder="1" applyAlignment="1">
      <alignment horizontal="center" vertical="center" wrapText="1"/>
    </xf>
    <xf numFmtId="4" fontId="63" fillId="86" borderId="0" xfId="0" applyNumberFormat="1" applyFont="1" applyFill="1" applyAlignment="1">
      <alignment horizontal="center" vertical="center" wrapText="1"/>
    </xf>
    <xf numFmtId="0" fontId="63" fillId="86" borderId="0" xfId="0" applyFont="1" applyFill="1">
      <alignment horizontal="left" vertical="center" wrapText="1"/>
    </xf>
    <xf numFmtId="0" fontId="63" fillId="0" borderId="12" xfId="2051" applyFont="1" applyFill="1" applyBorder="1" applyAlignment="1">
      <alignment horizontal="center" vertical="center" wrapText="1"/>
    </xf>
    <xf numFmtId="0" fontId="63" fillId="0" borderId="12" xfId="2052" applyFont="1" applyFill="1" applyBorder="1" applyAlignment="1">
      <alignment horizontal="center" vertical="center" wrapText="1"/>
    </xf>
    <xf numFmtId="0" fontId="63" fillId="0" borderId="12" xfId="2053" applyFont="1" applyFill="1" applyBorder="1" applyAlignment="1">
      <alignment horizontal="center" vertical="center" wrapText="1"/>
    </xf>
    <xf numFmtId="4" fontId="63" fillId="0" borderId="12" xfId="2053" applyNumberFormat="1" applyFont="1" applyFill="1" applyBorder="1" applyAlignment="1">
      <alignment horizontal="center" vertical="center" wrapText="1"/>
    </xf>
    <xf numFmtId="0" fontId="63" fillId="0" borderId="12" xfId="2053" applyNumberFormat="1" applyFont="1" applyFill="1" applyBorder="1" applyAlignment="1">
      <alignment horizontal="center" vertical="center" wrapText="1"/>
    </xf>
    <xf numFmtId="4" fontId="63" fillId="85" borderId="0" xfId="0" applyNumberFormat="1" applyFont="1" applyFill="1" applyAlignment="1">
      <alignment horizontal="center" vertical="center" wrapText="1"/>
    </xf>
    <xf numFmtId="0" fontId="63" fillId="85" borderId="0" xfId="0" applyFont="1" applyFill="1">
      <alignment horizontal="left" vertical="center" wrapText="1"/>
    </xf>
    <xf numFmtId="0" fontId="24" fillId="85" borderId="10" xfId="0" applyFont="1" applyFill="1" applyBorder="1" applyAlignment="1">
      <alignment horizontal="left" vertical="center"/>
    </xf>
    <xf numFmtId="0" fontId="63" fillId="79" borderId="12" xfId="0" applyFont="1" applyFill="1" applyBorder="1" applyAlignment="1">
      <alignment vertical="center"/>
    </xf>
    <xf numFmtId="0" fontId="63" fillId="87" borderId="12" xfId="0" applyFont="1" applyFill="1" applyBorder="1" applyAlignment="1">
      <alignment vertical="center"/>
    </xf>
    <xf numFmtId="0" fontId="63" fillId="84" borderId="12" xfId="0" applyFont="1" applyFill="1" applyBorder="1" applyAlignment="1">
      <alignment vertical="center"/>
    </xf>
    <xf numFmtId="0" fontId="63" fillId="0" borderId="36" xfId="2054" applyFont="1" applyFill="1" applyBorder="1" applyAlignment="1">
      <alignment horizontal="left" vertical="center" wrapText="1"/>
    </xf>
    <xf numFmtId="0" fontId="63" fillId="0" borderId="36" xfId="2055" applyFont="1" applyFill="1" applyBorder="1" applyAlignment="1">
      <alignment horizontal="center" vertical="center" wrapText="1"/>
    </xf>
    <xf numFmtId="0" fontId="63" fillId="0" borderId="36" xfId="2056" applyFont="1" applyFill="1" applyBorder="1" applyAlignment="1">
      <alignment horizontal="center" vertical="center" wrapText="1"/>
    </xf>
    <xf numFmtId="0" fontId="63" fillId="0" borderId="36" xfId="2057" applyFont="1" applyFill="1" applyBorder="1" applyAlignment="1">
      <alignment horizontal="center" vertical="center" wrapText="1"/>
    </xf>
    <xf numFmtId="0" fontId="63" fillId="0" borderId="36" xfId="2057" applyNumberFormat="1" applyFont="1" applyFill="1" applyBorder="1" applyAlignment="1">
      <alignment horizontal="center" vertical="center" wrapText="1"/>
    </xf>
    <xf numFmtId="4" fontId="63" fillId="0" borderId="36" xfId="2057" applyNumberFormat="1" applyFont="1" applyFill="1" applyBorder="1" applyAlignment="1">
      <alignment horizontal="center" vertical="center" wrapText="1"/>
    </xf>
    <xf numFmtId="0" fontId="63" fillId="0" borderId="37" xfId="2054" applyFont="1" applyFill="1" applyBorder="1" applyAlignment="1">
      <alignment horizontal="left" vertical="center" wrapText="1"/>
    </xf>
    <xf numFmtId="0" fontId="63" fillId="0" borderId="37" xfId="2055" applyFont="1" applyFill="1" applyBorder="1" applyAlignment="1">
      <alignment horizontal="center" vertical="center" wrapText="1"/>
    </xf>
    <xf numFmtId="0" fontId="63" fillId="0" borderId="37" xfId="2056" applyFont="1" applyFill="1" applyBorder="1" applyAlignment="1">
      <alignment horizontal="center" vertical="center" wrapText="1"/>
    </xf>
    <xf numFmtId="0" fontId="63" fillId="0" borderId="37" xfId="2057" applyFont="1" applyFill="1" applyBorder="1" applyAlignment="1">
      <alignment horizontal="center" vertical="center" wrapText="1"/>
    </xf>
    <xf numFmtId="0" fontId="63" fillId="0" borderId="37" xfId="2057" applyNumberFormat="1" applyFont="1" applyFill="1" applyBorder="1" applyAlignment="1">
      <alignment horizontal="center" vertical="center" wrapText="1"/>
    </xf>
    <xf numFmtId="4" fontId="63" fillId="0" borderId="37" xfId="2057" applyNumberFormat="1" applyFont="1" applyFill="1" applyBorder="1" applyAlignment="1">
      <alignment horizontal="center" vertical="center" wrapText="1"/>
    </xf>
    <xf numFmtId="0" fontId="63" fillId="86" borderId="0" xfId="0" applyFont="1" applyFill="1" applyBorder="1" applyAlignment="1">
      <alignment horizontal="right" vertical="center" wrapText="1"/>
    </xf>
    <xf numFmtId="0" fontId="63" fillId="86" borderId="0" xfId="0" applyFont="1" applyFill="1" applyBorder="1">
      <alignment horizontal="left" vertical="center" wrapText="1"/>
    </xf>
    <xf numFmtId="0" fontId="63" fillId="0" borderId="36" xfId="2073" applyFont="1" applyFill="1" applyBorder="1" applyAlignment="1">
      <alignment horizontal="left" vertical="center" wrapText="1"/>
    </xf>
    <xf numFmtId="0" fontId="63" fillId="0" borderId="36" xfId="2075" applyFont="1" applyFill="1" applyBorder="1" applyAlignment="1">
      <alignment horizontal="center" vertical="center" wrapText="1"/>
    </xf>
    <xf numFmtId="0" fontId="63" fillId="0" borderId="36" xfId="2074" applyFont="1" applyFill="1" applyBorder="1" applyAlignment="1">
      <alignment horizontal="center" vertical="center" wrapText="1"/>
    </xf>
    <xf numFmtId="0" fontId="63" fillId="0" borderId="36" xfId="2076" applyFont="1" applyFill="1" applyBorder="1" applyAlignment="1">
      <alignment horizontal="center" vertical="center" wrapText="1"/>
    </xf>
    <xf numFmtId="0" fontId="63" fillId="0" borderId="36" xfId="2076" applyNumberFormat="1" applyFont="1" applyFill="1" applyBorder="1" applyAlignment="1">
      <alignment horizontal="center" vertical="center" wrapText="1"/>
    </xf>
    <xf numFmtId="4" fontId="63" fillId="0" borderId="36" xfId="2076" applyNumberFormat="1" applyFont="1" applyFill="1" applyBorder="1" applyAlignment="1">
      <alignment horizontal="center" vertical="center" wrapText="1"/>
    </xf>
    <xf numFmtId="0" fontId="63" fillId="85" borderId="0" xfId="0" applyFont="1" applyFill="1" applyBorder="1" applyAlignment="1">
      <alignment horizontal="right" vertical="center" wrapText="1"/>
    </xf>
    <xf numFmtId="0" fontId="63" fillId="85" borderId="0" xfId="0" applyFont="1" applyFill="1" applyBorder="1">
      <alignment horizontal="left" vertical="center" wrapText="1"/>
    </xf>
    <xf numFmtId="0" fontId="63" fillId="0" borderId="37" xfId="2073" applyFont="1" applyFill="1" applyBorder="1" applyAlignment="1">
      <alignment horizontal="left" vertical="center" wrapText="1"/>
    </xf>
    <xf numFmtId="0" fontId="63" fillId="0" borderId="37" xfId="2075" applyFont="1" applyFill="1" applyBorder="1" applyAlignment="1">
      <alignment horizontal="center" vertical="center" wrapText="1"/>
    </xf>
    <xf numFmtId="0" fontId="63" fillId="0" borderId="37" xfId="2074" applyFont="1" applyFill="1" applyBorder="1" applyAlignment="1">
      <alignment horizontal="center" vertical="center" wrapText="1"/>
    </xf>
    <xf numFmtId="0" fontId="63" fillId="0" borderId="37" xfId="2076" applyFont="1" applyFill="1" applyBorder="1" applyAlignment="1">
      <alignment horizontal="center" vertical="center" wrapText="1"/>
    </xf>
    <xf numFmtId="0" fontId="63" fillId="0" borderId="37" xfId="2076" applyNumberFormat="1" applyFont="1" applyFill="1" applyBorder="1" applyAlignment="1">
      <alignment horizontal="center" vertical="center" wrapText="1"/>
    </xf>
    <xf numFmtId="4" fontId="63" fillId="0" borderId="37" xfId="2076" applyNumberFormat="1" applyFont="1" applyFill="1" applyBorder="1" applyAlignment="1">
      <alignment horizontal="center" vertical="center" wrapText="1"/>
    </xf>
    <xf numFmtId="0" fontId="63" fillId="0" borderId="36" xfId="2093" applyFont="1" applyFill="1" applyBorder="1" applyAlignment="1">
      <alignment horizontal="left" vertical="center" wrapText="1"/>
    </xf>
    <xf numFmtId="0" fontId="63" fillId="0" borderId="36" xfId="2095" applyFont="1" applyFill="1" applyBorder="1" applyAlignment="1">
      <alignment horizontal="center" vertical="center" wrapText="1"/>
    </xf>
    <xf numFmtId="0" fontId="63" fillId="0" borderId="36" xfId="2094" applyFont="1" applyFill="1" applyBorder="1" applyAlignment="1">
      <alignment horizontal="center" vertical="center" wrapText="1"/>
    </xf>
    <xf numFmtId="0" fontId="63" fillId="0" borderId="36" xfId="2096" applyFont="1" applyFill="1" applyBorder="1" applyAlignment="1">
      <alignment horizontal="center" vertical="center" wrapText="1"/>
    </xf>
    <xf numFmtId="0" fontId="63" fillId="0" borderId="36" xfId="2096" applyNumberFormat="1" applyFont="1" applyFill="1" applyBorder="1" applyAlignment="1">
      <alignment horizontal="center" vertical="center" wrapText="1"/>
    </xf>
    <xf numFmtId="4" fontId="63" fillId="0" borderId="36" xfId="2096" applyNumberFormat="1" applyFont="1" applyFill="1" applyBorder="1" applyAlignment="1">
      <alignment horizontal="center" vertical="center" wrapText="1"/>
    </xf>
    <xf numFmtId="0" fontId="63" fillId="0" borderId="36" xfId="2104" applyFont="1" applyFill="1" applyBorder="1" applyAlignment="1">
      <alignment horizontal="left" vertical="center" wrapText="1"/>
    </xf>
    <xf numFmtId="0" fontId="63" fillId="0" borderId="36" xfId="2106" applyFont="1" applyFill="1" applyBorder="1" applyAlignment="1">
      <alignment horizontal="center" vertical="center" wrapText="1"/>
    </xf>
    <xf numFmtId="0" fontId="63" fillId="0" borderId="36" xfId="2105" applyFont="1" applyFill="1" applyBorder="1" applyAlignment="1">
      <alignment horizontal="center" vertical="center" wrapText="1"/>
    </xf>
    <xf numFmtId="0" fontId="63" fillId="0" borderId="36" xfId="2107" applyFont="1" applyFill="1" applyBorder="1" applyAlignment="1">
      <alignment horizontal="center" vertical="center" wrapText="1"/>
    </xf>
    <xf numFmtId="0" fontId="63" fillId="0" borderId="36" xfId="2107" applyNumberFormat="1" applyFont="1" applyFill="1" applyBorder="1" applyAlignment="1">
      <alignment horizontal="center" vertical="center" wrapText="1"/>
    </xf>
    <xf numFmtId="4" fontId="63" fillId="0" borderId="36" xfId="2107" applyNumberFormat="1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36" xfId="0" applyNumberFormat="1" applyFont="1" applyFill="1" applyBorder="1" applyAlignment="1">
      <alignment horizontal="center" vertical="center" wrapText="1"/>
    </xf>
    <xf numFmtId="4" fontId="63" fillId="0" borderId="36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36" xfId="2050" applyFont="1" applyFill="1" applyBorder="1" applyAlignment="1">
      <alignment vertical="center" wrapText="1"/>
    </xf>
    <xf numFmtId="0" fontId="63" fillId="0" borderId="36" xfId="2051" applyFont="1" applyFill="1" applyBorder="1" applyAlignment="1">
      <alignment horizontal="center" vertical="center" wrapText="1"/>
    </xf>
    <xf numFmtId="0" fontId="63" fillId="0" borderId="36" xfId="2052" applyFont="1" applyFill="1" applyBorder="1" applyAlignment="1">
      <alignment horizontal="center" vertical="center" wrapText="1"/>
    </xf>
    <xf numFmtId="0" fontId="63" fillId="0" borderId="36" xfId="2053" applyFont="1" applyFill="1" applyBorder="1" applyAlignment="1">
      <alignment horizontal="center" vertical="center" wrapText="1"/>
    </xf>
    <xf numFmtId="0" fontId="63" fillId="0" borderId="36" xfId="2053" applyNumberFormat="1" applyFont="1" applyFill="1" applyBorder="1" applyAlignment="1">
      <alignment horizontal="center" vertical="center" wrapText="1"/>
    </xf>
    <xf numFmtId="4" fontId="63" fillId="0" borderId="36" xfId="2053" applyNumberFormat="1" applyFont="1" applyFill="1" applyBorder="1" applyAlignment="1">
      <alignment horizontal="center" vertical="center" wrapText="1"/>
    </xf>
    <xf numFmtId="0" fontId="63" fillId="0" borderId="36" xfId="2052" applyNumberFormat="1" applyFont="1" applyFill="1" applyBorder="1" applyAlignment="1">
      <alignment horizontal="center" vertical="center" wrapText="1"/>
    </xf>
    <xf numFmtId="0" fontId="63" fillId="0" borderId="37" xfId="2050" applyFont="1" applyFill="1" applyBorder="1" applyAlignment="1">
      <alignment vertical="center" wrapText="1"/>
    </xf>
    <xf numFmtId="0" fontId="63" fillId="0" borderId="37" xfId="2051" applyFont="1" applyFill="1" applyBorder="1" applyAlignment="1">
      <alignment horizontal="center" vertical="center" wrapText="1"/>
    </xf>
    <xf numFmtId="0" fontId="63" fillId="0" borderId="37" xfId="2052" applyNumberFormat="1" applyFont="1" applyFill="1" applyBorder="1" applyAlignment="1">
      <alignment horizontal="center" vertical="center" wrapText="1"/>
    </xf>
    <xf numFmtId="0" fontId="63" fillId="0" borderId="37" xfId="2053" applyFont="1" applyFill="1" applyBorder="1" applyAlignment="1">
      <alignment horizontal="center" vertical="center" wrapText="1"/>
    </xf>
    <xf numFmtId="0" fontId="63" fillId="0" borderId="37" xfId="2053" applyNumberFormat="1" applyFont="1" applyFill="1" applyBorder="1" applyAlignment="1">
      <alignment horizontal="center" vertical="center" wrapText="1"/>
    </xf>
    <xf numFmtId="4" fontId="63" fillId="0" borderId="37" xfId="2053" applyNumberFormat="1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13" xfId="2051" applyFont="1" applyFill="1" applyBorder="1" applyAlignment="1">
      <alignment horizontal="center" vertical="center" wrapText="1"/>
    </xf>
    <xf numFmtId="0" fontId="63" fillId="0" borderId="13" xfId="2052" applyFont="1" applyFill="1" applyBorder="1" applyAlignment="1">
      <alignment horizontal="center" vertical="center" wrapText="1"/>
    </xf>
    <xf numFmtId="0" fontId="63" fillId="0" borderId="13" xfId="2053" applyFont="1" applyFill="1" applyBorder="1" applyAlignment="1">
      <alignment horizontal="center" vertical="center" wrapText="1"/>
    </xf>
    <xf numFmtId="4" fontId="63" fillId="0" borderId="13" xfId="2053" applyNumberFormat="1" applyFont="1" applyFill="1" applyBorder="1" applyAlignment="1">
      <alignment horizontal="center" vertical="center" wrapText="1"/>
    </xf>
    <xf numFmtId="0" fontId="63" fillId="0" borderId="13" xfId="2053" applyNumberFormat="1" applyFont="1" applyFill="1" applyBorder="1" applyAlignment="1">
      <alignment horizontal="center" vertical="center" wrapText="1"/>
    </xf>
    <xf numFmtId="0" fontId="63" fillId="86" borderId="37" xfId="2050" applyFont="1" applyFill="1" applyBorder="1" applyAlignment="1">
      <alignment vertical="center" wrapText="1"/>
    </xf>
    <xf numFmtId="0" fontId="63" fillId="86" borderId="0" xfId="0" applyFont="1" applyFill="1" applyAlignment="1">
      <alignment horizontal="right" vertical="center" wrapText="1"/>
    </xf>
    <xf numFmtId="0" fontId="63" fillId="0" borderId="36" xfId="2058" applyFont="1" applyFill="1" applyBorder="1" applyAlignment="1">
      <alignment horizontal="left" vertical="center" wrapText="1"/>
    </xf>
    <xf numFmtId="0" fontId="63" fillId="0" borderId="36" xfId="2070" applyFont="1" applyFill="1" applyBorder="1" applyAlignment="1">
      <alignment horizontal="center" vertical="center" wrapText="1"/>
    </xf>
    <xf numFmtId="0" fontId="63" fillId="0" borderId="36" xfId="2071" applyFont="1" applyFill="1" applyBorder="1" applyAlignment="1">
      <alignment horizontal="center" vertical="center" wrapText="1"/>
    </xf>
    <xf numFmtId="0" fontId="63" fillId="0" borderId="36" xfId="2072" applyFont="1" applyFill="1" applyBorder="1" applyAlignment="1">
      <alignment horizontal="center" vertical="center" wrapText="1"/>
    </xf>
    <xf numFmtId="0" fontId="63" fillId="0" borderId="36" xfId="2072" applyNumberFormat="1" applyFont="1" applyFill="1" applyBorder="1" applyAlignment="1">
      <alignment horizontal="center" vertical="center" wrapText="1"/>
    </xf>
    <xf numFmtId="4" fontId="63" fillId="0" borderId="36" xfId="2072" applyNumberFormat="1" applyFont="1" applyFill="1" applyBorder="1" applyAlignment="1">
      <alignment horizontal="center" vertical="center" wrapText="1"/>
    </xf>
    <xf numFmtId="0" fontId="63" fillId="0" borderId="36" xfId="2077" applyFont="1" applyFill="1" applyBorder="1" applyAlignment="1">
      <alignment horizontal="left" vertical="center" wrapText="1"/>
    </xf>
    <xf numFmtId="0" fontId="63" fillId="0" borderId="36" xfId="2079" applyFont="1" applyFill="1" applyBorder="1" applyAlignment="1">
      <alignment horizontal="center" vertical="center" wrapText="1"/>
    </xf>
    <xf numFmtId="0" fontId="63" fillId="0" borderId="36" xfId="2078" applyFont="1" applyFill="1" applyBorder="1" applyAlignment="1">
      <alignment horizontal="center" vertical="center" wrapText="1"/>
    </xf>
    <xf numFmtId="0" fontId="63" fillId="0" borderId="36" xfId="2092" applyFont="1" applyFill="1" applyBorder="1" applyAlignment="1">
      <alignment horizontal="center" vertical="center" wrapText="1"/>
    </xf>
    <xf numFmtId="0" fontId="63" fillId="0" borderId="36" xfId="2092" applyNumberFormat="1" applyFont="1" applyFill="1" applyBorder="1" applyAlignment="1">
      <alignment horizontal="center" vertical="center" wrapText="1"/>
    </xf>
    <xf numFmtId="4" fontId="63" fillId="0" borderId="36" xfId="2092" applyNumberFormat="1" applyFont="1" applyFill="1" applyBorder="1" applyAlignment="1">
      <alignment horizontal="center" vertical="center" wrapText="1"/>
    </xf>
    <xf numFmtId="0" fontId="63" fillId="0" borderId="36" xfId="2098" applyFont="1" applyFill="1" applyBorder="1" applyAlignment="1">
      <alignment horizontal="left" vertical="center" wrapText="1"/>
    </xf>
    <xf numFmtId="0" fontId="63" fillId="0" borderId="36" xfId="2101" applyFont="1" applyFill="1" applyBorder="1" applyAlignment="1">
      <alignment horizontal="center" vertical="center" wrapText="1"/>
    </xf>
    <xf numFmtId="0" fontId="63" fillId="0" borderId="36" xfId="2100" applyFont="1" applyFill="1" applyBorder="1" applyAlignment="1">
      <alignment horizontal="center" vertical="center" wrapText="1"/>
    </xf>
    <xf numFmtId="0" fontId="63" fillId="0" borderId="36" xfId="2099" applyFont="1" applyFill="1" applyBorder="1" applyAlignment="1">
      <alignment horizontal="center" vertical="center" wrapText="1"/>
    </xf>
    <xf numFmtId="0" fontId="63" fillId="0" borderId="36" xfId="2103" applyFont="1" applyFill="1" applyBorder="1" applyAlignment="1">
      <alignment horizontal="center" vertical="center" wrapText="1"/>
    </xf>
    <xf numFmtId="0" fontId="63" fillId="0" borderId="36" xfId="2103" applyNumberFormat="1" applyFont="1" applyFill="1" applyBorder="1" applyAlignment="1">
      <alignment horizontal="center" vertical="center" wrapText="1"/>
    </xf>
    <xf numFmtId="4" fontId="63" fillId="0" borderId="36" xfId="2103" applyNumberFormat="1" applyFont="1" applyFill="1" applyBorder="1" applyAlignment="1">
      <alignment horizontal="center" vertical="center" wrapText="1"/>
    </xf>
    <xf numFmtId="0" fontId="63" fillId="0" borderId="36" xfId="2108" applyFont="1" applyFill="1" applyBorder="1" applyAlignment="1">
      <alignment horizontal="left" vertical="center" wrapText="1"/>
    </xf>
    <xf numFmtId="0" fontId="3" fillId="0" borderId="10" xfId="2036" applyFont="1" applyFill="1" applyBorder="1" applyAlignment="1">
      <alignment vertical="center" wrapText="1"/>
    </xf>
    <xf numFmtId="0" fontId="4" fillId="0" borderId="10" xfId="2042" applyFont="1" applyFill="1" applyBorder="1" applyAlignment="1">
      <alignment horizontal="left" vertical="center"/>
    </xf>
    <xf numFmtId="0" fontId="3" fillId="0" borderId="10" xfId="2040" applyFont="1" applyFill="1" applyBorder="1" applyAlignment="1">
      <alignment horizontal="center" vertical="center"/>
    </xf>
    <xf numFmtId="0" fontId="3" fillId="84" borderId="10" xfId="0" applyFont="1" applyFill="1" applyBorder="1" applyAlignment="1">
      <alignment horizontal="center" vertical="center" wrapText="1"/>
    </xf>
    <xf numFmtId="0" fontId="3" fillId="84" borderId="10" xfId="2036" applyFont="1" applyFill="1" applyBorder="1" applyAlignment="1">
      <alignment vertical="center" wrapText="1"/>
    </xf>
    <xf numFmtId="0" fontId="4" fillId="84" borderId="10" xfId="2042" applyFont="1" applyFill="1" applyBorder="1" applyAlignment="1">
      <alignment horizontal="left" vertical="center"/>
    </xf>
    <xf numFmtId="0" fontId="3" fillId="84" borderId="10" xfId="2040" applyFont="1" applyFill="1" applyBorder="1" applyAlignment="1">
      <alignment horizontal="center" vertical="center"/>
    </xf>
    <xf numFmtId="4" fontId="3" fillId="84" borderId="10" xfId="0" applyNumberFormat="1" applyFont="1" applyFill="1" applyBorder="1" applyAlignment="1">
      <alignment horizontal="center" vertical="center" wrapText="1"/>
    </xf>
    <xf numFmtId="1" fontId="3" fillId="84" borderId="10" xfId="0" applyNumberFormat="1" applyFont="1" applyFill="1" applyBorder="1" applyAlignment="1">
      <alignment horizontal="center" vertical="center" wrapText="1"/>
    </xf>
    <xf numFmtId="0" fontId="3" fillId="84" borderId="10" xfId="0" applyFont="1" applyFill="1" applyBorder="1" applyAlignment="1">
      <alignment horizontal="center"/>
    </xf>
    <xf numFmtId="0" fontId="0" fillId="84" borderId="0" xfId="0" applyFill="1">
      <alignment horizontal="left" vertical="center" wrapText="1"/>
    </xf>
    <xf numFmtId="4" fontId="0" fillId="84" borderId="0" xfId="0" applyNumberFormat="1" applyFill="1">
      <alignment horizontal="left" vertical="center" wrapText="1"/>
    </xf>
    <xf numFmtId="2" fontId="3" fillId="8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>
      <alignment horizontal="left" vertical="center" wrapText="1"/>
    </xf>
    <xf numFmtId="0" fontId="3" fillId="0" borderId="10" xfId="2050" applyFont="1" applyFill="1" applyBorder="1" applyAlignment="1">
      <alignment vertical="center" wrapText="1"/>
    </xf>
    <xf numFmtId="0" fontId="3" fillId="0" borderId="10" xfId="2051" applyFont="1" applyFill="1" applyBorder="1" applyAlignment="1">
      <alignment horizontal="left" vertical="center"/>
    </xf>
    <xf numFmtId="0" fontId="3" fillId="0" borderId="10" xfId="2051" applyFont="1" applyFill="1" applyBorder="1" applyAlignment="1">
      <alignment horizontal="center" vertical="center"/>
    </xf>
    <xf numFmtId="4" fontId="3" fillId="85" borderId="10" xfId="0" applyNumberFormat="1" applyFont="1" applyFill="1" applyBorder="1" applyAlignment="1">
      <alignment horizontal="center" vertical="center" wrapText="1"/>
    </xf>
    <xf numFmtId="1" fontId="3" fillId="85" borderId="10" xfId="0" applyNumberFormat="1" applyFont="1" applyFill="1" applyBorder="1" applyAlignment="1">
      <alignment horizontal="center" vertical="center" wrapText="1"/>
    </xf>
    <xf numFmtId="0" fontId="3" fillId="85" borderId="10" xfId="0" applyFont="1" applyFill="1" applyBorder="1" applyAlignment="1">
      <alignment horizontal="center"/>
    </xf>
    <xf numFmtId="0" fontId="3" fillId="85" borderId="10" xfId="0" applyFont="1" applyFill="1" applyBorder="1" applyAlignment="1">
      <alignment horizontal="center" vertical="center" wrapText="1"/>
    </xf>
    <xf numFmtId="0" fontId="3" fillId="86" borderId="10" xfId="0" applyFont="1" applyFill="1" applyBorder="1" applyAlignment="1">
      <alignment horizontal="center" vertical="center" wrapText="1"/>
    </xf>
    <xf numFmtId="0" fontId="24" fillId="86" borderId="10" xfId="0" applyFont="1" applyFill="1" applyBorder="1" applyAlignment="1">
      <alignment horizontal="left" vertical="center"/>
    </xf>
    <xf numFmtId="0" fontId="3" fillId="86" borderId="10" xfId="2051" applyFont="1" applyFill="1" applyBorder="1" applyAlignment="1">
      <alignment horizontal="left" vertical="center"/>
    </xf>
    <xf numFmtId="0" fontId="3" fillId="86" borderId="10" xfId="2051" applyFont="1" applyFill="1" applyBorder="1" applyAlignment="1">
      <alignment horizontal="center" vertical="center"/>
    </xf>
    <xf numFmtId="4" fontId="3" fillId="86" borderId="10" xfId="0" applyNumberFormat="1" applyFont="1" applyFill="1" applyBorder="1" applyAlignment="1">
      <alignment horizontal="center" vertical="center" wrapText="1"/>
    </xf>
    <xf numFmtId="1" fontId="3" fillId="86" borderId="10" xfId="0" applyNumberFormat="1" applyFont="1" applyFill="1" applyBorder="1" applyAlignment="1">
      <alignment horizontal="center" vertical="center" wrapText="1"/>
    </xf>
    <xf numFmtId="0" fontId="3" fillId="86" borderId="10" xfId="0" applyFont="1" applyFill="1" applyBorder="1" applyAlignment="1">
      <alignment horizontal="center"/>
    </xf>
    <xf numFmtId="0" fontId="0" fillId="86" borderId="0" xfId="0" applyFill="1">
      <alignment horizontal="left" vertical="center" wrapText="1"/>
    </xf>
    <xf numFmtId="4" fontId="0" fillId="86" borderId="0" xfId="0" applyNumberFormat="1" applyFill="1">
      <alignment horizontal="left" vertical="center" wrapText="1"/>
    </xf>
    <xf numFmtId="2" fontId="3" fillId="86" borderId="10" xfId="0" applyNumberFormat="1" applyFont="1" applyFill="1" applyBorder="1" applyAlignment="1">
      <alignment horizontal="center" vertical="center" wrapText="1"/>
    </xf>
    <xf numFmtId="2" fontId="3" fillId="85" borderId="10" xfId="0" applyNumberFormat="1" applyFont="1" applyFill="1" applyBorder="1" applyAlignment="1">
      <alignment horizontal="center" vertical="center" wrapText="1"/>
    </xf>
    <xf numFmtId="0" fontId="3" fillId="85" borderId="10" xfId="0" applyFont="1" applyFill="1" applyBorder="1" applyAlignment="1">
      <alignment horizontal="center" vertical="center"/>
    </xf>
    <xf numFmtId="0" fontId="3" fillId="85" borderId="10" xfId="0" applyFont="1" applyFill="1" applyBorder="1" applyAlignment="1">
      <alignment horizontal="left" vertical="center"/>
    </xf>
    <xf numFmtId="4" fontId="0" fillId="79" borderId="0" xfId="0" applyNumberFormat="1" applyFill="1">
      <alignment horizontal="left" vertical="center" wrapText="1"/>
    </xf>
    <xf numFmtId="0" fontId="24" fillId="87" borderId="10" xfId="0" applyFont="1" applyFill="1" applyBorder="1" applyAlignment="1">
      <alignment horizontal="left" vertical="center"/>
    </xf>
    <xf numFmtId="4" fontId="3" fillId="87" borderId="10" xfId="0" applyNumberFormat="1" applyFont="1" applyFill="1" applyBorder="1" applyAlignment="1">
      <alignment horizontal="center" vertical="center" wrapText="1"/>
    </xf>
    <xf numFmtId="1" fontId="3" fillId="87" borderId="10" xfId="0" applyNumberFormat="1" applyFont="1" applyFill="1" applyBorder="1" applyAlignment="1">
      <alignment horizontal="center" vertical="center" wrapText="1"/>
    </xf>
    <xf numFmtId="2" fontId="3" fillId="87" borderId="10" xfId="0" applyNumberFormat="1" applyFont="1" applyFill="1" applyBorder="1" applyAlignment="1">
      <alignment horizontal="center" vertical="center" wrapText="1"/>
    </xf>
    <xf numFmtId="0" fontId="3" fillId="87" borderId="10" xfId="0" applyFont="1" applyFill="1" applyBorder="1" applyAlignment="1">
      <alignment horizontal="center" vertical="center"/>
    </xf>
    <xf numFmtId="0" fontId="3" fillId="87" borderId="10" xfId="0" applyFont="1" applyFill="1" applyBorder="1" applyAlignment="1">
      <alignment horizontal="center" vertical="center" wrapText="1"/>
    </xf>
    <xf numFmtId="0" fontId="24" fillId="84" borderId="10" xfId="0" applyFont="1" applyFill="1" applyBorder="1" applyAlignment="1">
      <alignment horizontal="left" vertical="center"/>
    </xf>
    <xf numFmtId="0" fontId="3" fillId="84" borderId="10" xfId="0" applyFont="1" applyFill="1" applyBorder="1" applyAlignment="1">
      <alignment horizontal="center" vertical="center"/>
    </xf>
    <xf numFmtId="0" fontId="3" fillId="0" borderId="10" xfId="2054" applyFont="1" applyFill="1" applyBorder="1" applyAlignment="1">
      <alignment horizontal="left" vertical="center" wrapText="1"/>
    </xf>
    <xf numFmtId="0" fontId="3" fillId="0" borderId="10" xfId="2055" applyFont="1" applyFill="1" applyBorder="1" applyAlignment="1">
      <alignment horizontal="left" vertical="center"/>
    </xf>
    <xf numFmtId="0" fontId="3" fillId="0" borderId="10" xfId="2055" applyFont="1" applyFill="1" applyBorder="1" applyAlignment="1">
      <alignment horizontal="center" vertical="center"/>
    </xf>
    <xf numFmtId="0" fontId="3" fillId="0" borderId="36" xfId="2054" applyFont="1" applyFill="1" applyBorder="1" applyAlignment="1">
      <alignment horizontal="left" vertical="center" wrapText="1"/>
    </xf>
    <xf numFmtId="0" fontId="3" fillId="0" borderId="36" xfId="2055" applyFont="1" applyFill="1" applyBorder="1" applyAlignment="1">
      <alignment horizontal="left" vertical="center"/>
    </xf>
    <xf numFmtId="0" fontId="3" fillId="0" borderId="36" xfId="2055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" fillId="0" borderId="37" xfId="2054" applyFont="1" applyFill="1" applyBorder="1" applyAlignment="1">
      <alignment horizontal="left" vertical="center" wrapText="1"/>
    </xf>
    <xf numFmtId="0" fontId="3" fillId="0" borderId="37" xfId="2055" applyFont="1" applyFill="1" applyBorder="1" applyAlignment="1">
      <alignment horizontal="left" vertical="center"/>
    </xf>
    <xf numFmtId="0" fontId="3" fillId="0" borderId="37" xfId="2055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24" fillId="86" borderId="10" xfId="0" applyFont="1" applyFill="1" applyBorder="1" applyAlignment="1">
      <alignment horizontal="center" vertical="center" wrapText="1"/>
    </xf>
    <xf numFmtId="0" fontId="3" fillId="86" borderId="10" xfId="2054" applyFont="1" applyFill="1" applyBorder="1" applyAlignment="1">
      <alignment horizontal="left" vertical="center" wrapText="1"/>
    </xf>
    <xf numFmtId="0" fontId="3" fillId="86" borderId="10" xfId="2055" applyFont="1" applyFill="1" applyBorder="1" applyAlignment="1">
      <alignment horizontal="left" vertical="center"/>
    </xf>
    <xf numFmtId="0" fontId="3" fillId="86" borderId="10" xfId="2055" applyFont="1" applyFill="1" applyBorder="1" applyAlignment="1">
      <alignment horizontal="center" vertical="center"/>
    </xf>
    <xf numFmtId="4" fontId="3" fillId="86" borderId="13" xfId="0" applyNumberFormat="1" applyFont="1" applyFill="1" applyBorder="1" applyAlignment="1">
      <alignment horizontal="center" vertical="center" wrapText="1"/>
    </xf>
    <xf numFmtId="0" fontId="24" fillId="86" borderId="12" xfId="0" applyFont="1" applyFill="1" applyBorder="1" applyAlignment="1">
      <alignment horizontal="center" vertical="center" wrapText="1"/>
    </xf>
    <xf numFmtId="0" fontId="3" fillId="86" borderId="0" xfId="2054" applyFont="1" applyFill="1" applyBorder="1" applyAlignment="1">
      <alignment horizontal="left" vertical="center" wrapText="1"/>
    </xf>
    <xf numFmtId="0" fontId="3" fillId="86" borderId="0" xfId="2055" applyFont="1" applyFill="1" applyBorder="1" applyAlignment="1">
      <alignment horizontal="left" vertical="center"/>
    </xf>
    <xf numFmtId="0" fontId="3" fillId="86" borderId="0" xfId="2055" applyFont="1" applyFill="1" applyBorder="1" applyAlignment="1">
      <alignment horizontal="center" vertical="center"/>
    </xf>
    <xf numFmtId="4" fontId="3" fillId="86" borderId="12" xfId="0" applyNumberFormat="1" applyFont="1" applyFill="1" applyBorder="1" applyAlignment="1">
      <alignment horizontal="center" vertical="center" wrapText="1"/>
    </xf>
    <xf numFmtId="1" fontId="3" fillId="86" borderId="12" xfId="0" applyNumberFormat="1" applyFont="1" applyFill="1" applyBorder="1" applyAlignment="1">
      <alignment horizontal="center" vertical="center" wrapText="1"/>
    </xf>
    <xf numFmtId="0" fontId="3" fillId="0" borderId="10" xfId="2073" applyFont="1" applyFill="1" applyBorder="1" applyAlignment="1">
      <alignment horizontal="left" vertical="center" wrapText="1"/>
    </xf>
    <xf numFmtId="0" fontId="3" fillId="0" borderId="10" xfId="2075" applyFont="1" applyFill="1" applyBorder="1" applyAlignment="1">
      <alignment horizontal="left" vertical="center"/>
    </xf>
    <xf numFmtId="0" fontId="3" fillId="0" borderId="10" xfId="2075" applyFont="1" applyFill="1" applyBorder="1" applyAlignment="1">
      <alignment horizontal="center" vertical="center"/>
    </xf>
    <xf numFmtId="0" fontId="3" fillId="85" borderId="10" xfId="2073" applyFont="1" applyFill="1" applyBorder="1" applyAlignment="1">
      <alignment horizontal="left" vertical="center" wrapText="1"/>
    </xf>
    <xf numFmtId="0" fontId="3" fillId="85" borderId="10" xfId="2075" applyFont="1" applyFill="1" applyBorder="1" applyAlignment="1">
      <alignment horizontal="left" vertical="center"/>
    </xf>
    <xf numFmtId="0" fontId="3" fillId="85" borderId="10" xfId="2075" applyFont="1" applyFill="1" applyBorder="1" applyAlignment="1">
      <alignment horizontal="center" vertical="center"/>
    </xf>
    <xf numFmtId="2" fontId="24" fillId="85" borderId="10" xfId="0" applyNumberFormat="1" applyFont="1" applyFill="1" applyBorder="1" applyAlignment="1">
      <alignment horizontal="center" vertical="center"/>
    </xf>
    <xf numFmtId="0" fontId="0" fillId="85" borderId="0" xfId="0" applyFill="1">
      <alignment horizontal="left" vertical="center" wrapText="1"/>
    </xf>
    <xf numFmtId="4" fontId="0" fillId="85" borderId="0" xfId="0" applyNumberFormat="1" applyFill="1">
      <alignment horizontal="left" vertical="center" wrapText="1"/>
    </xf>
    <xf numFmtId="0" fontId="3" fillId="0" borderId="10" xfId="2093" applyFont="1" applyFill="1" applyBorder="1" applyAlignment="1">
      <alignment horizontal="left" vertical="center" wrapText="1"/>
    </xf>
    <xf numFmtId="0" fontId="3" fillId="0" borderId="10" xfId="2095" applyFont="1" applyFill="1" applyBorder="1" applyAlignment="1">
      <alignment horizontal="left" vertical="center"/>
    </xf>
    <xf numFmtId="0" fontId="3" fillId="0" borderId="10" xfId="2095" applyFont="1" applyFill="1" applyBorder="1" applyAlignment="1">
      <alignment horizontal="center" vertical="center"/>
    </xf>
    <xf numFmtId="0" fontId="3" fillId="0" borderId="10" xfId="2104" applyFont="1" applyFill="1" applyBorder="1" applyAlignment="1">
      <alignment horizontal="left" vertical="center" wrapText="1"/>
    </xf>
    <xf numFmtId="0" fontId="3" fillId="0" borderId="10" xfId="2106" applyFont="1" applyFill="1" applyBorder="1" applyAlignment="1">
      <alignment horizontal="left" vertical="center"/>
    </xf>
    <xf numFmtId="0" fontId="3" fillId="0" borderId="10" xfId="2106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center" vertical="center" wrapText="1"/>
    </xf>
    <xf numFmtId="0" fontId="3" fillId="0" borderId="10" xfId="214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2132" applyFont="1" applyFill="1" applyBorder="1" applyAlignment="1">
      <alignment horizontal="center" vertical="center" wrapText="1"/>
    </xf>
    <xf numFmtId="0" fontId="3" fillId="0" borderId="10" xfId="2132" applyFont="1" applyFill="1" applyBorder="1" applyAlignment="1">
      <alignment horizontal="left" vertical="center" wrapText="1"/>
    </xf>
    <xf numFmtId="0" fontId="3" fillId="0" borderId="10" xfId="213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left" vertical="center" wrapText="1"/>
    </xf>
    <xf numFmtId="0" fontId="3" fillId="0" borderId="10" xfId="2141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vertical="center" wrapText="1"/>
    </xf>
    <xf numFmtId="0" fontId="3" fillId="0" borderId="10" xfId="2141" applyFont="1" applyFill="1" applyBorder="1" applyAlignment="1">
      <alignment vertical="center"/>
    </xf>
    <xf numFmtId="0" fontId="3" fillId="0" borderId="10" xfId="2139" applyFont="1" applyFill="1" applyBorder="1" applyAlignment="1">
      <alignment vertical="center" wrapText="1"/>
    </xf>
    <xf numFmtId="0" fontId="3" fillId="0" borderId="10" xfId="2139" applyFont="1" applyFill="1" applyBorder="1" applyAlignment="1">
      <alignment vertical="center"/>
    </xf>
    <xf numFmtId="0" fontId="3" fillId="85" borderId="10" xfId="0" applyFont="1" applyFill="1" applyBorder="1" applyAlignment="1">
      <alignment vertical="center" wrapText="1"/>
    </xf>
    <xf numFmtId="0" fontId="3" fillId="85" borderId="10" xfId="0" applyFont="1" applyFill="1" applyBorder="1" applyAlignment="1">
      <alignment vertical="center"/>
    </xf>
    <xf numFmtId="0" fontId="3" fillId="85" borderId="10" xfId="2142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3" fillId="0" borderId="36" xfId="2050" applyFont="1" applyFill="1" applyBorder="1" applyAlignment="1">
      <alignment vertical="center" wrapText="1"/>
    </xf>
    <xf numFmtId="0" fontId="3" fillId="0" borderId="36" xfId="2051" applyFont="1" applyFill="1" applyBorder="1" applyAlignment="1">
      <alignment horizontal="left" vertical="center"/>
    </xf>
    <xf numFmtId="0" fontId="3" fillId="0" borderId="36" xfId="205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37" xfId="2050" applyFont="1" applyFill="1" applyBorder="1" applyAlignment="1">
      <alignment vertical="center" wrapText="1"/>
    </xf>
    <xf numFmtId="0" fontId="3" fillId="0" borderId="37" xfId="2051" applyFont="1" applyFill="1" applyBorder="1" applyAlignment="1">
      <alignment horizontal="left" vertical="center"/>
    </xf>
    <xf numFmtId="0" fontId="3" fillId="0" borderId="37" xfId="205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36" xfId="2036" applyFont="1" applyFill="1" applyBorder="1" applyAlignment="1">
      <alignment vertical="center" wrapText="1"/>
    </xf>
    <xf numFmtId="0" fontId="4" fillId="0" borderId="36" xfId="2042" applyFont="1" applyFill="1" applyBorder="1" applyAlignment="1">
      <alignment horizontal="left" vertical="center"/>
    </xf>
    <xf numFmtId="0" fontId="3" fillId="0" borderId="36" xfId="2040" applyFont="1" applyFill="1" applyBorder="1" applyAlignment="1">
      <alignment horizontal="center" vertical="center"/>
    </xf>
    <xf numFmtId="1" fontId="3" fillId="86" borderId="13" xfId="0" applyNumberFormat="1" applyFont="1" applyFill="1" applyBorder="1" applyAlignment="1">
      <alignment horizontal="center" vertical="center" wrapText="1"/>
    </xf>
    <xf numFmtId="0" fontId="3" fillId="0" borderId="36" xfId="2077" applyFont="1" applyFill="1" applyBorder="1" applyAlignment="1">
      <alignment horizontal="left" vertical="center" wrapText="1"/>
    </xf>
    <xf numFmtId="0" fontId="3" fillId="0" borderId="36" xfId="2079" applyFont="1" applyFill="1" applyBorder="1" applyAlignment="1">
      <alignment horizontal="left" vertical="center"/>
    </xf>
    <xf numFmtId="0" fontId="3" fillId="0" borderId="36" xfId="2079" applyFont="1" applyFill="1" applyBorder="1" applyAlignment="1">
      <alignment horizontal="center" vertical="center"/>
    </xf>
    <xf numFmtId="0" fontId="3" fillId="0" borderId="39" xfId="2098" applyFont="1" applyFill="1" applyBorder="1" applyAlignment="1">
      <alignment horizontal="left" vertical="center" wrapText="1"/>
    </xf>
    <xf numFmtId="0" fontId="3" fillId="0" borderId="36" xfId="2101" applyFont="1" applyFill="1" applyBorder="1" applyAlignment="1">
      <alignment horizontal="left" vertical="center"/>
    </xf>
    <xf numFmtId="0" fontId="3" fillId="0" borderId="36" xfId="2101" applyFont="1" applyFill="1" applyBorder="1" applyAlignment="1">
      <alignment horizontal="center" vertical="center"/>
    </xf>
    <xf numFmtId="0" fontId="3" fillId="0" borderId="39" xfId="2093" applyFont="1" applyFill="1" applyBorder="1" applyAlignment="1">
      <alignment horizontal="left" vertical="center" wrapText="1"/>
    </xf>
    <xf numFmtId="0" fontId="3" fillId="0" borderId="36" xfId="2095" applyFont="1" applyFill="1" applyBorder="1" applyAlignment="1">
      <alignment horizontal="left" vertical="center"/>
    </xf>
    <xf numFmtId="0" fontId="3" fillId="0" borderId="36" xfId="2095" applyFont="1" applyFill="1" applyBorder="1" applyAlignment="1">
      <alignment horizontal="center" vertical="center"/>
    </xf>
    <xf numFmtId="0" fontId="3" fillId="0" borderId="13" xfId="2108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2108" applyFont="1" applyFill="1" applyBorder="1" applyAlignment="1">
      <alignment horizontal="left" vertical="center" wrapText="1"/>
    </xf>
    <xf numFmtId="3" fontId="24" fillId="0" borderId="10" xfId="2139" applyNumberFormat="1" applyFont="1" applyFill="1" applyBorder="1" applyAlignment="1">
      <alignment horizontal="center" vertical="center" wrapText="1"/>
    </xf>
    <xf numFmtId="0" fontId="3" fillId="0" borderId="10" xfId="2132" applyFont="1" applyFill="1" applyBorder="1" applyAlignment="1">
      <alignment vertical="center" wrapText="1"/>
    </xf>
    <xf numFmtId="0" fontId="3" fillId="0" borderId="10" xfId="2132" applyFont="1" applyFill="1" applyBorder="1" applyAlignment="1">
      <alignment vertical="center"/>
    </xf>
    <xf numFmtId="3" fontId="3" fillId="87" borderId="10" xfId="0" applyNumberFormat="1" applyFont="1" applyFill="1" applyBorder="1" applyAlignment="1">
      <alignment horizontal="center" vertical="center"/>
    </xf>
    <xf numFmtId="0" fontId="0" fillId="87" borderId="0" xfId="0" applyFill="1">
      <alignment horizontal="left" vertical="center" wrapText="1"/>
    </xf>
    <xf numFmtId="4" fontId="3" fillId="87" borderId="10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3" fillId="86" borderId="13" xfId="2051" applyFont="1" applyFill="1" applyBorder="1" applyAlignment="1">
      <alignment horizontal="left" vertical="center"/>
    </xf>
    <xf numFmtId="0" fontId="3" fillId="86" borderId="13" xfId="2051" applyFont="1" applyFill="1" applyBorder="1" applyAlignment="1">
      <alignment horizontal="center" vertical="center"/>
    </xf>
    <xf numFmtId="0" fontId="3" fillId="86" borderId="13" xfId="0" applyFont="1" applyFill="1" applyBorder="1" applyAlignment="1">
      <alignment horizontal="center"/>
    </xf>
    <xf numFmtId="0" fontId="3" fillId="86" borderId="1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3" fillId="0" borderId="40" xfId="2058" applyFont="1" applyFill="1" applyBorder="1" applyAlignment="1">
      <alignment horizontal="left" vertical="center" wrapText="1"/>
    </xf>
    <xf numFmtId="0" fontId="3" fillId="0" borderId="40" xfId="2070" applyFont="1" applyFill="1" applyBorder="1" applyAlignment="1">
      <alignment horizontal="left" vertical="center"/>
    </xf>
    <xf numFmtId="0" fontId="3" fillId="0" borderId="40" xfId="207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0" fontId="63" fillId="86" borderId="10" xfId="2050" applyFont="1" applyFill="1" applyBorder="1" applyAlignment="1">
      <alignment vertical="center" wrapText="1"/>
    </xf>
    <xf numFmtId="0" fontId="3" fillId="0" borderId="10" xfId="2058" applyFont="1" applyFill="1" applyBorder="1" applyAlignment="1">
      <alignment horizontal="left" vertical="center" wrapText="1"/>
    </xf>
    <xf numFmtId="0" fontId="3" fillId="0" borderId="10" xfId="2070" applyFont="1" applyFill="1" applyBorder="1" applyAlignment="1">
      <alignment horizontal="left" vertical="center"/>
    </xf>
    <xf numFmtId="0" fontId="3" fillId="0" borderId="10" xfId="2070" applyFont="1" applyFill="1" applyBorder="1" applyAlignment="1">
      <alignment horizontal="center" vertical="center"/>
    </xf>
    <xf numFmtId="0" fontId="63" fillId="0" borderId="10" xfId="2139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left" wrapText="1"/>
    </xf>
    <xf numFmtId="0" fontId="3" fillId="0" borderId="10" xfId="2142" applyFont="1" applyFill="1" applyBorder="1" applyAlignment="1">
      <alignment horizontal="left"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30" fillId="0" borderId="10" xfId="2144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" fillId="88" borderId="10" xfId="0" applyFont="1" applyFill="1" applyBorder="1" applyAlignment="1">
      <alignment horizontal="left" vertical="center" wrapText="1"/>
    </xf>
    <xf numFmtId="0" fontId="24" fillId="88" borderId="10" xfId="2142" applyFont="1" applyFill="1" applyBorder="1" applyAlignment="1">
      <alignment vertical="center" wrapText="1"/>
    </xf>
    <xf numFmtId="0" fontId="3" fillId="88" borderId="10" xfId="2142" applyFont="1" applyFill="1" applyBorder="1" applyAlignment="1">
      <alignment horizontal="left" vertical="center" wrapText="1"/>
    </xf>
    <xf numFmtId="0" fontId="0" fillId="88" borderId="10" xfId="0" applyFill="1" applyBorder="1">
      <alignment horizontal="left" vertical="center" wrapText="1"/>
    </xf>
    <xf numFmtId="0" fontId="3" fillId="88" borderId="10" xfId="2143" applyFont="1" applyFill="1" applyBorder="1" applyAlignment="1">
      <alignment horizontal="left" vertical="center" wrapText="1"/>
    </xf>
    <xf numFmtId="0" fontId="30" fillId="0" borderId="10" xfId="2140" applyFont="1" applyFill="1" applyBorder="1" applyAlignment="1">
      <alignment horizontal="center" vertical="center" wrapText="1"/>
    </xf>
    <xf numFmtId="0" fontId="3" fillId="88" borderId="10" xfId="2140" applyFont="1" applyFill="1" applyBorder="1" applyAlignment="1">
      <alignment horizontal="left" vertical="center" wrapText="1"/>
    </xf>
    <xf numFmtId="0" fontId="3" fillId="88" borderId="10" xfId="2134" applyFont="1" applyFill="1" applyBorder="1" applyAlignment="1">
      <alignment horizontal="left" vertical="center" wrapText="1"/>
    </xf>
    <xf numFmtId="0" fontId="30" fillId="0" borderId="10" xfId="2132" applyFont="1" applyFill="1" applyBorder="1" applyAlignment="1">
      <alignment horizontal="center" vertical="center" wrapText="1"/>
    </xf>
    <xf numFmtId="0" fontId="3" fillId="88" borderId="10" xfId="2132" applyFont="1" applyFill="1" applyBorder="1" applyAlignment="1">
      <alignment horizontal="left" vertical="center" wrapText="1"/>
    </xf>
    <xf numFmtId="0" fontId="3" fillId="88" borderId="10" xfId="2144" applyFont="1" applyFill="1" applyBorder="1" applyAlignment="1">
      <alignment horizontal="left" vertical="center" wrapText="1"/>
    </xf>
    <xf numFmtId="0" fontId="30" fillId="0" borderId="11" xfId="2142" applyFont="1" applyFill="1" applyBorder="1" applyAlignment="1">
      <alignment horizontal="center" vertical="center" wrapText="1"/>
    </xf>
    <xf numFmtId="0" fontId="30" fillId="0" borderId="15" xfId="2142" applyFont="1" applyFill="1" applyBorder="1" applyAlignment="1">
      <alignment horizontal="center" vertical="center" wrapText="1"/>
    </xf>
    <xf numFmtId="0" fontId="30" fillId="0" borderId="14" xfId="2142" applyFont="1" applyFill="1" applyBorder="1" applyAlignment="1">
      <alignment horizontal="center" vertical="center" wrapText="1"/>
    </xf>
    <xf numFmtId="0" fontId="3" fillId="88" borderId="10" xfId="2139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0" fontId="3" fillId="88" borderId="20" xfId="0" applyFont="1" applyFill="1" applyBorder="1" applyAlignment="1">
      <alignment horizontal="left" vertical="center" wrapText="1"/>
    </xf>
    <xf numFmtId="0" fontId="3" fillId="88" borderId="17" xfId="0" applyFont="1" applyFill="1" applyBorder="1" applyAlignment="1">
      <alignment horizontal="left" vertical="center" wrapText="1"/>
    </xf>
    <xf numFmtId="0" fontId="3" fillId="88" borderId="10" xfId="0" applyFont="1" applyFill="1" applyBorder="1">
      <alignment horizontal="left" vertical="center" wrapText="1"/>
    </xf>
    <xf numFmtId="0" fontId="30" fillId="0" borderId="11" xfId="2143" applyFont="1" applyFill="1" applyBorder="1" applyAlignment="1">
      <alignment horizontal="center" vertical="center" wrapText="1"/>
    </xf>
    <xf numFmtId="0" fontId="30" fillId="0" borderId="15" xfId="2143" applyFont="1" applyFill="1" applyBorder="1" applyAlignment="1">
      <alignment horizontal="center" vertical="center" wrapText="1"/>
    </xf>
    <xf numFmtId="0" fontId="30" fillId="0" borderId="14" xfId="2143" applyFont="1" applyFill="1" applyBorder="1" applyAlignment="1">
      <alignment horizontal="center" vertical="center" wrapText="1"/>
    </xf>
    <xf numFmtId="0" fontId="24" fillId="88" borderId="10" xfId="2142" applyFont="1" applyFill="1" applyBorder="1" applyAlignment="1">
      <alignment horizontal="left" wrapText="1"/>
    </xf>
    <xf numFmtId="0" fontId="3" fillId="87" borderId="11" xfId="0" applyFont="1" applyFill="1" applyBorder="1" applyAlignment="1">
      <alignment horizontal="center" vertical="center" wrapText="1"/>
    </xf>
    <xf numFmtId="0" fontId="3" fillId="87" borderId="14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80" borderId="10" xfId="0" applyFont="1" applyFill="1" applyBorder="1" applyAlignment="1">
      <alignment horizontal="left" vertical="center" wrapText="1"/>
    </xf>
    <xf numFmtId="0" fontId="66" fillId="80" borderId="10" xfId="2140" applyFont="1" applyFill="1" applyBorder="1" applyAlignment="1">
      <alignment horizontal="left" vertical="center" wrapText="1"/>
    </xf>
    <xf numFmtId="0" fontId="66" fillId="80" borderId="10" xfId="2139" applyFont="1" applyFill="1" applyBorder="1" applyAlignment="1">
      <alignment horizontal="left" vertical="center" wrapText="1"/>
    </xf>
    <xf numFmtId="0" fontId="66" fillId="80" borderId="10" xfId="2141" applyFont="1" applyFill="1" applyBorder="1" applyAlignment="1">
      <alignment horizontal="left" vertical="center" wrapText="1"/>
    </xf>
    <xf numFmtId="0" fontId="66" fillId="80" borderId="10" xfId="2132" applyFont="1" applyFill="1" applyBorder="1" applyAlignment="1">
      <alignment horizontal="left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80" borderId="10" xfId="0" applyNumberFormat="1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80" borderId="10" xfId="2139" applyNumberFormat="1" applyFont="1" applyFill="1" applyBorder="1" applyAlignment="1">
      <alignment horizontal="left" vertical="center" wrapText="1"/>
    </xf>
    <xf numFmtId="0" fontId="66" fillId="80" borderId="12" xfId="0" applyFont="1" applyFill="1" applyBorder="1" applyAlignment="1">
      <alignment horizontal="left" vertical="center" wrapText="1"/>
    </xf>
    <xf numFmtId="0" fontId="25" fillId="79" borderId="0" xfId="0" applyFont="1" applyFill="1" applyAlignment="1">
      <alignment horizontal="center" vertical="center" wrapText="1"/>
    </xf>
    <xf numFmtId="0" fontId="25" fillId="79" borderId="0" xfId="0" applyFont="1" applyFill="1" applyAlignment="1">
      <alignment horizont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165" fontId="3" fillId="79" borderId="13" xfId="0" applyNumberFormat="1" applyFont="1" applyFill="1" applyBorder="1" applyAlignment="1">
      <alignment horizontal="center" vertical="center" textRotation="90" wrapText="1"/>
    </xf>
    <xf numFmtId="0" fontId="0" fillId="79" borderId="18" xfId="0" applyFill="1" applyBorder="1">
      <alignment horizontal="left" vertical="center" wrapText="1"/>
    </xf>
    <xf numFmtId="0" fontId="0" fillId="79" borderId="12" xfId="0" applyFill="1" applyBorder="1">
      <alignment horizontal="left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3" fillId="79" borderId="15" xfId="0" applyFont="1" applyFill="1" applyBorder="1" applyAlignment="1">
      <alignment horizontal="center" vertical="center" wrapText="1"/>
    </xf>
    <xf numFmtId="4" fontId="3" fillId="79" borderId="10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6" xfId="0" applyBorder="1">
      <alignment horizontal="left" vertical="center" wrapText="1"/>
    </xf>
    <xf numFmtId="0" fontId="0" fillId="0" borderId="32" xfId="0" applyBorder="1">
      <alignment horizontal="left" vertical="center" wrapText="1"/>
    </xf>
    <xf numFmtId="0" fontId="0" fillId="0" borderId="33" xfId="0" applyBorder="1">
      <alignment horizontal="left" vertical="center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79" borderId="0" xfId="0" applyFont="1" applyFill="1" applyBorder="1" applyAlignment="1">
      <alignment horizontal="center" vertical="center" wrapText="1"/>
    </xf>
    <xf numFmtId="165" fontId="3" fillId="79" borderId="13" xfId="0" applyNumberFormat="1" applyFont="1" applyFill="1" applyBorder="1" applyAlignment="1">
      <alignment horizontal="center" vertical="center" wrapText="1"/>
    </xf>
    <xf numFmtId="165" fontId="3" fillId="79" borderId="18" xfId="0" applyNumberFormat="1" applyFont="1" applyFill="1" applyBorder="1" applyAlignment="1">
      <alignment horizontal="center" vertical="center" wrapText="1"/>
    </xf>
    <xf numFmtId="165" fontId="3" fillId="79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81" borderId="13" xfId="0" applyNumberFormat="1" applyFont="1" applyFill="1" applyBorder="1" applyAlignment="1">
      <alignment horizontal="center" vertical="center" textRotation="90" wrapText="1"/>
    </xf>
    <xf numFmtId="4" fontId="3" fillId="81" borderId="12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4" fontId="3" fillId="81" borderId="13" xfId="0" applyNumberFormat="1" applyFont="1" applyFill="1" applyBorder="1" applyAlignment="1">
      <alignment horizontal="center" vertical="center" wrapText="1"/>
    </xf>
    <xf numFmtId="4" fontId="3" fillId="81" borderId="18" xfId="0" applyNumberFormat="1" applyFont="1" applyFill="1" applyBorder="1" applyAlignment="1">
      <alignment horizontal="center" vertical="center" wrapText="1"/>
    </xf>
    <xf numFmtId="4" fontId="3" fillId="81" borderId="12" xfId="0" applyNumberFormat="1" applyFont="1" applyFill="1" applyBorder="1" applyAlignment="1">
      <alignment horizontal="center" vertical="center" wrapText="1"/>
    </xf>
    <xf numFmtId="4" fontId="25" fillId="81" borderId="0" xfId="0" applyNumberFormat="1" applyFont="1" applyFill="1" applyBorder="1" applyAlignment="1">
      <alignment horizontal="right" vertical="center" wrapText="1"/>
    </xf>
    <xf numFmtId="4" fontId="3" fillId="83" borderId="35" xfId="0" applyNumberFormat="1" applyFont="1" applyFill="1" applyBorder="1" applyAlignment="1">
      <alignment horizontal="center" vertical="center" wrapText="1"/>
    </xf>
    <xf numFmtId="4" fontId="3" fillId="83" borderId="19" xfId="0" applyNumberFormat="1" applyFont="1" applyFill="1" applyBorder="1" applyAlignment="1">
      <alignment horizontal="center" vertical="center" wrapText="1"/>
    </xf>
    <xf numFmtId="4" fontId="3" fillId="83" borderId="16" xfId="0" applyNumberFormat="1" applyFont="1" applyFill="1" applyBorder="1" applyAlignment="1">
      <alignment horizontal="center" vertical="center" wrapText="1"/>
    </xf>
    <xf numFmtId="4" fontId="3" fillId="81" borderId="10" xfId="0" applyNumberFormat="1" applyFont="1" applyFill="1" applyBorder="1" applyAlignment="1">
      <alignment horizontal="center" vertical="center" wrapText="1"/>
    </xf>
    <xf numFmtId="4" fontId="3" fillId="83" borderId="13" xfId="0" applyNumberFormat="1" applyFont="1" applyFill="1" applyBorder="1" applyAlignment="1">
      <alignment horizontal="center" vertical="center" textRotation="90" wrapText="1"/>
    </xf>
    <xf numFmtId="4" fontId="3" fillId="83" borderId="12" xfId="0" applyNumberFormat="1" applyFont="1" applyFill="1" applyBorder="1" applyAlignment="1">
      <alignment horizontal="center" vertical="center" textRotation="90" wrapText="1"/>
    </xf>
    <xf numFmtId="4" fontId="3" fillId="82" borderId="10" xfId="0" applyNumberFormat="1" applyFont="1" applyFill="1" applyBorder="1" applyAlignment="1">
      <alignment horizontal="center" vertical="center" textRotation="90" wrapText="1"/>
    </xf>
    <xf numFmtId="4" fontId="3" fillId="83" borderId="13" xfId="0" applyNumberFormat="1" applyFont="1" applyFill="1" applyBorder="1" applyAlignment="1">
      <alignment horizontal="center" vertical="center" wrapText="1"/>
    </xf>
    <xf numFmtId="4" fontId="3" fillId="83" borderId="18" xfId="0" applyNumberFormat="1" applyFont="1" applyFill="1" applyBorder="1" applyAlignment="1">
      <alignment horizontal="center" vertical="center" wrapText="1"/>
    </xf>
    <xf numFmtId="4" fontId="3" fillId="83" borderId="12" xfId="0" applyNumberFormat="1" applyFont="1" applyFill="1" applyBorder="1" applyAlignment="1">
      <alignment horizontal="center" vertical="center" wrapText="1"/>
    </xf>
    <xf numFmtId="0" fontId="25" fillId="82" borderId="10" xfId="0" applyFont="1" applyFill="1" applyBorder="1" applyAlignment="1">
      <alignment horizontal="center" vertical="center" wrapText="1"/>
    </xf>
    <xf numFmtId="4" fontId="3" fillId="82" borderId="10" xfId="0" applyNumberFormat="1" applyFont="1" applyFill="1" applyBorder="1" applyAlignment="1">
      <alignment horizontal="center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>
      <alignment horizontal="left" vertical="center" wrapText="1"/>
    </xf>
    <xf numFmtId="0" fontId="63" fillId="0" borderId="33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2" fontId="63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33" xfId="0" applyFont="1" applyFill="1" applyBorder="1" applyAlignment="1">
      <alignment horizontal="left" vertical="center"/>
    </xf>
    <xf numFmtId="1" fontId="63" fillId="0" borderId="33" xfId="2137" applyNumberFormat="1" applyFont="1" applyFill="1" applyBorder="1" applyAlignment="1">
      <alignment horizontal="center" vertical="center"/>
    </xf>
    <xf numFmtId="0" fontId="63" fillId="0" borderId="12" xfId="2137" applyFont="1" applyFill="1" applyBorder="1" applyAlignment="1">
      <alignment horizontal="center" vertical="center"/>
    </xf>
    <xf numFmtId="0" fontId="63" fillId="0" borderId="32" xfId="2137" applyFont="1" applyFill="1" applyBorder="1" applyAlignment="1">
      <alignment horizontal="center" vertical="center"/>
    </xf>
    <xf numFmtId="0" fontId="63" fillId="0" borderId="33" xfId="2137" applyNumberFormat="1" applyFont="1" applyFill="1" applyBorder="1" applyAlignment="1">
      <alignment horizontal="center" vertical="center"/>
    </xf>
    <xf numFmtId="0" fontId="63" fillId="0" borderId="14" xfId="2054" applyFont="1" applyFill="1" applyBorder="1" applyAlignment="1">
      <alignment horizontal="left" vertical="center" wrapText="1"/>
    </xf>
    <xf numFmtId="0" fontId="63" fillId="0" borderId="14" xfId="2055" applyFont="1" applyFill="1" applyBorder="1" applyAlignment="1">
      <alignment horizontal="center" vertical="center" wrapText="1"/>
    </xf>
    <xf numFmtId="0" fontId="63" fillId="0" borderId="14" xfId="2056" applyFont="1" applyFill="1" applyBorder="1" applyAlignment="1">
      <alignment horizontal="center" vertical="center" wrapText="1"/>
    </xf>
    <xf numFmtId="4" fontId="63" fillId="0" borderId="11" xfId="2057" applyNumberFormat="1" applyFont="1" applyFill="1" applyBorder="1" applyAlignment="1">
      <alignment horizontal="center" vertical="center" wrapText="1"/>
    </xf>
    <xf numFmtId="0" fontId="63" fillId="0" borderId="11" xfId="2057" applyNumberFormat="1" applyFont="1" applyFill="1" applyBorder="1" applyAlignment="1">
      <alignment horizontal="center" vertical="center" wrapText="1"/>
    </xf>
    <xf numFmtId="0" fontId="67" fillId="0" borderId="10" xfId="2052" applyFont="1" applyFill="1" applyBorder="1" applyAlignment="1">
      <alignment horizontal="center" vertical="center" wrapText="1"/>
    </xf>
    <xf numFmtId="165" fontId="63" fillId="0" borderId="10" xfId="2053" applyNumberFormat="1" applyFont="1" applyFill="1" applyBorder="1" applyAlignment="1">
      <alignment horizontal="center" vertical="center" wrapText="1"/>
    </xf>
  </cellXfs>
  <cellStyles count="241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17%20-%202019%20&#1055;&#1045;&#1056;&#1045;&#1059;&#1058;&#1042;&#1045;&#1056;&#1046;&#1044;&#1045;&#1053;&#1048;&#1045;%20v%2021.0%20&#1091;&#1090;&#1074;.%2029.05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wer/&#1054;&#1090;&#1076;&#1077;&#1083;%20&#1060;&#1054;&#1056;&#1052;&#1048;&#1056;&#1054;&#1042;&#1040;&#1053;&#1048;&#1071;%20&#1056;&#1055;%20&#1080;%20&#1050;&#1057;&#1055;/&#1050;&#1088;&#1072;&#1090;&#1082;&#1086;&#1089;&#1088;&#1086;&#1095;&#1085;&#1099;&#1081;%20&#1087;&#1083;&#1072;&#1085;%202017-2019/&#1050;&#1057;&#1055;%202017%20-%202019%20&#1055;&#1045;&#1056;&#1045;&#1059;&#1058;&#1042;&#1045;&#1056;&#1046;&#1044;&#1045;&#1053;&#1048;&#1045;%20v%2028.0%20&#1057;&#1090;&#1072;&#1088;&#1072;&#1103;%20&#1092;&#1086;&#1088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2017"/>
      <sheetName val="2018"/>
    </sheetNames>
    <sheetDataSet>
      <sheetData sheetId="0" refreshError="1">
        <row r="133">
          <cell r="N133">
            <v>4896127.01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357">
          <cell r="T357">
            <v>4180</v>
          </cell>
        </row>
        <row r="362">
          <cell r="T362">
            <v>4503.95</v>
          </cell>
        </row>
        <row r="363">
          <cell r="T363">
            <v>4180</v>
          </cell>
        </row>
        <row r="364">
          <cell r="T364">
            <v>4180</v>
          </cell>
        </row>
        <row r="365">
          <cell r="T365">
            <v>4180</v>
          </cell>
        </row>
        <row r="366">
          <cell r="T366">
            <v>4180</v>
          </cell>
        </row>
        <row r="367">
          <cell r="T367">
            <v>4180</v>
          </cell>
        </row>
        <row r="368">
          <cell r="T368">
            <v>4180</v>
          </cell>
        </row>
        <row r="369">
          <cell r="T369">
            <v>4503.95</v>
          </cell>
        </row>
        <row r="370">
          <cell r="T370">
            <v>4180</v>
          </cell>
        </row>
        <row r="371">
          <cell r="T371">
            <v>4503.95</v>
          </cell>
        </row>
        <row r="372">
          <cell r="T372">
            <v>4503.95</v>
          </cell>
        </row>
        <row r="373">
          <cell r="T373">
            <v>4503.95</v>
          </cell>
        </row>
        <row r="374">
          <cell r="T374">
            <v>4503.95</v>
          </cell>
        </row>
        <row r="375">
          <cell r="T375">
            <v>4503.95</v>
          </cell>
        </row>
        <row r="376">
          <cell r="T376">
            <v>4180</v>
          </cell>
        </row>
        <row r="377">
          <cell r="T377">
            <v>4180</v>
          </cell>
        </row>
        <row r="378">
          <cell r="T378">
            <v>4180</v>
          </cell>
        </row>
        <row r="379">
          <cell r="T379">
            <v>4180</v>
          </cell>
        </row>
        <row r="380">
          <cell r="T380">
            <v>4180</v>
          </cell>
        </row>
        <row r="381">
          <cell r="T381">
            <v>4180</v>
          </cell>
        </row>
        <row r="382">
          <cell r="T382">
            <v>4503.95</v>
          </cell>
        </row>
        <row r="383">
          <cell r="T383">
            <v>4503.95</v>
          </cell>
        </row>
        <row r="384">
          <cell r="T384">
            <v>4503.95</v>
          </cell>
        </row>
        <row r="385">
          <cell r="T385">
            <v>4503.95</v>
          </cell>
        </row>
        <row r="386">
          <cell r="T386">
            <v>4180</v>
          </cell>
        </row>
        <row r="387">
          <cell r="T387">
            <v>4180</v>
          </cell>
        </row>
        <row r="388">
          <cell r="T388">
            <v>4503.95</v>
          </cell>
        </row>
        <row r="389">
          <cell r="T389">
            <v>4180</v>
          </cell>
        </row>
        <row r="390">
          <cell r="T390">
            <v>4180</v>
          </cell>
        </row>
        <row r="391">
          <cell r="T391">
            <v>4180</v>
          </cell>
        </row>
        <row r="392">
          <cell r="T392">
            <v>4180</v>
          </cell>
        </row>
        <row r="393">
          <cell r="T393">
            <v>4180</v>
          </cell>
        </row>
        <row r="394">
          <cell r="T394">
            <v>4180</v>
          </cell>
        </row>
        <row r="395">
          <cell r="T395">
            <v>4180</v>
          </cell>
        </row>
        <row r="396">
          <cell r="T396">
            <v>4180</v>
          </cell>
        </row>
        <row r="397">
          <cell r="T397">
            <v>4503.95</v>
          </cell>
        </row>
        <row r="398">
          <cell r="T398">
            <v>4503.95</v>
          </cell>
        </row>
        <row r="399">
          <cell r="T399">
            <v>4503.95</v>
          </cell>
        </row>
        <row r="400">
          <cell r="T400">
            <v>4180</v>
          </cell>
        </row>
        <row r="401">
          <cell r="T401">
            <v>4180</v>
          </cell>
        </row>
        <row r="402">
          <cell r="T402">
            <v>4180</v>
          </cell>
        </row>
        <row r="403">
          <cell r="T403">
            <v>4180</v>
          </cell>
        </row>
        <row r="404">
          <cell r="T404">
            <v>4180</v>
          </cell>
        </row>
        <row r="405">
          <cell r="T405">
            <v>4180</v>
          </cell>
        </row>
        <row r="406">
          <cell r="T406">
            <v>4180</v>
          </cell>
        </row>
        <row r="407">
          <cell r="T407">
            <v>4180</v>
          </cell>
        </row>
        <row r="408">
          <cell r="T408">
            <v>5307.5599999999995</v>
          </cell>
        </row>
        <row r="409">
          <cell r="T409">
            <v>4180</v>
          </cell>
        </row>
        <row r="410">
          <cell r="T410">
            <v>4503.95</v>
          </cell>
        </row>
        <row r="411">
          <cell r="T411">
            <v>4503.95</v>
          </cell>
        </row>
        <row r="412">
          <cell r="T412">
            <v>4503.95</v>
          </cell>
        </row>
        <row r="413">
          <cell r="T413">
            <v>4180</v>
          </cell>
        </row>
        <row r="414">
          <cell r="T414">
            <v>4180</v>
          </cell>
        </row>
        <row r="415">
          <cell r="T415">
            <v>4180</v>
          </cell>
        </row>
        <row r="416">
          <cell r="T416">
            <v>4180</v>
          </cell>
        </row>
        <row r="417">
          <cell r="T417">
            <v>4503.95</v>
          </cell>
        </row>
        <row r="418">
          <cell r="T418">
            <v>4180</v>
          </cell>
        </row>
        <row r="419">
          <cell r="T419">
            <v>4180</v>
          </cell>
        </row>
        <row r="420">
          <cell r="T420">
            <v>4180</v>
          </cell>
        </row>
        <row r="421">
          <cell r="T421">
            <v>4503.95</v>
          </cell>
        </row>
        <row r="422">
          <cell r="T422">
            <v>4503.95</v>
          </cell>
        </row>
        <row r="423">
          <cell r="T423">
            <v>4180</v>
          </cell>
        </row>
        <row r="424">
          <cell r="T424">
            <v>4180</v>
          </cell>
        </row>
        <row r="425">
          <cell r="T425">
            <v>4180</v>
          </cell>
        </row>
        <row r="426">
          <cell r="T426">
            <v>5307.5599999999995</v>
          </cell>
        </row>
        <row r="427">
          <cell r="T427">
            <v>4503.95</v>
          </cell>
        </row>
        <row r="428">
          <cell r="T428">
            <v>4180</v>
          </cell>
        </row>
        <row r="429">
          <cell r="T429">
            <v>4180</v>
          </cell>
        </row>
        <row r="430">
          <cell r="T430">
            <v>4180</v>
          </cell>
        </row>
        <row r="431">
          <cell r="T431">
            <v>4180</v>
          </cell>
        </row>
        <row r="432">
          <cell r="T432">
            <v>4180</v>
          </cell>
        </row>
        <row r="433">
          <cell r="K433">
            <v>1995.1</v>
          </cell>
          <cell r="T433">
            <v>1548.8444138138441</v>
          </cell>
        </row>
        <row r="434">
          <cell r="T434">
            <v>4180</v>
          </cell>
        </row>
        <row r="435">
          <cell r="T435">
            <v>4180</v>
          </cell>
        </row>
        <row r="436">
          <cell r="T436">
            <v>4180</v>
          </cell>
        </row>
        <row r="437">
          <cell r="T437">
            <v>4503.95</v>
          </cell>
        </row>
        <row r="438">
          <cell r="T438">
            <v>4180</v>
          </cell>
        </row>
        <row r="439">
          <cell r="T439">
            <v>4180</v>
          </cell>
        </row>
        <row r="440">
          <cell r="T440">
            <v>4180</v>
          </cell>
        </row>
        <row r="441">
          <cell r="T441">
            <v>4180</v>
          </cell>
        </row>
        <row r="442">
          <cell r="T442">
            <v>4180</v>
          </cell>
        </row>
        <row r="443">
          <cell r="T443">
            <v>4180</v>
          </cell>
        </row>
        <row r="444">
          <cell r="T444">
            <v>4180</v>
          </cell>
        </row>
        <row r="445">
          <cell r="T445">
            <v>4503.95</v>
          </cell>
        </row>
        <row r="446">
          <cell r="T446">
            <v>4503.95</v>
          </cell>
        </row>
        <row r="447">
          <cell r="T447">
            <v>4180</v>
          </cell>
        </row>
        <row r="448">
          <cell r="T448">
            <v>4180</v>
          </cell>
        </row>
        <row r="449">
          <cell r="T449">
            <v>4180</v>
          </cell>
        </row>
        <row r="450">
          <cell r="T450">
            <v>4180</v>
          </cell>
        </row>
        <row r="451">
          <cell r="T451">
            <v>4180</v>
          </cell>
        </row>
        <row r="452">
          <cell r="T452">
            <v>4180</v>
          </cell>
        </row>
        <row r="453">
          <cell r="T453">
            <v>4180</v>
          </cell>
        </row>
        <row r="454">
          <cell r="T454">
            <v>5307.5599999999995</v>
          </cell>
        </row>
        <row r="455">
          <cell r="T455">
            <v>4180</v>
          </cell>
        </row>
        <row r="456">
          <cell r="T456">
            <v>4503.95</v>
          </cell>
        </row>
        <row r="457">
          <cell r="T457">
            <v>4503.95</v>
          </cell>
        </row>
        <row r="458">
          <cell r="T458">
            <v>4180</v>
          </cell>
        </row>
        <row r="459">
          <cell r="T459">
            <v>4180</v>
          </cell>
        </row>
        <row r="460">
          <cell r="T460">
            <v>4180</v>
          </cell>
        </row>
        <row r="461">
          <cell r="T461">
            <v>4180</v>
          </cell>
        </row>
        <row r="462">
          <cell r="T462">
            <v>4180</v>
          </cell>
        </row>
        <row r="463">
          <cell r="T463">
            <v>4180</v>
          </cell>
        </row>
        <row r="464">
          <cell r="T464">
            <v>4180</v>
          </cell>
        </row>
        <row r="465">
          <cell r="T465">
            <v>4180</v>
          </cell>
        </row>
        <row r="466">
          <cell r="T466">
            <v>4180</v>
          </cell>
        </row>
        <row r="467">
          <cell r="T467">
            <v>3929.2</v>
          </cell>
        </row>
        <row r="468">
          <cell r="T468">
            <v>4180</v>
          </cell>
        </row>
        <row r="469">
          <cell r="T469">
            <v>4180</v>
          </cell>
        </row>
        <row r="470">
          <cell r="T470">
            <v>5307.5599999999995</v>
          </cell>
        </row>
        <row r="471">
          <cell r="T471">
            <v>5307.5599999999995</v>
          </cell>
        </row>
        <row r="472">
          <cell r="T472">
            <v>4503.95</v>
          </cell>
        </row>
        <row r="473">
          <cell r="T473">
            <v>4180</v>
          </cell>
        </row>
        <row r="474">
          <cell r="K474">
            <v>2311.8000000000002</v>
          </cell>
          <cell r="T474">
            <v>1336.6638506791244</v>
          </cell>
        </row>
        <row r="475">
          <cell r="T475">
            <v>4180</v>
          </cell>
        </row>
        <row r="476">
          <cell r="T476">
            <v>5307.5599999999995</v>
          </cell>
        </row>
        <row r="477">
          <cell r="T477">
            <v>4180</v>
          </cell>
        </row>
        <row r="478">
          <cell r="T478">
            <v>4180</v>
          </cell>
        </row>
        <row r="479">
          <cell r="T479">
            <v>5307.5599999999995</v>
          </cell>
        </row>
        <row r="480">
          <cell r="K480">
            <v>11532.2</v>
          </cell>
          <cell r="T480">
            <v>1607.7241931288045</v>
          </cell>
        </row>
        <row r="481">
          <cell r="K481">
            <v>3981.4</v>
          </cell>
          <cell r="T481">
            <v>1552.2677902245441</v>
          </cell>
        </row>
        <row r="482">
          <cell r="K482">
            <v>7353.82</v>
          </cell>
          <cell r="T482">
            <v>1680.81323176254</v>
          </cell>
        </row>
        <row r="483">
          <cell r="K483">
            <v>3288.1</v>
          </cell>
          <cell r="T483">
            <v>939.78269821477454</v>
          </cell>
        </row>
        <row r="502">
          <cell r="T502">
            <v>4180</v>
          </cell>
        </row>
        <row r="503">
          <cell r="J503">
            <v>576258.85999999987</v>
          </cell>
          <cell r="M503">
            <v>19185</v>
          </cell>
          <cell r="N503">
            <v>534022374.8300001</v>
          </cell>
        </row>
        <row r="505">
          <cell r="T505">
            <v>4503.95</v>
          </cell>
        </row>
        <row r="506">
          <cell r="T506">
            <v>3929.2</v>
          </cell>
        </row>
        <row r="507">
          <cell r="T507">
            <v>4503.95</v>
          </cell>
        </row>
        <row r="508">
          <cell r="T508">
            <v>4503.95</v>
          </cell>
        </row>
        <row r="511">
          <cell r="T511">
            <v>4984.6499999999996</v>
          </cell>
        </row>
        <row r="512">
          <cell r="J512">
            <v>22376.699999999997</v>
          </cell>
          <cell r="M512">
            <v>825</v>
          </cell>
          <cell r="N512">
            <v>30671549.82</v>
          </cell>
        </row>
        <row r="514">
          <cell r="T514">
            <v>4180</v>
          </cell>
        </row>
        <row r="515">
          <cell r="T515">
            <v>4180</v>
          </cell>
        </row>
        <row r="516">
          <cell r="T516">
            <v>5307.5599999999995</v>
          </cell>
        </row>
        <row r="517">
          <cell r="T517">
            <v>4180</v>
          </cell>
        </row>
        <row r="518">
          <cell r="T518">
            <v>4503.95</v>
          </cell>
        </row>
        <row r="519">
          <cell r="T519">
            <v>4180</v>
          </cell>
        </row>
        <row r="520">
          <cell r="T520">
            <v>4180</v>
          </cell>
        </row>
        <row r="521">
          <cell r="T521">
            <v>4180</v>
          </cell>
        </row>
        <row r="522">
          <cell r="T522">
            <v>4503.95</v>
          </cell>
        </row>
        <row r="523">
          <cell r="T523">
            <v>4180</v>
          </cell>
        </row>
        <row r="524">
          <cell r="T524">
            <v>4180</v>
          </cell>
        </row>
        <row r="525">
          <cell r="T525">
            <v>4180</v>
          </cell>
        </row>
        <row r="526">
          <cell r="T526">
            <v>4180</v>
          </cell>
        </row>
        <row r="527">
          <cell r="J527">
            <v>37695.800000000003</v>
          </cell>
          <cell r="M527">
            <v>1004</v>
          </cell>
          <cell r="N527">
            <v>35735340.399999999</v>
          </cell>
        </row>
        <row r="529">
          <cell r="T529">
            <v>4503.95</v>
          </cell>
        </row>
        <row r="530">
          <cell r="T530">
            <v>4503.95</v>
          </cell>
        </row>
        <row r="531">
          <cell r="T531">
            <v>4180</v>
          </cell>
        </row>
        <row r="532">
          <cell r="J532">
            <v>6134.9</v>
          </cell>
          <cell r="M532">
            <v>280</v>
          </cell>
          <cell r="N532">
            <v>7192170</v>
          </cell>
        </row>
        <row r="534">
          <cell r="T534">
            <v>4503.95</v>
          </cell>
        </row>
        <row r="535">
          <cell r="T535">
            <v>4503.95</v>
          </cell>
        </row>
        <row r="536">
          <cell r="T536">
            <v>4180</v>
          </cell>
        </row>
        <row r="537">
          <cell r="T537">
            <v>4503.95</v>
          </cell>
        </row>
        <row r="538">
          <cell r="T538">
            <v>4503.95</v>
          </cell>
        </row>
        <row r="539">
          <cell r="T539">
            <v>4503.95</v>
          </cell>
        </row>
        <row r="540">
          <cell r="T540">
            <v>4503.95</v>
          </cell>
        </row>
        <row r="541">
          <cell r="J541">
            <v>8592.82</v>
          </cell>
          <cell r="M541">
            <v>337</v>
          </cell>
          <cell r="N541">
            <v>14964394.000000002</v>
          </cell>
        </row>
        <row r="543">
          <cell r="T543">
            <v>4180</v>
          </cell>
        </row>
        <row r="544">
          <cell r="T544">
            <v>4503.95</v>
          </cell>
        </row>
        <row r="545">
          <cell r="T545">
            <v>4503.95</v>
          </cell>
        </row>
        <row r="546">
          <cell r="J546">
            <v>6889.5</v>
          </cell>
          <cell r="M546">
            <v>143</v>
          </cell>
          <cell r="N546">
            <v>8158175.4000000004</v>
          </cell>
        </row>
        <row r="548">
          <cell r="T548">
            <v>4503.95</v>
          </cell>
        </row>
        <row r="549">
          <cell r="T549">
            <v>4503.95</v>
          </cell>
        </row>
        <row r="550">
          <cell r="T550">
            <v>4503.95</v>
          </cell>
        </row>
        <row r="551">
          <cell r="T551">
            <v>4503.95</v>
          </cell>
        </row>
        <row r="552">
          <cell r="J552">
            <v>2482.71</v>
          </cell>
          <cell r="M552">
            <v>234</v>
          </cell>
          <cell r="N552">
            <v>6712167</v>
          </cell>
        </row>
        <row r="554">
          <cell r="T554">
            <v>4180</v>
          </cell>
        </row>
        <row r="555">
          <cell r="T555">
            <v>4180</v>
          </cell>
        </row>
        <row r="556">
          <cell r="T556">
            <v>4180</v>
          </cell>
        </row>
        <row r="557">
          <cell r="T557">
            <v>4503.95</v>
          </cell>
        </row>
        <row r="558">
          <cell r="T558">
            <v>4180</v>
          </cell>
        </row>
        <row r="559">
          <cell r="T559">
            <v>4180</v>
          </cell>
        </row>
        <row r="560">
          <cell r="T560">
            <v>4503.95</v>
          </cell>
        </row>
        <row r="561">
          <cell r="T561">
            <v>4503.95</v>
          </cell>
        </row>
        <row r="562">
          <cell r="T562">
            <v>4180</v>
          </cell>
        </row>
        <row r="563">
          <cell r="T563">
            <v>4180</v>
          </cell>
        </row>
        <row r="564">
          <cell r="T564">
            <v>5479.99</v>
          </cell>
        </row>
        <row r="565">
          <cell r="T565">
            <v>5479.99</v>
          </cell>
        </row>
        <row r="566">
          <cell r="T566">
            <v>4503.95</v>
          </cell>
        </row>
        <row r="567">
          <cell r="T567">
            <v>5307.56</v>
          </cell>
        </row>
        <row r="568">
          <cell r="T568">
            <v>4180</v>
          </cell>
        </row>
        <row r="569">
          <cell r="J569">
            <v>18377.260000000002</v>
          </cell>
          <cell r="M569">
            <v>721</v>
          </cell>
          <cell r="N569">
            <v>26785679.310000002</v>
          </cell>
        </row>
        <row r="571">
          <cell r="T571">
            <v>4984.6499999999996</v>
          </cell>
        </row>
        <row r="572">
          <cell r="T572">
            <v>4180</v>
          </cell>
        </row>
        <row r="573">
          <cell r="J573">
            <v>1160.4000000000001</v>
          </cell>
          <cell r="M573">
            <v>23</v>
          </cell>
          <cell r="N573">
            <v>1508098</v>
          </cell>
        </row>
        <row r="575">
          <cell r="T575">
            <v>4503.95</v>
          </cell>
        </row>
        <row r="576">
          <cell r="T576">
            <v>4180</v>
          </cell>
        </row>
        <row r="577">
          <cell r="J577">
            <v>2815.6</v>
          </cell>
          <cell r="M577">
            <v>47</v>
          </cell>
          <cell r="N577">
            <v>3458700</v>
          </cell>
        </row>
        <row r="579">
          <cell r="T579">
            <v>5307.5599999999995</v>
          </cell>
        </row>
        <row r="580">
          <cell r="J580">
            <v>2049.8000000000002</v>
          </cell>
          <cell r="M580">
            <v>18</v>
          </cell>
          <cell r="N580">
            <v>2911295.58</v>
          </cell>
        </row>
        <row r="582">
          <cell r="T582">
            <v>4503.95</v>
          </cell>
        </row>
        <row r="583">
          <cell r="J583">
            <v>531.5</v>
          </cell>
          <cell r="M583">
            <v>15</v>
          </cell>
          <cell r="N583">
            <v>1856316</v>
          </cell>
        </row>
        <row r="585">
          <cell r="T585">
            <v>4180</v>
          </cell>
        </row>
        <row r="586">
          <cell r="J586">
            <v>674.2</v>
          </cell>
          <cell r="M586">
            <v>15</v>
          </cell>
          <cell r="N586">
            <v>1583650</v>
          </cell>
        </row>
        <row r="588">
          <cell r="T588">
            <v>4180</v>
          </cell>
        </row>
        <row r="589">
          <cell r="J589">
            <v>1279.2</v>
          </cell>
          <cell r="M589">
            <v>230</v>
          </cell>
          <cell r="N589">
            <v>1667000</v>
          </cell>
        </row>
        <row r="591">
          <cell r="T591">
            <v>4180</v>
          </cell>
        </row>
        <row r="592">
          <cell r="T592">
            <v>4180</v>
          </cell>
        </row>
        <row r="593">
          <cell r="T593">
            <v>4503.95</v>
          </cell>
        </row>
        <row r="594">
          <cell r="T594">
            <v>4503.95</v>
          </cell>
        </row>
        <row r="595">
          <cell r="T595">
            <v>4503.95</v>
          </cell>
        </row>
        <row r="596">
          <cell r="T596">
            <v>4503.95</v>
          </cell>
        </row>
        <row r="597">
          <cell r="T597">
            <v>5307.56</v>
          </cell>
        </row>
        <row r="598">
          <cell r="T598">
            <v>4180</v>
          </cell>
        </row>
        <row r="599">
          <cell r="T599">
            <v>4180</v>
          </cell>
        </row>
        <row r="600">
          <cell r="T600">
            <v>4503.95</v>
          </cell>
        </row>
        <row r="601">
          <cell r="K601">
            <v>3837.7999999999997</v>
          </cell>
          <cell r="T601">
            <v>1610.3494137266143</v>
          </cell>
        </row>
        <row r="602">
          <cell r="J602">
            <v>33588.200000000004</v>
          </cell>
          <cell r="M602">
            <v>1660</v>
          </cell>
          <cell r="N602">
            <v>38180936.390000001</v>
          </cell>
        </row>
        <row r="604">
          <cell r="T604">
            <v>4180</v>
          </cell>
        </row>
        <row r="605">
          <cell r="J605">
            <v>3412.9</v>
          </cell>
          <cell r="M605">
            <v>17</v>
          </cell>
          <cell r="N605">
            <v>3113956</v>
          </cell>
        </row>
        <row r="607">
          <cell r="T607">
            <v>4180</v>
          </cell>
        </row>
        <row r="608">
          <cell r="J608">
            <v>4457.7</v>
          </cell>
          <cell r="M608">
            <v>128</v>
          </cell>
          <cell r="N608">
            <v>2757884.8</v>
          </cell>
        </row>
        <row r="610">
          <cell r="T610">
            <v>4180</v>
          </cell>
        </row>
        <row r="611">
          <cell r="T611">
            <v>4180</v>
          </cell>
        </row>
        <row r="612">
          <cell r="T612">
            <v>4180</v>
          </cell>
        </row>
        <row r="613">
          <cell r="T613">
            <v>4180</v>
          </cell>
        </row>
        <row r="614">
          <cell r="J614">
            <v>23359.39</v>
          </cell>
          <cell r="M614">
            <v>602</v>
          </cell>
          <cell r="N614">
            <v>14919650</v>
          </cell>
        </row>
        <row r="616">
          <cell r="T616">
            <v>4503.95</v>
          </cell>
        </row>
        <row r="617">
          <cell r="J617">
            <v>535.29999999999995</v>
          </cell>
          <cell r="M617">
            <v>12</v>
          </cell>
          <cell r="N617">
            <v>986370</v>
          </cell>
        </row>
        <row r="619">
          <cell r="T619">
            <v>4503.95</v>
          </cell>
        </row>
        <row r="620">
          <cell r="T620">
            <v>4503.95</v>
          </cell>
        </row>
        <row r="621">
          <cell r="T621">
            <v>4503.95</v>
          </cell>
        </row>
        <row r="622">
          <cell r="T622">
            <v>4503.95</v>
          </cell>
        </row>
        <row r="623">
          <cell r="T623">
            <v>4503.95</v>
          </cell>
        </row>
        <row r="624">
          <cell r="T624">
            <v>4503.95</v>
          </cell>
        </row>
        <row r="625">
          <cell r="J625">
            <v>3288.44</v>
          </cell>
          <cell r="M625">
            <v>389</v>
          </cell>
          <cell r="N625">
            <v>8109125.6399999997</v>
          </cell>
        </row>
        <row r="627">
          <cell r="T627">
            <v>4503.95</v>
          </cell>
        </row>
        <row r="628">
          <cell r="T628">
            <v>4503.95</v>
          </cell>
        </row>
        <row r="629">
          <cell r="T629">
            <v>4503.95</v>
          </cell>
        </row>
        <row r="630">
          <cell r="J630">
            <v>2197.6999999999998</v>
          </cell>
          <cell r="M630">
            <v>87</v>
          </cell>
          <cell r="N630">
            <v>6133960.1399999997</v>
          </cell>
        </row>
        <row r="632">
          <cell r="T632">
            <v>4503.95</v>
          </cell>
        </row>
        <row r="633">
          <cell r="J633">
            <v>390</v>
          </cell>
          <cell r="M633">
            <v>12</v>
          </cell>
          <cell r="N633">
            <v>1300068</v>
          </cell>
        </row>
        <row r="635">
          <cell r="T635">
            <v>4503.95</v>
          </cell>
        </row>
        <row r="636">
          <cell r="J636">
            <v>621.23</v>
          </cell>
          <cell r="M636">
            <v>19</v>
          </cell>
          <cell r="N636">
            <v>1827210</v>
          </cell>
        </row>
        <row r="638">
          <cell r="T638">
            <v>4984.6499999999996</v>
          </cell>
        </row>
        <row r="639">
          <cell r="T639">
            <v>4984.6499999999996</v>
          </cell>
        </row>
        <row r="640">
          <cell r="T640">
            <v>4984.6499999999996</v>
          </cell>
        </row>
        <row r="641">
          <cell r="T641">
            <v>322.91000000000003</v>
          </cell>
        </row>
        <row r="642">
          <cell r="T642">
            <v>4984.6499999999996</v>
          </cell>
        </row>
        <row r="643">
          <cell r="J643">
            <v>3958.7000000000003</v>
          </cell>
          <cell r="M643">
            <v>127</v>
          </cell>
          <cell r="N643">
            <v>906489.5</v>
          </cell>
        </row>
        <row r="645">
          <cell r="T645">
            <v>4503.95</v>
          </cell>
        </row>
        <row r="646">
          <cell r="J646">
            <v>661.2</v>
          </cell>
          <cell r="M646">
            <v>24</v>
          </cell>
          <cell r="N646">
            <v>1667579.76</v>
          </cell>
        </row>
        <row r="648">
          <cell r="T648">
            <v>4180</v>
          </cell>
        </row>
        <row r="649">
          <cell r="T649">
            <v>4180</v>
          </cell>
        </row>
        <row r="650">
          <cell r="J650">
            <v>4790.3399999999992</v>
          </cell>
          <cell r="M650">
            <v>172</v>
          </cell>
          <cell r="N650">
            <v>5712142.2000000002</v>
          </cell>
        </row>
        <row r="652">
          <cell r="T652">
            <v>4503.95</v>
          </cell>
        </row>
        <row r="653">
          <cell r="T653">
            <v>4503.95</v>
          </cell>
        </row>
        <row r="654">
          <cell r="J654">
            <v>3080.92</v>
          </cell>
          <cell r="M654">
            <v>133</v>
          </cell>
          <cell r="N654">
            <v>4558646.4000000004</v>
          </cell>
        </row>
        <row r="656">
          <cell r="T656">
            <v>4503.95</v>
          </cell>
        </row>
        <row r="657">
          <cell r="T657">
            <v>4503.95</v>
          </cell>
        </row>
        <row r="658">
          <cell r="J658">
            <v>2200.6</v>
          </cell>
          <cell r="M658">
            <v>58</v>
          </cell>
          <cell r="N658">
            <v>3180056.88</v>
          </cell>
        </row>
        <row r="660">
          <cell r="T660">
            <v>4503.95</v>
          </cell>
        </row>
        <row r="661">
          <cell r="T661">
            <v>4503.95</v>
          </cell>
        </row>
        <row r="662">
          <cell r="T662">
            <v>4503.95</v>
          </cell>
        </row>
        <row r="663">
          <cell r="J663">
            <v>1659.8</v>
          </cell>
          <cell r="M663">
            <v>71</v>
          </cell>
          <cell r="N663">
            <v>3528294</v>
          </cell>
        </row>
        <row r="665">
          <cell r="T665">
            <v>4180</v>
          </cell>
        </row>
        <row r="666">
          <cell r="J666">
            <v>934.9</v>
          </cell>
          <cell r="M666">
            <v>27</v>
          </cell>
          <cell r="N666">
            <v>2790891.4</v>
          </cell>
        </row>
        <row r="668">
          <cell r="T668">
            <v>4503.95</v>
          </cell>
        </row>
        <row r="669">
          <cell r="J669">
            <v>996.3</v>
          </cell>
          <cell r="M669">
            <v>41</v>
          </cell>
          <cell r="N669">
            <v>2170014</v>
          </cell>
        </row>
        <row r="671">
          <cell r="T671">
            <v>4503.95</v>
          </cell>
        </row>
        <row r="672">
          <cell r="J672">
            <v>311.3</v>
          </cell>
          <cell r="M672">
            <v>12</v>
          </cell>
          <cell r="N672">
            <v>1067220</v>
          </cell>
        </row>
        <row r="674">
          <cell r="T674">
            <v>4503.95</v>
          </cell>
        </row>
        <row r="675">
          <cell r="T675">
            <v>4503.95</v>
          </cell>
        </row>
        <row r="676">
          <cell r="T676">
            <v>4503.95</v>
          </cell>
        </row>
        <row r="677">
          <cell r="J677">
            <v>1745.2</v>
          </cell>
          <cell r="M677">
            <v>79</v>
          </cell>
          <cell r="N677">
            <v>4699002</v>
          </cell>
        </row>
        <row r="679">
          <cell r="T679">
            <v>4180</v>
          </cell>
        </row>
        <row r="680">
          <cell r="T680">
            <v>4180</v>
          </cell>
        </row>
        <row r="681">
          <cell r="T681">
            <v>4503.95</v>
          </cell>
        </row>
        <row r="682">
          <cell r="T682">
            <v>4503.95</v>
          </cell>
        </row>
        <row r="683">
          <cell r="T683">
            <v>4503.95</v>
          </cell>
        </row>
        <row r="684">
          <cell r="T684">
            <v>4503.95</v>
          </cell>
        </row>
        <row r="685">
          <cell r="T685">
            <v>4503.95</v>
          </cell>
        </row>
        <row r="686">
          <cell r="J686">
            <v>3001.02</v>
          </cell>
          <cell r="M686">
            <v>156</v>
          </cell>
          <cell r="N686">
            <v>7184721.4000000004</v>
          </cell>
        </row>
        <row r="688">
          <cell r="T688">
            <v>4503.95</v>
          </cell>
        </row>
        <row r="689">
          <cell r="J689">
            <v>412.31</v>
          </cell>
          <cell r="M689">
            <v>23</v>
          </cell>
          <cell r="N689">
            <v>1106028</v>
          </cell>
        </row>
        <row r="691">
          <cell r="T691">
            <v>4503.95</v>
          </cell>
        </row>
        <row r="692">
          <cell r="T692">
            <v>4180</v>
          </cell>
        </row>
        <row r="693">
          <cell r="T693">
            <v>4503.95</v>
          </cell>
        </row>
        <row r="694">
          <cell r="T694">
            <v>4180</v>
          </cell>
        </row>
        <row r="695">
          <cell r="T695">
            <v>4180</v>
          </cell>
        </row>
        <row r="696">
          <cell r="T696">
            <v>4503.95</v>
          </cell>
        </row>
        <row r="697">
          <cell r="T697">
            <v>4503.95</v>
          </cell>
        </row>
        <row r="698">
          <cell r="T698">
            <v>4503.95</v>
          </cell>
        </row>
        <row r="699">
          <cell r="T699">
            <v>4503.95</v>
          </cell>
        </row>
        <row r="700">
          <cell r="T700">
            <v>4180</v>
          </cell>
        </row>
        <row r="701">
          <cell r="J701">
            <v>10865.14</v>
          </cell>
          <cell r="M701">
            <v>587</v>
          </cell>
          <cell r="N701">
            <v>17512634.579999998</v>
          </cell>
        </row>
        <row r="705">
          <cell r="T705">
            <v>4503.95</v>
          </cell>
        </row>
        <row r="706">
          <cell r="T706">
            <v>4503.95</v>
          </cell>
        </row>
        <row r="707">
          <cell r="T707">
            <v>4180</v>
          </cell>
        </row>
        <row r="708">
          <cell r="T708">
            <v>4180</v>
          </cell>
        </row>
        <row r="709">
          <cell r="T709">
            <v>4180</v>
          </cell>
        </row>
        <row r="710">
          <cell r="T710">
            <v>4180</v>
          </cell>
        </row>
        <row r="711">
          <cell r="T711">
            <v>4180</v>
          </cell>
        </row>
        <row r="712">
          <cell r="T712">
            <v>4180</v>
          </cell>
        </row>
        <row r="713">
          <cell r="T713">
            <v>4180</v>
          </cell>
        </row>
        <row r="714">
          <cell r="T714">
            <v>4180</v>
          </cell>
        </row>
        <row r="715">
          <cell r="T715">
            <v>4180</v>
          </cell>
        </row>
        <row r="716">
          <cell r="T716">
            <v>4180</v>
          </cell>
        </row>
        <row r="717">
          <cell r="T717">
            <v>4180</v>
          </cell>
        </row>
        <row r="718">
          <cell r="T718">
            <v>4180</v>
          </cell>
        </row>
        <row r="719">
          <cell r="T719">
            <v>4180</v>
          </cell>
        </row>
        <row r="720">
          <cell r="T720">
            <v>4180</v>
          </cell>
        </row>
        <row r="721">
          <cell r="T721">
            <v>4180</v>
          </cell>
        </row>
        <row r="722">
          <cell r="T722">
            <v>4180</v>
          </cell>
        </row>
        <row r="723">
          <cell r="T723">
            <v>4180</v>
          </cell>
        </row>
        <row r="724">
          <cell r="T724">
            <v>4180</v>
          </cell>
        </row>
        <row r="725">
          <cell r="T725">
            <v>4180</v>
          </cell>
        </row>
        <row r="726">
          <cell r="T726">
            <v>4180</v>
          </cell>
        </row>
        <row r="727">
          <cell r="T727">
            <v>5307.5599999999995</v>
          </cell>
        </row>
        <row r="728">
          <cell r="T728">
            <v>4180</v>
          </cell>
        </row>
        <row r="729">
          <cell r="T729">
            <v>4180</v>
          </cell>
        </row>
        <row r="730">
          <cell r="T730">
            <v>4180</v>
          </cell>
        </row>
        <row r="731">
          <cell r="T731">
            <v>4180</v>
          </cell>
        </row>
        <row r="732">
          <cell r="T732">
            <v>4503.95</v>
          </cell>
        </row>
        <row r="733">
          <cell r="T733">
            <v>4180</v>
          </cell>
        </row>
        <row r="734">
          <cell r="T734">
            <v>4180</v>
          </cell>
        </row>
        <row r="735">
          <cell r="T735">
            <v>4180</v>
          </cell>
        </row>
        <row r="736">
          <cell r="T736">
            <v>4180</v>
          </cell>
        </row>
        <row r="737">
          <cell r="T737">
            <v>4180</v>
          </cell>
        </row>
        <row r="738">
          <cell r="T738">
            <v>4180</v>
          </cell>
        </row>
        <row r="739">
          <cell r="T739">
            <v>4180</v>
          </cell>
        </row>
        <row r="740">
          <cell r="T740">
            <v>4503.95</v>
          </cell>
        </row>
        <row r="741">
          <cell r="T741">
            <v>4180</v>
          </cell>
        </row>
        <row r="742">
          <cell r="T742">
            <v>4180</v>
          </cell>
        </row>
        <row r="743">
          <cell r="T743">
            <v>4180</v>
          </cell>
        </row>
        <row r="744">
          <cell r="T744">
            <v>4503.95</v>
          </cell>
        </row>
        <row r="745">
          <cell r="T745">
            <v>4180</v>
          </cell>
        </row>
        <row r="746">
          <cell r="T746">
            <v>4180</v>
          </cell>
        </row>
        <row r="747">
          <cell r="T747">
            <v>4503.95</v>
          </cell>
        </row>
        <row r="748">
          <cell r="T748">
            <v>4180</v>
          </cell>
        </row>
        <row r="749">
          <cell r="T749">
            <v>4503.95</v>
          </cell>
        </row>
        <row r="750">
          <cell r="T750">
            <v>4503.95</v>
          </cell>
        </row>
        <row r="751">
          <cell r="T751">
            <v>4503.95</v>
          </cell>
        </row>
        <row r="752">
          <cell r="T752">
            <v>4503.95</v>
          </cell>
        </row>
        <row r="753">
          <cell r="T753">
            <v>4180</v>
          </cell>
        </row>
        <row r="754">
          <cell r="T754">
            <v>4503.95</v>
          </cell>
        </row>
        <row r="755">
          <cell r="T755">
            <v>4180</v>
          </cell>
        </row>
        <row r="756">
          <cell r="T756">
            <v>4503.95</v>
          </cell>
        </row>
        <row r="757">
          <cell r="T757">
            <v>4503.95</v>
          </cell>
        </row>
        <row r="758">
          <cell r="T758">
            <v>4503.95</v>
          </cell>
        </row>
        <row r="759">
          <cell r="T759">
            <v>4503.95</v>
          </cell>
        </row>
        <row r="760">
          <cell r="T760">
            <v>4180</v>
          </cell>
        </row>
        <row r="761">
          <cell r="T761">
            <v>4503.95</v>
          </cell>
        </row>
        <row r="762">
          <cell r="T762">
            <v>4180</v>
          </cell>
        </row>
        <row r="763">
          <cell r="T763">
            <v>4180</v>
          </cell>
        </row>
        <row r="764">
          <cell r="T764">
            <v>4180</v>
          </cell>
        </row>
        <row r="765">
          <cell r="T765">
            <v>4180</v>
          </cell>
        </row>
        <row r="766">
          <cell r="T766">
            <v>4180</v>
          </cell>
        </row>
        <row r="767">
          <cell r="T767">
            <v>4180</v>
          </cell>
        </row>
        <row r="768">
          <cell r="T768">
            <v>4180</v>
          </cell>
        </row>
        <row r="769">
          <cell r="T769">
            <v>4180</v>
          </cell>
        </row>
        <row r="770">
          <cell r="T770">
            <v>4180</v>
          </cell>
        </row>
        <row r="771">
          <cell r="T771">
            <v>4180</v>
          </cell>
        </row>
        <row r="772">
          <cell r="T772">
            <v>4180</v>
          </cell>
        </row>
        <row r="773">
          <cell r="T773">
            <v>4180</v>
          </cell>
        </row>
        <row r="774">
          <cell r="T774">
            <v>4180</v>
          </cell>
        </row>
        <row r="775">
          <cell r="T775">
            <v>4180</v>
          </cell>
        </row>
        <row r="776">
          <cell r="T776">
            <v>4180</v>
          </cell>
        </row>
        <row r="777">
          <cell r="T777">
            <v>4503.95</v>
          </cell>
        </row>
        <row r="778">
          <cell r="T778">
            <v>4180</v>
          </cell>
        </row>
        <row r="779">
          <cell r="T779">
            <v>4180</v>
          </cell>
        </row>
        <row r="780">
          <cell r="T780">
            <v>4180</v>
          </cell>
        </row>
        <row r="781">
          <cell r="T781">
            <v>4180</v>
          </cell>
        </row>
        <row r="782">
          <cell r="T782">
            <v>4180</v>
          </cell>
        </row>
        <row r="783">
          <cell r="T783">
            <v>4180</v>
          </cell>
        </row>
        <row r="784">
          <cell r="T784">
            <v>4180</v>
          </cell>
        </row>
        <row r="785">
          <cell r="T785">
            <v>4180</v>
          </cell>
        </row>
        <row r="786">
          <cell r="T786">
            <v>4180</v>
          </cell>
        </row>
        <row r="787">
          <cell r="T787">
            <v>4180</v>
          </cell>
        </row>
        <row r="788">
          <cell r="T788">
            <v>4180</v>
          </cell>
        </row>
        <row r="789">
          <cell r="T789">
            <v>4180</v>
          </cell>
        </row>
        <row r="790">
          <cell r="T790">
            <v>4180</v>
          </cell>
        </row>
        <row r="791">
          <cell r="T791">
            <v>4180</v>
          </cell>
        </row>
        <row r="792">
          <cell r="T792">
            <v>4180</v>
          </cell>
        </row>
        <row r="793">
          <cell r="T793">
            <v>4180</v>
          </cell>
        </row>
        <row r="794">
          <cell r="T794">
            <v>4503.95</v>
          </cell>
        </row>
        <row r="795">
          <cell r="T795">
            <v>4180</v>
          </cell>
        </row>
        <row r="796">
          <cell r="T796">
            <v>4180</v>
          </cell>
        </row>
        <row r="797">
          <cell r="T797">
            <v>4503.95</v>
          </cell>
        </row>
        <row r="798">
          <cell r="T798">
            <v>4180</v>
          </cell>
        </row>
        <row r="799">
          <cell r="T799">
            <v>4180</v>
          </cell>
        </row>
        <row r="800">
          <cell r="T800">
            <v>4180</v>
          </cell>
        </row>
        <row r="801">
          <cell r="T801">
            <v>4180</v>
          </cell>
        </row>
        <row r="802">
          <cell r="T802">
            <v>4503.95</v>
          </cell>
        </row>
        <row r="803">
          <cell r="T803">
            <v>4503.95</v>
          </cell>
        </row>
        <row r="804">
          <cell r="T804">
            <v>4180</v>
          </cell>
        </row>
        <row r="805">
          <cell r="T805">
            <v>4180</v>
          </cell>
        </row>
        <row r="806">
          <cell r="T806">
            <v>4180</v>
          </cell>
        </row>
        <row r="807">
          <cell r="T807">
            <v>4180</v>
          </cell>
        </row>
        <row r="808">
          <cell r="T808">
            <v>4180</v>
          </cell>
        </row>
        <row r="809">
          <cell r="T809">
            <v>4503.95</v>
          </cell>
        </row>
        <row r="810">
          <cell r="T810">
            <v>4180</v>
          </cell>
        </row>
        <row r="811">
          <cell r="T811">
            <v>4503.95</v>
          </cell>
        </row>
        <row r="812">
          <cell r="T812">
            <v>4503.95</v>
          </cell>
        </row>
        <row r="813">
          <cell r="T813">
            <v>4180</v>
          </cell>
        </row>
        <row r="814">
          <cell r="T814">
            <v>4503.95</v>
          </cell>
        </row>
        <row r="815">
          <cell r="T815">
            <v>4180</v>
          </cell>
        </row>
        <row r="816">
          <cell r="T816">
            <v>4180</v>
          </cell>
        </row>
        <row r="817">
          <cell r="T817">
            <v>4180</v>
          </cell>
        </row>
        <row r="818">
          <cell r="T818">
            <v>4180</v>
          </cell>
        </row>
        <row r="819">
          <cell r="T819">
            <v>4180</v>
          </cell>
        </row>
        <row r="820">
          <cell r="T820">
            <v>4503.95</v>
          </cell>
        </row>
        <row r="821">
          <cell r="T821">
            <v>4503.95</v>
          </cell>
        </row>
        <row r="822">
          <cell r="T822">
            <v>4503.95</v>
          </cell>
        </row>
        <row r="823">
          <cell r="T823">
            <v>4503.95</v>
          </cell>
        </row>
        <row r="824">
          <cell r="T824">
            <v>4503.95</v>
          </cell>
        </row>
        <row r="825">
          <cell r="T825">
            <v>4503.95</v>
          </cell>
        </row>
        <row r="826">
          <cell r="T826">
            <v>4180</v>
          </cell>
        </row>
        <row r="827">
          <cell r="T827">
            <v>4180</v>
          </cell>
        </row>
        <row r="828">
          <cell r="T828">
            <v>5307.5599999999995</v>
          </cell>
        </row>
        <row r="829">
          <cell r="T829">
            <v>4180</v>
          </cell>
        </row>
        <row r="830">
          <cell r="K830">
            <v>8181.4000000000005</v>
          </cell>
          <cell r="T830">
            <v>1510.7925245068081</v>
          </cell>
        </row>
        <row r="831">
          <cell r="K831">
            <v>9736.89</v>
          </cell>
        </row>
        <row r="835">
          <cell r="T835">
            <v>4503.95</v>
          </cell>
        </row>
        <row r="836">
          <cell r="J836">
            <v>591117.16999999993</v>
          </cell>
          <cell r="M836">
            <v>22415</v>
          </cell>
          <cell r="N836">
            <v>516605060.58999997</v>
          </cell>
        </row>
        <row r="838">
          <cell r="T838">
            <v>4503.95</v>
          </cell>
        </row>
        <row r="839">
          <cell r="T839">
            <v>4180</v>
          </cell>
        </row>
        <row r="840">
          <cell r="T840">
            <v>4180</v>
          </cell>
        </row>
        <row r="841">
          <cell r="T841">
            <v>4180</v>
          </cell>
        </row>
        <row r="842">
          <cell r="T842">
            <v>4503.95</v>
          </cell>
        </row>
        <row r="843">
          <cell r="T843">
            <v>4503.95</v>
          </cell>
        </row>
        <row r="844">
          <cell r="T844">
            <v>4503.95</v>
          </cell>
        </row>
        <row r="845">
          <cell r="J845">
            <v>22672.400000000001</v>
          </cell>
          <cell r="M845">
            <v>994</v>
          </cell>
          <cell r="N845">
            <v>26325416.399999999</v>
          </cell>
        </row>
        <row r="847">
          <cell r="T847">
            <v>4180</v>
          </cell>
        </row>
        <row r="848">
          <cell r="T848">
            <v>4180</v>
          </cell>
        </row>
        <row r="849">
          <cell r="T849">
            <v>4180</v>
          </cell>
        </row>
        <row r="850">
          <cell r="T850">
            <v>4180</v>
          </cell>
        </row>
        <row r="851">
          <cell r="T851">
            <v>4180</v>
          </cell>
        </row>
        <row r="852">
          <cell r="T852">
            <v>4180</v>
          </cell>
        </row>
        <row r="853">
          <cell r="T853">
            <v>4180</v>
          </cell>
        </row>
        <row r="854">
          <cell r="T854">
            <v>4180</v>
          </cell>
        </row>
        <row r="855">
          <cell r="T855">
            <v>4180</v>
          </cell>
        </row>
        <row r="856">
          <cell r="T856">
            <v>4180</v>
          </cell>
        </row>
        <row r="857">
          <cell r="T857">
            <v>4180</v>
          </cell>
        </row>
        <row r="858">
          <cell r="T858">
            <v>4503.95</v>
          </cell>
        </row>
        <row r="859">
          <cell r="J859">
            <v>45485</v>
          </cell>
          <cell r="M859">
            <v>820</v>
          </cell>
          <cell r="N859">
            <v>45220080</v>
          </cell>
        </row>
        <row r="861">
          <cell r="T861">
            <v>4503.95</v>
          </cell>
        </row>
        <row r="862">
          <cell r="T862">
            <v>4180</v>
          </cell>
        </row>
        <row r="863">
          <cell r="T863">
            <v>4180</v>
          </cell>
        </row>
        <row r="864">
          <cell r="J864">
            <v>8973.7000000000007</v>
          </cell>
          <cell r="M864">
            <v>821</v>
          </cell>
          <cell r="N864">
            <v>7496176</v>
          </cell>
        </row>
        <row r="866">
          <cell r="T866">
            <v>4503.95</v>
          </cell>
        </row>
        <row r="867">
          <cell r="T867">
            <v>4503.95</v>
          </cell>
        </row>
        <row r="868">
          <cell r="T868">
            <v>4503.95</v>
          </cell>
        </row>
        <row r="869">
          <cell r="T869">
            <v>4503.95</v>
          </cell>
        </row>
        <row r="870">
          <cell r="T870">
            <v>4503.95</v>
          </cell>
        </row>
        <row r="871">
          <cell r="J871">
            <v>3854.9000000000005</v>
          </cell>
          <cell r="M871">
            <v>137</v>
          </cell>
          <cell r="N871">
            <v>7661022.5999999996</v>
          </cell>
        </row>
        <row r="873">
          <cell r="T873">
            <v>4503.95</v>
          </cell>
        </row>
        <row r="874">
          <cell r="T874">
            <v>4503.95</v>
          </cell>
        </row>
        <row r="875">
          <cell r="J875">
            <v>2732.45</v>
          </cell>
          <cell r="M875">
            <v>151</v>
          </cell>
          <cell r="N875">
            <v>5181256.08</v>
          </cell>
        </row>
        <row r="877">
          <cell r="T877">
            <v>4180</v>
          </cell>
        </row>
        <row r="878">
          <cell r="T878">
            <v>4180</v>
          </cell>
        </row>
        <row r="879">
          <cell r="T879">
            <v>4180</v>
          </cell>
        </row>
        <row r="880">
          <cell r="T880">
            <v>4503.95</v>
          </cell>
        </row>
        <row r="881">
          <cell r="T881">
            <v>4180</v>
          </cell>
        </row>
        <row r="882">
          <cell r="T882">
            <v>4503.95</v>
          </cell>
        </row>
        <row r="883">
          <cell r="T883">
            <v>4503.95</v>
          </cell>
        </row>
        <row r="884">
          <cell r="T884">
            <v>4503.95</v>
          </cell>
        </row>
        <row r="885">
          <cell r="T885">
            <v>4180</v>
          </cell>
        </row>
        <row r="886">
          <cell r="T886">
            <v>4180</v>
          </cell>
        </row>
        <row r="887">
          <cell r="T887">
            <v>4180</v>
          </cell>
        </row>
        <row r="888">
          <cell r="T888">
            <v>4180</v>
          </cell>
        </row>
        <row r="889">
          <cell r="T889">
            <v>5307.56</v>
          </cell>
        </row>
        <row r="890">
          <cell r="J890">
            <v>17309.900000000001</v>
          </cell>
          <cell r="M890">
            <v>720</v>
          </cell>
          <cell r="N890">
            <v>25726012.629999995</v>
          </cell>
        </row>
        <row r="892">
          <cell r="T892">
            <v>4503.95</v>
          </cell>
        </row>
        <row r="893">
          <cell r="J893">
            <v>1476.6</v>
          </cell>
          <cell r="M893">
            <v>7</v>
          </cell>
          <cell r="N893">
            <v>2037420</v>
          </cell>
        </row>
        <row r="895">
          <cell r="T895">
            <v>4180</v>
          </cell>
        </row>
        <row r="896">
          <cell r="T896">
            <v>4180</v>
          </cell>
        </row>
        <row r="897">
          <cell r="J897">
            <v>1651.8</v>
          </cell>
          <cell r="M897">
            <v>16</v>
          </cell>
          <cell r="N897">
            <v>2800560</v>
          </cell>
        </row>
        <row r="899">
          <cell r="T899">
            <v>5307.56</v>
          </cell>
        </row>
        <row r="900">
          <cell r="T900">
            <v>4984.6499999999996</v>
          </cell>
        </row>
        <row r="901">
          <cell r="J901">
            <v>3720.4</v>
          </cell>
          <cell r="M901">
            <v>32</v>
          </cell>
          <cell r="N901">
            <v>1427127.98</v>
          </cell>
        </row>
        <row r="903">
          <cell r="T903">
            <v>5307.5599999999995</v>
          </cell>
        </row>
        <row r="904">
          <cell r="T904">
            <v>5307.5599999999995</v>
          </cell>
        </row>
        <row r="905">
          <cell r="T905">
            <v>5307.5599999999995</v>
          </cell>
        </row>
        <row r="906">
          <cell r="T906">
            <v>5307.5599999999995</v>
          </cell>
        </row>
        <row r="907">
          <cell r="J907">
            <v>2929.7799999999997</v>
          </cell>
          <cell r="M907">
            <v>92</v>
          </cell>
          <cell r="N907">
            <v>1647013.44</v>
          </cell>
        </row>
        <row r="909">
          <cell r="T909">
            <v>4503.95</v>
          </cell>
        </row>
        <row r="910">
          <cell r="T910">
            <v>4503.95</v>
          </cell>
        </row>
        <row r="911">
          <cell r="J911">
            <v>1044.9000000000001</v>
          </cell>
          <cell r="M911">
            <v>40</v>
          </cell>
          <cell r="N911">
            <v>3266340</v>
          </cell>
        </row>
        <row r="913">
          <cell r="T913">
            <v>4180</v>
          </cell>
        </row>
        <row r="914">
          <cell r="J914">
            <v>9951</v>
          </cell>
          <cell r="M914">
            <v>637</v>
          </cell>
          <cell r="N914">
            <v>7967926.5999999996</v>
          </cell>
        </row>
        <row r="916">
          <cell r="T916">
            <v>4503.95</v>
          </cell>
        </row>
        <row r="917">
          <cell r="J917">
            <v>613.1</v>
          </cell>
          <cell r="M917">
            <v>29</v>
          </cell>
          <cell r="N917">
            <v>1734588.24</v>
          </cell>
        </row>
        <row r="919">
          <cell r="T919">
            <v>4180</v>
          </cell>
        </row>
        <row r="920">
          <cell r="T920">
            <v>4180</v>
          </cell>
        </row>
        <row r="921">
          <cell r="T921">
            <v>4503.95</v>
          </cell>
        </row>
        <row r="922">
          <cell r="T922">
            <v>5307.56</v>
          </cell>
        </row>
        <row r="923">
          <cell r="T923">
            <v>4503.95</v>
          </cell>
        </row>
        <row r="924">
          <cell r="T924">
            <v>4180</v>
          </cell>
        </row>
        <row r="925">
          <cell r="T925">
            <v>4180</v>
          </cell>
        </row>
        <row r="926">
          <cell r="T926">
            <v>4503.95</v>
          </cell>
        </row>
        <row r="927">
          <cell r="T927">
            <v>4180</v>
          </cell>
        </row>
        <row r="928">
          <cell r="J928">
            <v>17196.300000000003</v>
          </cell>
          <cell r="M928">
            <v>639</v>
          </cell>
          <cell r="N928">
            <v>21300778.720000003</v>
          </cell>
        </row>
        <row r="930">
          <cell r="T930">
            <v>4503.95</v>
          </cell>
        </row>
        <row r="931">
          <cell r="J931">
            <v>380.2</v>
          </cell>
          <cell r="M931">
            <v>13</v>
          </cell>
          <cell r="N931">
            <v>1188495</v>
          </cell>
        </row>
        <row r="933">
          <cell r="T933">
            <v>4503.95</v>
          </cell>
        </row>
        <row r="934">
          <cell r="J934">
            <v>2570.4</v>
          </cell>
          <cell r="M934">
            <v>38</v>
          </cell>
          <cell r="N934">
            <v>3568395.6</v>
          </cell>
        </row>
        <row r="936">
          <cell r="T936">
            <v>4503.95</v>
          </cell>
        </row>
        <row r="937">
          <cell r="J937">
            <v>665.6</v>
          </cell>
          <cell r="M937">
            <v>29</v>
          </cell>
          <cell r="N937">
            <v>1513512</v>
          </cell>
        </row>
        <row r="939">
          <cell r="T939">
            <v>4180</v>
          </cell>
        </row>
        <row r="940">
          <cell r="T940">
            <v>4180</v>
          </cell>
        </row>
        <row r="941">
          <cell r="T941">
            <v>4180</v>
          </cell>
        </row>
        <row r="942">
          <cell r="T942">
            <v>4180</v>
          </cell>
        </row>
        <row r="943">
          <cell r="T943">
            <v>4180</v>
          </cell>
        </row>
        <row r="944">
          <cell r="T944">
            <v>4180</v>
          </cell>
        </row>
        <row r="945">
          <cell r="J945">
            <v>26039.360000000001</v>
          </cell>
          <cell r="M945">
            <v>721</v>
          </cell>
          <cell r="N945">
            <v>17133426</v>
          </cell>
        </row>
        <row r="947">
          <cell r="T947">
            <v>4503.95</v>
          </cell>
        </row>
        <row r="948">
          <cell r="J948">
            <v>580.20000000000005</v>
          </cell>
          <cell r="M948">
            <v>40</v>
          </cell>
          <cell r="N948">
            <v>1534533</v>
          </cell>
        </row>
        <row r="950">
          <cell r="T950">
            <v>4503.95</v>
          </cell>
        </row>
        <row r="951">
          <cell r="T951">
            <v>4503.95</v>
          </cell>
        </row>
        <row r="952">
          <cell r="T952">
            <v>4503.95</v>
          </cell>
        </row>
        <row r="953">
          <cell r="T953">
            <v>4503.95</v>
          </cell>
        </row>
        <row r="954">
          <cell r="T954">
            <v>4503.95</v>
          </cell>
        </row>
        <row r="955">
          <cell r="T955">
            <v>4503.95</v>
          </cell>
        </row>
        <row r="956">
          <cell r="J956">
            <v>9020.9</v>
          </cell>
          <cell r="M956">
            <v>512</v>
          </cell>
          <cell r="N956">
            <v>11412850.68</v>
          </cell>
        </row>
        <row r="958">
          <cell r="T958">
            <v>4503.95</v>
          </cell>
        </row>
        <row r="959">
          <cell r="T959">
            <v>4503.95</v>
          </cell>
        </row>
        <row r="960">
          <cell r="J960">
            <v>1984.6</v>
          </cell>
          <cell r="M960">
            <v>110</v>
          </cell>
          <cell r="N960">
            <v>5907062.7000000002</v>
          </cell>
        </row>
        <row r="962">
          <cell r="T962">
            <v>4503.95</v>
          </cell>
        </row>
        <row r="963">
          <cell r="J963">
            <v>647</v>
          </cell>
          <cell r="M963">
            <v>30</v>
          </cell>
          <cell r="N963">
            <v>2003463</v>
          </cell>
        </row>
        <row r="965">
          <cell r="T965">
            <v>4503.95</v>
          </cell>
        </row>
        <row r="966">
          <cell r="T966">
            <v>4503.95</v>
          </cell>
        </row>
        <row r="967">
          <cell r="J967">
            <v>966.28</v>
          </cell>
          <cell r="M967">
            <v>27</v>
          </cell>
          <cell r="N967">
            <v>2726262</v>
          </cell>
        </row>
        <row r="969">
          <cell r="T969">
            <v>4984.6499999999996</v>
          </cell>
        </row>
        <row r="970">
          <cell r="T970">
            <v>8913.85</v>
          </cell>
        </row>
        <row r="971">
          <cell r="T971">
            <v>4984.6499999999996</v>
          </cell>
        </row>
        <row r="972">
          <cell r="J972">
            <v>3744.15</v>
          </cell>
          <cell r="M972">
            <v>119</v>
          </cell>
          <cell r="N972">
            <v>2722145.07</v>
          </cell>
        </row>
        <row r="974">
          <cell r="T974">
            <v>4503.95</v>
          </cell>
        </row>
        <row r="975">
          <cell r="J975">
            <v>535</v>
          </cell>
          <cell r="M975">
            <v>16</v>
          </cell>
          <cell r="N975">
            <v>1203048</v>
          </cell>
        </row>
        <row r="977">
          <cell r="T977">
            <v>4503.95</v>
          </cell>
        </row>
        <row r="978">
          <cell r="T978">
            <v>4503.95</v>
          </cell>
        </row>
        <row r="979">
          <cell r="J979">
            <v>1962.76</v>
          </cell>
          <cell r="M979">
            <v>74</v>
          </cell>
          <cell r="N979">
            <v>4676364</v>
          </cell>
        </row>
        <row r="981">
          <cell r="T981">
            <v>4503.95</v>
          </cell>
        </row>
        <row r="982">
          <cell r="T982">
            <v>4503.95</v>
          </cell>
        </row>
        <row r="983">
          <cell r="J983">
            <v>1222</v>
          </cell>
          <cell r="M983">
            <v>60</v>
          </cell>
          <cell r="N983">
            <v>3005356.2</v>
          </cell>
        </row>
        <row r="985">
          <cell r="T985">
            <v>4503.95</v>
          </cell>
        </row>
        <row r="986">
          <cell r="J986">
            <v>1144.96</v>
          </cell>
          <cell r="M986">
            <v>20</v>
          </cell>
          <cell r="N986">
            <v>2858856</v>
          </cell>
        </row>
        <row r="988">
          <cell r="T988">
            <v>4503.95</v>
          </cell>
        </row>
        <row r="989">
          <cell r="T989">
            <v>4503.95</v>
          </cell>
        </row>
        <row r="990">
          <cell r="T990">
            <v>4503.95</v>
          </cell>
        </row>
        <row r="991">
          <cell r="T991">
            <v>4503.95</v>
          </cell>
        </row>
        <row r="992">
          <cell r="T992">
            <v>4503.95</v>
          </cell>
        </row>
        <row r="993">
          <cell r="J993">
            <v>1562.1000000000001</v>
          </cell>
          <cell r="M993">
            <v>54</v>
          </cell>
          <cell r="N993">
            <v>4168626</v>
          </cell>
        </row>
        <row r="995">
          <cell r="T995">
            <v>4503.95</v>
          </cell>
        </row>
        <row r="996">
          <cell r="J996">
            <v>200</v>
          </cell>
          <cell r="M996">
            <v>10</v>
          </cell>
          <cell r="N996">
            <v>581149.80000000005</v>
          </cell>
        </row>
        <row r="998">
          <cell r="M998">
            <v>48</v>
          </cell>
          <cell r="T998">
            <v>4180</v>
          </cell>
        </row>
        <row r="999">
          <cell r="J999">
            <v>907.5</v>
          </cell>
          <cell r="N999">
            <v>2133026.52</v>
          </cell>
        </row>
        <row r="1001">
          <cell r="T1001">
            <v>4503.95</v>
          </cell>
        </row>
        <row r="1002">
          <cell r="J1002">
            <v>1571.55</v>
          </cell>
          <cell r="M1002">
            <v>42</v>
          </cell>
          <cell r="N1002">
            <v>2988216</v>
          </cell>
        </row>
        <row r="1004">
          <cell r="T1004">
            <v>4503.95</v>
          </cell>
        </row>
        <row r="1005">
          <cell r="T1005">
            <v>4503.95</v>
          </cell>
        </row>
        <row r="1006">
          <cell r="J1006">
            <v>1535.9</v>
          </cell>
          <cell r="M1006">
            <v>63</v>
          </cell>
          <cell r="N1006">
            <v>4136286</v>
          </cell>
        </row>
        <row r="1008">
          <cell r="T1008">
            <v>4503.95</v>
          </cell>
        </row>
        <row r="1009">
          <cell r="T1009">
            <v>4503.95</v>
          </cell>
        </row>
        <row r="1010">
          <cell r="T1010">
            <v>4180</v>
          </cell>
        </row>
        <row r="1011">
          <cell r="T1011">
            <v>4503.95</v>
          </cell>
        </row>
        <row r="1012">
          <cell r="T1012">
            <v>4503.95</v>
          </cell>
        </row>
        <row r="1013">
          <cell r="J1013">
            <v>4140.1000000000004</v>
          </cell>
          <cell r="M1013">
            <v>169</v>
          </cell>
          <cell r="N1013">
            <v>8823742</v>
          </cell>
        </row>
        <row r="1015">
          <cell r="T1015">
            <v>4503.95</v>
          </cell>
        </row>
        <row r="1016">
          <cell r="T1016">
            <v>4503.95</v>
          </cell>
        </row>
        <row r="1017">
          <cell r="T1017">
            <v>4503.95</v>
          </cell>
        </row>
        <row r="1018">
          <cell r="J1018">
            <v>1251.0899999999999</v>
          </cell>
          <cell r="M1018">
            <v>59</v>
          </cell>
          <cell r="N1018">
            <v>3318084</v>
          </cell>
        </row>
        <row r="1020">
          <cell r="T1020">
            <v>4180</v>
          </cell>
        </row>
        <row r="1021">
          <cell r="J1021">
            <v>918</v>
          </cell>
          <cell r="M1021">
            <v>25</v>
          </cell>
          <cell r="N1021">
            <v>2147096</v>
          </cell>
        </row>
        <row r="1023">
          <cell r="T1023">
            <v>4503.95</v>
          </cell>
        </row>
        <row r="1024">
          <cell r="T1024">
            <v>4503.95</v>
          </cell>
        </row>
        <row r="1025">
          <cell r="T1025">
            <v>4503.95</v>
          </cell>
        </row>
        <row r="1026">
          <cell r="T1026">
            <v>4503.95</v>
          </cell>
        </row>
        <row r="1027">
          <cell r="T1027">
            <v>4503.95</v>
          </cell>
        </row>
        <row r="1028">
          <cell r="T1028">
            <v>4503.95</v>
          </cell>
        </row>
        <row r="1029">
          <cell r="T1029">
            <v>4503.95</v>
          </cell>
        </row>
        <row r="1030">
          <cell r="T1030">
            <v>4503.95</v>
          </cell>
        </row>
        <row r="1031">
          <cell r="J1031">
            <v>12065.599999999999</v>
          </cell>
          <cell r="M1031">
            <v>458</v>
          </cell>
          <cell r="N1031">
            <v>13146210</v>
          </cell>
        </row>
        <row r="1034">
          <cell r="J1034">
            <v>615.1</v>
          </cell>
          <cell r="M1034">
            <v>26</v>
          </cell>
          <cell r="N1034">
            <v>1422960</v>
          </cell>
        </row>
      </sheetData>
      <sheetData sheetId="1">
        <row r="365">
          <cell r="E365">
            <v>3156384</v>
          </cell>
        </row>
        <row r="436">
          <cell r="G436">
            <v>1</v>
          </cell>
        </row>
        <row r="477">
          <cell r="G477">
            <v>1</v>
          </cell>
        </row>
        <row r="483">
          <cell r="G483">
            <v>6</v>
          </cell>
        </row>
        <row r="484">
          <cell r="G484">
            <v>2</v>
          </cell>
        </row>
        <row r="485">
          <cell r="G485">
            <v>4</v>
          </cell>
        </row>
        <row r="486">
          <cell r="G486">
            <v>1</v>
          </cell>
        </row>
        <row r="604">
          <cell r="G604">
            <v>2</v>
          </cell>
        </row>
        <row r="833">
          <cell r="G833">
            <v>4</v>
          </cell>
        </row>
        <row r="834">
          <cell r="G834">
            <v>5</v>
          </cell>
        </row>
        <row r="903">
          <cell r="E903">
            <v>269152.40000000002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1037"/>
  <sheetViews>
    <sheetView tabSelected="1" topLeftCell="L762" zoomScale="150" zoomScaleNormal="150" zoomScaleSheetLayoutView="140" workbookViewId="0">
      <selection activeCell="A3" sqref="A3:U1036"/>
    </sheetView>
  </sheetViews>
  <sheetFormatPr defaultRowHeight="27.75" customHeight="1"/>
  <cols>
    <col min="1" max="1" width="3.1640625" style="119" customWidth="1"/>
    <col min="2" max="2" width="39.33203125" style="120" customWidth="1"/>
    <col min="3" max="3" width="21.5" style="119" hidden="1" customWidth="1"/>
    <col min="4" max="4" width="10.83203125" style="119" hidden="1" customWidth="1"/>
    <col min="5" max="5" width="5.5" style="224" customWidth="1"/>
    <col min="6" max="6" width="3.6640625" style="224" customWidth="1"/>
    <col min="7" max="7" width="11.33203125" style="224" customWidth="1"/>
    <col min="8" max="9" width="2.33203125" style="224" customWidth="1"/>
    <col min="10" max="10" width="9" style="121" customWidth="1"/>
    <col min="11" max="11" width="8.5" style="121" customWidth="1"/>
    <col min="12" max="12" width="9" style="121" customWidth="1"/>
    <col min="13" max="13" width="7.1640625" style="222" customWidth="1"/>
    <col min="14" max="14" width="11.1640625" style="144" customWidth="1"/>
    <col min="15" max="17" width="8.83203125" style="144" customWidth="1"/>
    <col min="18" max="18" width="11.5" style="144" customWidth="1"/>
    <col min="19" max="19" width="8.33203125" style="144" customWidth="1"/>
    <col min="20" max="20" width="10.6640625" style="144" customWidth="1"/>
    <col min="21" max="21" width="5.5" style="122" customWidth="1"/>
    <col min="22" max="22" width="12.1640625" style="119" customWidth="1"/>
    <col min="23" max="23" width="10.33203125" style="123" customWidth="1"/>
    <col min="24" max="24" width="20.5" style="119" customWidth="1"/>
    <col min="25" max="16384" width="9.33203125" style="119"/>
  </cols>
  <sheetData>
    <row r="1" spans="1:24" ht="16.5" hidden="1" customHeight="1">
      <c r="K1" s="846" t="s">
        <v>378</v>
      </c>
      <c r="L1" s="846"/>
      <c r="M1" s="846"/>
      <c r="N1" s="846"/>
      <c r="O1" s="846"/>
      <c r="P1" s="846"/>
      <c r="Q1" s="846"/>
      <c r="R1" s="846"/>
      <c r="S1" s="846"/>
      <c r="T1" s="846"/>
    </row>
    <row r="2" spans="1:24" ht="27.75" hidden="1" customHeight="1">
      <c r="J2" s="124"/>
      <c r="K2" s="223"/>
      <c r="L2" s="223"/>
      <c r="M2" s="125"/>
      <c r="N2" s="126"/>
      <c r="O2" s="126"/>
      <c r="P2" s="126"/>
      <c r="Q2" s="126"/>
      <c r="R2" s="126"/>
      <c r="S2" s="126"/>
      <c r="T2" s="126"/>
      <c r="U2" s="127"/>
    </row>
    <row r="3" spans="1:24" ht="41.25" customHeight="1">
      <c r="J3" s="124"/>
      <c r="K3" s="223"/>
      <c r="L3" s="223"/>
      <c r="M3" s="125"/>
      <c r="N3" s="126"/>
      <c r="O3" s="126"/>
      <c r="P3" s="126"/>
      <c r="Q3" s="126"/>
      <c r="R3" s="863" t="s">
        <v>1058</v>
      </c>
      <c r="S3" s="863"/>
      <c r="T3" s="863"/>
      <c r="U3" s="863"/>
    </row>
    <row r="4" spans="1:24" ht="38.25" customHeight="1">
      <c r="J4" s="124"/>
      <c r="K4" s="128"/>
      <c r="L4" s="128"/>
      <c r="M4" s="128"/>
      <c r="N4" s="863" t="s">
        <v>1059</v>
      </c>
      <c r="O4" s="863"/>
      <c r="P4" s="863"/>
      <c r="Q4" s="863"/>
      <c r="R4" s="863"/>
      <c r="S4" s="863"/>
      <c r="T4" s="863"/>
      <c r="U4" s="863"/>
      <c r="V4" s="129"/>
    </row>
    <row r="5" spans="1:24" ht="1.5" customHeight="1"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</row>
    <row r="6" spans="1:24" ht="12" customHeight="1">
      <c r="A6" s="851" t="s">
        <v>379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</row>
    <row r="7" spans="1:24" ht="22.5" customHeight="1">
      <c r="A7" s="856" t="s">
        <v>461</v>
      </c>
      <c r="B7" s="852" t="s">
        <v>66</v>
      </c>
      <c r="C7" s="794"/>
      <c r="D7" s="794"/>
      <c r="E7" s="856" t="s">
        <v>380</v>
      </c>
      <c r="F7" s="856"/>
      <c r="G7" s="850" t="s">
        <v>381</v>
      </c>
      <c r="H7" s="850" t="s">
        <v>382</v>
      </c>
      <c r="I7" s="850" t="s">
        <v>383</v>
      </c>
      <c r="J7" s="857" t="s">
        <v>67</v>
      </c>
      <c r="K7" s="855" t="s">
        <v>384</v>
      </c>
      <c r="L7" s="855"/>
      <c r="M7" s="861" t="s">
        <v>385</v>
      </c>
      <c r="N7" s="847" t="s">
        <v>68</v>
      </c>
      <c r="O7" s="847"/>
      <c r="P7" s="847"/>
      <c r="Q7" s="847"/>
      <c r="R7" s="847"/>
      <c r="S7" s="848" t="s">
        <v>386</v>
      </c>
      <c r="T7" s="858" t="s">
        <v>387</v>
      </c>
      <c r="U7" s="862" t="s">
        <v>388</v>
      </c>
    </row>
    <row r="8" spans="1:24" ht="18.75" customHeight="1">
      <c r="A8" s="856"/>
      <c r="B8" s="853"/>
      <c r="C8" s="794"/>
      <c r="D8" s="794"/>
      <c r="E8" s="850" t="s">
        <v>467</v>
      </c>
      <c r="F8" s="850" t="s">
        <v>468</v>
      </c>
      <c r="G8" s="850"/>
      <c r="H8" s="850"/>
      <c r="I8" s="850"/>
      <c r="J8" s="857"/>
      <c r="K8" s="857" t="s">
        <v>462</v>
      </c>
      <c r="L8" s="857" t="s">
        <v>389</v>
      </c>
      <c r="M8" s="861"/>
      <c r="N8" s="848" t="s">
        <v>462</v>
      </c>
      <c r="O8" s="847" t="s">
        <v>472</v>
      </c>
      <c r="P8" s="847"/>
      <c r="Q8" s="847"/>
      <c r="R8" s="847"/>
      <c r="S8" s="848"/>
      <c r="T8" s="859"/>
      <c r="U8" s="862"/>
    </row>
    <row r="9" spans="1:24" ht="96.75" customHeight="1">
      <c r="A9" s="856"/>
      <c r="B9" s="853"/>
      <c r="C9" s="794" t="s">
        <v>474</v>
      </c>
      <c r="D9" s="794" t="s">
        <v>475</v>
      </c>
      <c r="E9" s="850"/>
      <c r="F9" s="850"/>
      <c r="G9" s="850"/>
      <c r="H9" s="850"/>
      <c r="I9" s="850"/>
      <c r="J9" s="857"/>
      <c r="K9" s="857"/>
      <c r="L9" s="857"/>
      <c r="M9" s="861"/>
      <c r="N9" s="848"/>
      <c r="O9" s="798" t="s">
        <v>469</v>
      </c>
      <c r="P9" s="798" t="s">
        <v>470</v>
      </c>
      <c r="Q9" s="798" t="s">
        <v>471</v>
      </c>
      <c r="R9" s="798" t="s">
        <v>473</v>
      </c>
      <c r="S9" s="848"/>
      <c r="T9" s="860"/>
      <c r="U9" s="862"/>
    </row>
    <row r="10" spans="1:24" ht="15" customHeight="1">
      <c r="A10" s="856"/>
      <c r="B10" s="854"/>
      <c r="C10" s="794"/>
      <c r="D10" s="794"/>
      <c r="E10" s="850"/>
      <c r="F10" s="850"/>
      <c r="G10" s="850"/>
      <c r="H10" s="850"/>
      <c r="I10" s="850"/>
      <c r="J10" s="802" t="s">
        <v>69</v>
      </c>
      <c r="K10" s="802" t="s">
        <v>69</v>
      </c>
      <c r="L10" s="802" t="s">
        <v>2</v>
      </c>
      <c r="M10" s="130" t="s">
        <v>70</v>
      </c>
      <c r="N10" s="797" t="s">
        <v>71</v>
      </c>
      <c r="O10" s="797" t="s">
        <v>71</v>
      </c>
      <c r="P10" s="797" t="s">
        <v>376</v>
      </c>
      <c r="Q10" s="797" t="s">
        <v>376</v>
      </c>
      <c r="R10" s="797" t="s">
        <v>376</v>
      </c>
      <c r="S10" s="797" t="s">
        <v>390</v>
      </c>
      <c r="T10" s="797" t="s">
        <v>390</v>
      </c>
      <c r="U10" s="862"/>
      <c r="W10" s="126"/>
    </row>
    <row r="11" spans="1:24" ht="12" customHeight="1">
      <c r="A11" s="130">
        <v>1</v>
      </c>
      <c r="B11" s="130">
        <v>2</v>
      </c>
      <c r="C11" s="130"/>
      <c r="D11" s="130"/>
      <c r="E11" s="130">
        <v>3</v>
      </c>
      <c r="F11" s="130">
        <v>4</v>
      </c>
      <c r="G11" s="130">
        <v>5</v>
      </c>
      <c r="H11" s="130">
        <v>6</v>
      </c>
      <c r="I11" s="130">
        <v>7</v>
      </c>
      <c r="J11" s="131">
        <v>8</v>
      </c>
      <c r="K11" s="130">
        <v>9</v>
      </c>
      <c r="L11" s="131">
        <v>10</v>
      </c>
      <c r="M11" s="130">
        <v>11</v>
      </c>
      <c r="N11" s="131">
        <v>12</v>
      </c>
      <c r="O11" s="131">
        <v>13</v>
      </c>
      <c r="P11" s="131">
        <v>14</v>
      </c>
      <c r="Q11" s="131">
        <v>15</v>
      </c>
      <c r="R11" s="131">
        <v>16</v>
      </c>
      <c r="S11" s="131">
        <v>17</v>
      </c>
      <c r="T11" s="131">
        <v>18</v>
      </c>
      <c r="U11" s="132">
        <v>19</v>
      </c>
      <c r="V11" s="134"/>
    </row>
    <row r="12" spans="1:24" ht="9" customHeight="1">
      <c r="A12" s="829" t="s">
        <v>1022</v>
      </c>
      <c r="B12" s="830"/>
      <c r="C12" s="784"/>
      <c r="D12" s="784"/>
      <c r="E12" s="794" t="s">
        <v>391</v>
      </c>
      <c r="F12" s="794" t="s">
        <v>391</v>
      </c>
      <c r="G12" s="794" t="s">
        <v>391</v>
      </c>
      <c r="H12" s="794" t="s">
        <v>391</v>
      </c>
      <c r="I12" s="794" t="s">
        <v>391</v>
      </c>
      <c r="J12" s="797">
        <f>J14+'Приложение 1 КСП 2018-2019 гг'!I12</f>
        <v>2231313.4899999998</v>
      </c>
      <c r="K12" s="797">
        <f>K14+'Приложение 1 КСП 2018-2019 гг'!J12</f>
        <v>1911972.63</v>
      </c>
      <c r="L12" s="797" t="s">
        <v>391</v>
      </c>
      <c r="M12" s="133">
        <f>M14+'Приложение 1 КСП 2018-2019 гг'!K12</f>
        <v>81580</v>
      </c>
      <c r="N12" s="797">
        <f>N14+'Приложение 1 КСП 2018-2019 гг'!L12</f>
        <v>2206041785.7571507</v>
      </c>
      <c r="O12" s="797">
        <f>O14+'Приложение 1 КСП 2018-2019 гг'!M12</f>
        <v>0</v>
      </c>
      <c r="P12" s="797">
        <f>P14+'Приложение 1 КСП 2018-2019 гг'!N12</f>
        <v>0</v>
      </c>
      <c r="Q12" s="797">
        <f>Q14+'Приложение 1 КСП 2018-2019 гг'!O12</f>
        <v>883020.42999999993</v>
      </c>
      <c r="R12" s="797">
        <f>R14+'Приложение 1 КСП 2018-2019 гг'!P12+'Приложение 1 КСП 2018-2019 гг'!Q12</f>
        <v>2205158765.3271503</v>
      </c>
      <c r="S12" s="794" t="s">
        <v>391</v>
      </c>
      <c r="T12" s="794" t="s">
        <v>391</v>
      </c>
      <c r="U12" s="794" t="s">
        <v>391</v>
      </c>
      <c r="V12" s="134"/>
      <c r="W12" s="145"/>
    </row>
    <row r="13" spans="1:24" ht="11.25" customHeight="1">
      <c r="A13" s="843" t="s">
        <v>1028</v>
      </c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5"/>
      <c r="V13" s="134"/>
      <c r="W13" s="145"/>
      <c r="X13" s="135"/>
    </row>
    <row r="14" spans="1:24" ht="9" customHeight="1">
      <c r="A14" s="829" t="s">
        <v>1023</v>
      </c>
      <c r="B14" s="830"/>
      <c r="C14" s="794"/>
      <c r="D14" s="794"/>
      <c r="E14" s="794" t="s">
        <v>391</v>
      </c>
      <c r="F14" s="794" t="s">
        <v>391</v>
      </c>
      <c r="G14" s="794" t="s">
        <v>391</v>
      </c>
      <c r="H14" s="794" t="s">
        <v>391</v>
      </c>
      <c r="I14" s="794" t="s">
        <v>391</v>
      </c>
      <c r="J14" s="797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621770.20000000007</v>
      </c>
      <c r="K14" s="797">
        <f t="shared" si="0"/>
        <v>543328.96999999974</v>
      </c>
      <c r="L14" s="797">
        <f t="shared" si="0"/>
        <v>509545.16999999981</v>
      </c>
      <c r="M14" s="133">
        <f t="shared" si="0"/>
        <v>23405</v>
      </c>
      <c r="N14" s="797">
        <f t="shared" si="0"/>
        <v>594161776.54999995</v>
      </c>
      <c r="O14" s="797">
        <f t="shared" si="0"/>
        <v>0</v>
      </c>
      <c r="P14" s="797">
        <f t="shared" si="0"/>
        <v>0</v>
      </c>
      <c r="Q14" s="797">
        <f t="shared" si="0"/>
        <v>683020.42999999993</v>
      </c>
      <c r="R14" s="797">
        <f t="shared" si="0"/>
        <v>593478756.12</v>
      </c>
      <c r="S14" s="794" t="s">
        <v>391</v>
      </c>
      <c r="T14" s="794" t="s">
        <v>391</v>
      </c>
      <c r="U14" s="794" t="s">
        <v>391</v>
      </c>
      <c r="V14" s="134"/>
      <c r="W14" s="145"/>
    </row>
    <row r="15" spans="1:24" ht="9" customHeight="1">
      <c r="A15" s="837" t="s">
        <v>217</v>
      </c>
      <c r="B15" s="842"/>
      <c r="C15" s="842"/>
      <c r="D15" s="842"/>
      <c r="E15" s="838"/>
      <c r="F15" s="838"/>
      <c r="G15" s="838"/>
      <c r="H15" s="842"/>
      <c r="I15" s="842"/>
      <c r="J15" s="842"/>
      <c r="K15" s="842"/>
      <c r="L15" s="842"/>
      <c r="M15" s="842"/>
      <c r="N15" s="838"/>
      <c r="O15" s="838"/>
      <c r="P15" s="838"/>
      <c r="Q15" s="838"/>
      <c r="R15" s="838"/>
      <c r="S15" s="838"/>
      <c r="T15" s="838"/>
      <c r="U15" s="839"/>
      <c r="V15" s="119" t="s">
        <v>1092</v>
      </c>
    </row>
    <row r="16" spans="1:24" ht="9" customHeight="1">
      <c r="A16" s="803">
        <v>1</v>
      </c>
      <c r="B16" s="136" t="s">
        <v>112</v>
      </c>
      <c r="C16" s="137" t="s">
        <v>1005</v>
      </c>
      <c r="D16" s="137"/>
      <c r="E16" s="138">
        <v>1973</v>
      </c>
      <c r="F16" s="139">
        <v>1984</v>
      </c>
      <c r="G16" s="140" t="s">
        <v>210</v>
      </c>
      <c r="H16" s="141">
        <v>5</v>
      </c>
      <c r="I16" s="141">
        <v>4</v>
      </c>
      <c r="J16" s="142">
        <v>3643.6</v>
      </c>
      <c r="K16" s="142">
        <v>3323.6</v>
      </c>
      <c r="L16" s="142">
        <v>3216.8</v>
      </c>
      <c r="M16" s="141">
        <v>166</v>
      </c>
      <c r="N16" s="143">
        <f>'Приложение 2'!E19</f>
        <v>2179864.48</v>
      </c>
      <c r="O16" s="797">
        <v>0</v>
      </c>
      <c r="P16" s="797">
        <v>0</v>
      </c>
      <c r="Q16" s="797">
        <v>0</v>
      </c>
      <c r="R16" s="797">
        <f>N16</f>
        <v>2179864.48</v>
      </c>
      <c r="S16" s="797">
        <f t="shared" ref="S16:S45" si="1">N16/K16</f>
        <v>655.87449753279577</v>
      </c>
      <c r="T16" s="797">
        <v>4180</v>
      </c>
      <c r="U16" s="132" t="s">
        <v>228</v>
      </c>
      <c r="V16" s="144">
        <f>T16-S16</f>
        <v>3524.1255024672041</v>
      </c>
      <c r="W16" s="145"/>
    </row>
    <row r="17" spans="1:23" ht="9" customHeight="1">
      <c r="A17" s="803">
        <v>2</v>
      </c>
      <c r="B17" s="136" t="s">
        <v>113</v>
      </c>
      <c r="C17" s="137" t="s">
        <v>1005</v>
      </c>
      <c r="D17" s="137"/>
      <c r="E17" s="138">
        <v>1982</v>
      </c>
      <c r="F17" s="146"/>
      <c r="G17" s="140" t="s">
        <v>88</v>
      </c>
      <c r="H17" s="141">
        <v>2</v>
      </c>
      <c r="I17" s="141">
        <v>2</v>
      </c>
      <c r="J17" s="142">
        <v>983.7</v>
      </c>
      <c r="K17" s="142">
        <v>870.2</v>
      </c>
      <c r="L17" s="142">
        <v>870.2</v>
      </c>
      <c r="M17" s="141">
        <v>60</v>
      </c>
      <c r="N17" s="143">
        <f>'Приложение 2'!E20</f>
        <v>1698892.44</v>
      </c>
      <c r="O17" s="797">
        <v>0</v>
      </c>
      <c r="P17" s="797">
        <v>0</v>
      </c>
      <c r="Q17" s="797">
        <v>0</v>
      </c>
      <c r="R17" s="797">
        <f t="shared" ref="R17:R72" si="2">N17</f>
        <v>1698892.44</v>
      </c>
      <c r="S17" s="797">
        <f t="shared" si="1"/>
        <v>1952.30112617789</v>
      </c>
      <c r="T17" s="797">
        <v>4180</v>
      </c>
      <c r="U17" s="132" t="s">
        <v>228</v>
      </c>
      <c r="V17" s="144">
        <f t="shared" ref="V17:V80" si="3">T17-S17</f>
        <v>2227.6988738221098</v>
      </c>
      <c r="W17" s="145"/>
    </row>
    <row r="18" spans="1:23" ht="9" customHeight="1">
      <c r="A18" s="803">
        <v>3</v>
      </c>
      <c r="B18" s="136" t="s">
        <v>114</v>
      </c>
      <c r="C18" s="137" t="s">
        <v>1006</v>
      </c>
      <c r="D18" s="137"/>
      <c r="E18" s="138">
        <v>1957</v>
      </c>
      <c r="F18" s="139">
        <v>1975</v>
      </c>
      <c r="G18" s="140" t="s">
        <v>88</v>
      </c>
      <c r="H18" s="141">
        <v>5</v>
      </c>
      <c r="I18" s="141">
        <v>9</v>
      </c>
      <c r="J18" s="142">
        <v>11632.7</v>
      </c>
      <c r="K18" s="142">
        <v>10771.7</v>
      </c>
      <c r="L18" s="142">
        <v>7248.9</v>
      </c>
      <c r="M18" s="141">
        <v>249</v>
      </c>
      <c r="N18" s="143">
        <f>'Приложение 2'!E21</f>
        <v>10834027.82</v>
      </c>
      <c r="O18" s="797">
        <v>0</v>
      </c>
      <c r="P18" s="797">
        <v>0</v>
      </c>
      <c r="Q18" s="797">
        <v>0</v>
      </c>
      <c r="R18" s="797">
        <f t="shared" si="2"/>
        <v>10834027.82</v>
      </c>
      <c r="S18" s="797">
        <f t="shared" si="1"/>
        <v>1005.7862565797413</v>
      </c>
      <c r="T18" s="797">
        <v>4503.95</v>
      </c>
      <c r="U18" s="132" t="s">
        <v>228</v>
      </c>
      <c r="V18" s="144">
        <f t="shared" si="3"/>
        <v>3498.1637434202585</v>
      </c>
      <c r="W18" s="145"/>
    </row>
    <row r="19" spans="1:23" ht="9" customHeight="1">
      <c r="A19" s="803">
        <v>4</v>
      </c>
      <c r="B19" s="136" t="s">
        <v>115</v>
      </c>
      <c r="C19" s="137" t="s">
        <v>1005</v>
      </c>
      <c r="D19" s="137"/>
      <c r="E19" s="147">
        <v>1966</v>
      </c>
      <c r="F19" s="141"/>
      <c r="G19" s="148" t="s">
        <v>90</v>
      </c>
      <c r="H19" s="141">
        <v>5</v>
      </c>
      <c r="I19" s="141">
        <v>4</v>
      </c>
      <c r="J19" s="142">
        <v>3867.5</v>
      </c>
      <c r="K19" s="142">
        <v>3561.5</v>
      </c>
      <c r="L19" s="142">
        <v>3561.5</v>
      </c>
      <c r="M19" s="141">
        <v>160</v>
      </c>
      <c r="N19" s="143">
        <f>'Приложение 2'!E22</f>
        <v>2274921.98</v>
      </c>
      <c r="O19" s="797">
        <v>0</v>
      </c>
      <c r="P19" s="797">
        <v>0</v>
      </c>
      <c r="Q19" s="797">
        <v>0</v>
      </c>
      <c r="R19" s="797">
        <f t="shared" si="2"/>
        <v>2274921.98</v>
      </c>
      <c r="S19" s="797">
        <f t="shared" si="1"/>
        <v>638.75389021479714</v>
      </c>
      <c r="T19" s="797">
        <v>4180</v>
      </c>
      <c r="U19" s="132" t="s">
        <v>228</v>
      </c>
      <c r="V19" s="144">
        <f t="shared" si="3"/>
        <v>3541.2461097852029</v>
      </c>
      <c r="W19" s="145"/>
    </row>
    <row r="20" spans="1:23" ht="9" customHeight="1">
      <c r="A20" s="803">
        <v>5</v>
      </c>
      <c r="B20" s="136" t="s">
        <v>116</v>
      </c>
      <c r="C20" s="137" t="s">
        <v>1006</v>
      </c>
      <c r="D20" s="137"/>
      <c r="E20" s="138">
        <v>1949</v>
      </c>
      <c r="F20" s="146"/>
      <c r="G20" s="140" t="s">
        <v>209</v>
      </c>
      <c r="H20" s="141">
        <v>2</v>
      </c>
      <c r="I20" s="141">
        <v>1</v>
      </c>
      <c r="J20" s="142">
        <v>579.9</v>
      </c>
      <c r="K20" s="142">
        <v>565</v>
      </c>
      <c r="L20" s="142">
        <v>565</v>
      </c>
      <c r="M20" s="141">
        <v>18</v>
      </c>
      <c r="N20" s="143">
        <f>'Приложение 2'!E23</f>
        <v>1581030.27</v>
      </c>
      <c r="O20" s="797">
        <v>0</v>
      </c>
      <c r="P20" s="797">
        <v>0</v>
      </c>
      <c r="Q20" s="797">
        <v>0</v>
      </c>
      <c r="R20" s="797">
        <f t="shared" si="2"/>
        <v>1581030.27</v>
      </c>
      <c r="S20" s="797">
        <f t="shared" si="1"/>
        <v>2798.2836637168143</v>
      </c>
      <c r="T20" s="797">
        <v>4503.95</v>
      </c>
      <c r="U20" s="132" t="s">
        <v>228</v>
      </c>
      <c r="V20" s="144">
        <f t="shared" si="3"/>
        <v>1705.6663362831855</v>
      </c>
      <c r="W20" s="145"/>
    </row>
    <row r="21" spans="1:23" ht="9" customHeight="1">
      <c r="A21" s="803">
        <v>6</v>
      </c>
      <c r="B21" s="136" t="s">
        <v>117</v>
      </c>
      <c r="C21" s="137" t="s">
        <v>1005</v>
      </c>
      <c r="D21" s="137"/>
      <c r="E21" s="138">
        <v>1970</v>
      </c>
      <c r="F21" s="139">
        <v>1981</v>
      </c>
      <c r="G21" s="140" t="s">
        <v>88</v>
      </c>
      <c r="H21" s="141">
        <v>9</v>
      </c>
      <c r="I21" s="141">
        <v>1</v>
      </c>
      <c r="J21" s="142">
        <v>2659.7</v>
      </c>
      <c r="K21" s="142">
        <v>2409.6999999999998</v>
      </c>
      <c r="L21" s="142">
        <v>2245.6999999999998</v>
      </c>
      <c r="M21" s="141">
        <v>118</v>
      </c>
      <c r="N21" s="143">
        <f>'Приложение 2'!E24</f>
        <v>1000478.42</v>
      </c>
      <c r="O21" s="797">
        <v>0</v>
      </c>
      <c r="P21" s="797">
        <v>0</v>
      </c>
      <c r="Q21" s="797">
        <v>0</v>
      </c>
      <c r="R21" s="797">
        <f t="shared" si="2"/>
        <v>1000478.42</v>
      </c>
      <c r="S21" s="797">
        <f t="shared" si="1"/>
        <v>415.18795700709637</v>
      </c>
      <c r="T21" s="797">
        <v>4180</v>
      </c>
      <c r="U21" s="132" t="s">
        <v>228</v>
      </c>
      <c r="V21" s="144">
        <f t="shared" si="3"/>
        <v>3764.8120429929036</v>
      </c>
      <c r="W21" s="145"/>
    </row>
    <row r="22" spans="1:23" ht="9" customHeight="1">
      <c r="A22" s="803">
        <v>7</v>
      </c>
      <c r="B22" s="136" t="s">
        <v>118</v>
      </c>
      <c r="C22" s="137" t="s">
        <v>1005</v>
      </c>
      <c r="D22" s="137"/>
      <c r="E22" s="138">
        <v>1968</v>
      </c>
      <c r="F22" s="146"/>
      <c r="G22" s="148" t="s">
        <v>90</v>
      </c>
      <c r="H22" s="141">
        <v>5</v>
      </c>
      <c r="I22" s="141">
        <v>6</v>
      </c>
      <c r="J22" s="142">
        <v>4962.7</v>
      </c>
      <c r="K22" s="142">
        <v>4538.7</v>
      </c>
      <c r="L22" s="142">
        <v>4538.7</v>
      </c>
      <c r="M22" s="141">
        <v>227</v>
      </c>
      <c r="N22" s="143">
        <f>'Приложение 2'!E25</f>
        <v>2934226.36</v>
      </c>
      <c r="O22" s="797">
        <v>0</v>
      </c>
      <c r="P22" s="797">
        <v>0</v>
      </c>
      <c r="Q22" s="797">
        <v>0</v>
      </c>
      <c r="R22" s="797">
        <f t="shared" si="2"/>
        <v>2934226.36</v>
      </c>
      <c r="S22" s="797">
        <f t="shared" si="1"/>
        <v>646.49048405931217</v>
      </c>
      <c r="T22" s="797">
        <v>4180</v>
      </c>
      <c r="U22" s="132" t="s">
        <v>228</v>
      </c>
      <c r="V22" s="144">
        <f t="shared" si="3"/>
        <v>3533.5095159406878</v>
      </c>
      <c r="W22" s="145"/>
    </row>
    <row r="23" spans="1:23" ht="9" customHeight="1">
      <c r="A23" s="803">
        <v>8</v>
      </c>
      <c r="B23" s="136" t="s">
        <v>119</v>
      </c>
      <c r="C23" s="137" t="s">
        <v>1005</v>
      </c>
      <c r="D23" s="137"/>
      <c r="E23" s="147">
        <v>1968</v>
      </c>
      <c r="F23" s="141"/>
      <c r="G23" s="148" t="s">
        <v>90</v>
      </c>
      <c r="H23" s="141">
        <v>5</v>
      </c>
      <c r="I23" s="141">
        <v>6</v>
      </c>
      <c r="J23" s="142">
        <v>4925.8100000000004</v>
      </c>
      <c r="K23" s="142">
        <v>4501.8100000000004</v>
      </c>
      <c r="L23" s="142">
        <v>4501.8100000000004</v>
      </c>
      <c r="M23" s="141">
        <v>216</v>
      </c>
      <c r="N23" s="143">
        <f>'Приложение 2'!E26</f>
        <v>2979045.82</v>
      </c>
      <c r="O23" s="797">
        <v>0</v>
      </c>
      <c r="P23" s="797">
        <v>0</v>
      </c>
      <c r="Q23" s="797">
        <v>0</v>
      </c>
      <c r="R23" s="797">
        <f t="shared" si="2"/>
        <v>2979045.82</v>
      </c>
      <c r="S23" s="797">
        <f t="shared" si="1"/>
        <v>661.74401407433891</v>
      </c>
      <c r="T23" s="797">
        <v>4180</v>
      </c>
      <c r="U23" s="132" t="s">
        <v>228</v>
      </c>
      <c r="V23" s="144">
        <f t="shared" si="3"/>
        <v>3518.2559859256612</v>
      </c>
      <c r="W23" s="145"/>
    </row>
    <row r="24" spans="1:23" ht="9" customHeight="1">
      <c r="A24" s="803">
        <v>9</v>
      </c>
      <c r="B24" s="39" t="s">
        <v>412</v>
      </c>
      <c r="C24" s="137" t="s">
        <v>1007</v>
      </c>
      <c r="D24" s="137"/>
      <c r="E24" s="147">
        <v>1987</v>
      </c>
      <c r="F24" s="141"/>
      <c r="G24" s="148" t="s">
        <v>88</v>
      </c>
      <c r="H24" s="141">
        <v>14</v>
      </c>
      <c r="I24" s="141">
        <v>1</v>
      </c>
      <c r="J24" s="142">
        <v>5014</v>
      </c>
      <c r="K24" s="142">
        <v>4452.8</v>
      </c>
      <c r="L24" s="142">
        <v>4452.8</v>
      </c>
      <c r="M24" s="141">
        <v>210</v>
      </c>
      <c r="N24" s="143">
        <f>'Приложение 2'!E27</f>
        <v>2909823.25</v>
      </c>
      <c r="O24" s="797">
        <v>0</v>
      </c>
      <c r="P24" s="797">
        <v>0</v>
      </c>
      <c r="Q24" s="797">
        <v>0</v>
      </c>
      <c r="R24" s="797">
        <f t="shared" si="2"/>
        <v>2909823.25</v>
      </c>
      <c r="S24" s="797">
        <f>N24/K24</f>
        <v>653.4816856809199</v>
      </c>
      <c r="T24" s="797">
        <f>3090099.49*'Приложение 2'!G27/'Приложение 1'!K24</f>
        <v>693.96772592526054</v>
      </c>
      <c r="U24" s="132" t="s">
        <v>228</v>
      </c>
      <c r="V24" s="144">
        <f t="shared" si="3"/>
        <v>40.486040244340643</v>
      </c>
      <c r="W24" s="145"/>
    </row>
    <row r="25" spans="1:23" ht="9" customHeight="1">
      <c r="A25" s="803">
        <v>10</v>
      </c>
      <c r="B25" s="136" t="s">
        <v>120</v>
      </c>
      <c r="C25" s="137" t="s">
        <v>1005</v>
      </c>
      <c r="D25" s="137"/>
      <c r="E25" s="138">
        <v>1978</v>
      </c>
      <c r="F25" s="146"/>
      <c r="G25" s="148" t="s">
        <v>90</v>
      </c>
      <c r="H25" s="141">
        <v>5</v>
      </c>
      <c r="I25" s="141">
        <v>4</v>
      </c>
      <c r="J25" s="142">
        <v>3572.8</v>
      </c>
      <c r="K25" s="142">
        <v>3352</v>
      </c>
      <c r="L25" s="142">
        <v>3352</v>
      </c>
      <c r="M25" s="141">
        <v>156</v>
      </c>
      <c r="N25" s="143">
        <f>'Приложение 2'!E28</f>
        <v>2260048.5099999998</v>
      </c>
      <c r="O25" s="797">
        <v>0</v>
      </c>
      <c r="P25" s="797">
        <v>0</v>
      </c>
      <c r="Q25" s="797">
        <v>0</v>
      </c>
      <c r="R25" s="797">
        <f t="shared" si="2"/>
        <v>2260048.5099999998</v>
      </c>
      <c r="S25" s="797">
        <f t="shared" si="1"/>
        <v>674.23881563245811</v>
      </c>
      <c r="T25" s="797">
        <v>4180</v>
      </c>
      <c r="U25" s="132" t="s">
        <v>228</v>
      </c>
      <c r="V25" s="144">
        <f t="shared" si="3"/>
        <v>3505.7611843675418</v>
      </c>
      <c r="W25" s="145"/>
    </row>
    <row r="26" spans="1:23" ht="9" customHeight="1">
      <c r="A26" s="803">
        <v>11</v>
      </c>
      <c r="B26" s="136" t="s">
        <v>121</v>
      </c>
      <c r="C26" s="137" t="s">
        <v>1008</v>
      </c>
      <c r="D26" s="137"/>
      <c r="E26" s="138">
        <v>1980</v>
      </c>
      <c r="F26" s="146"/>
      <c r="G26" s="140" t="s">
        <v>88</v>
      </c>
      <c r="H26" s="141">
        <v>5</v>
      </c>
      <c r="I26" s="141">
        <v>5</v>
      </c>
      <c r="J26" s="142">
        <v>4893.7</v>
      </c>
      <c r="K26" s="142">
        <v>4311.7</v>
      </c>
      <c r="L26" s="142">
        <v>3831.8</v>
      </c>
      <c r="M26" s="141">
        <v>178</v>
      </c>
      <c r="N26" s="143">
        <f>'Приложение 2'!E29</f>
        <v>4502034.7</v>
      </c>
      <c r="O26" s="797">
        <v>0</v>
      </c>
      <c r="P26" s="797">
        <v>0</v>
      </c>
      <c r="Q26" s="797">
        <v>0</v>
      </c>
      <c r="R26" s="797">
        <f t="shared" si="2"/>
        <v>4502034.7</v>
      </c>
      <c r="S26" s="797">
        <f t="shared" si="1"/>
        <v>1044.1437715982097</v>
      </c>
      <c r="T26" s="797">
        <v>4984.6499999999996</v>
      </c>
      <c r="U26" s="132" t="s">
        <v>228</v>
      </c>
      <c r="V26" s="144">
        <f t="shared" si="3"/>
        <v>3940.5062284017899</v>
      </c>
      <c r="W26" s="145"/>
    </row>
    <row r="27" spans="1:23" ht="9" customHeight="1">
      <c r="A27" s="803">
        <v>12</v>
      </c>
      <c r="B27" s="136" t="s">
        <v>122</v>
      </c>
      <c r="C27" s="137" t="s">
        <v>1006</v>
      </c>
      <c r="D27" s="137"/>
      <c r="E27" s="138">
        <v>1953</v>
      </c>
      <c r="F27" s="146"/>
      <c r="G27" s="140" t="s">
        <v>88</v>
      </c>
      <c r="H27" s="141">
        <v>2</v>
      </c>
      <c r="I27" s="141">
        <v>1</v>
      </c>
      <c r="J27" s="142">
        <v>264.89999999999998</v>
      </c>
      <c r="K27" s="142">
        <v>249.9</v>
      </c>
      <c r="L27" s="142">
        <v>249.9</v>
      </c>
      <c r="M27" s="141">
        <v>15</v>
      </c>
      <c r="N27" s="143">
        <f>'Приложение 2'!E30</f>
        <v>838771.23</v>
      </c>
      <c r="O27" s="797">
        <v>0</v>
      </c>
      <c r="P27" s="797">
        <v>0</v>
      </c>
      <c r="Q27" s="797">
        <v>0</v>
      </c>
      <c r="R27" s="797">
        <f t="shared" si="2"/>
        <v>838771.23</v>
      </c>
      <c r="S27" s="797">
        <f t="shared" si="1"/>
        <v>3356.4274909963983</v>
      </c>
      <c r="T27" s="797">
        <v>4503.95</v>
      </c>
      <c r="U27" s="132" t="s">
        <v>228</v>
      </c>
      <c r="V27" s="144">
        <f t="shared" si="3"/>
        <v>1147.5225090036015</v>
      </c>
      <c r="W27" s="145"/>
    </row>
    <row r="28" spans="1:23" ht="9" customHeight="1">
      <c r="A28" s="803">
        <v>13</v>
      </c>
      <c r="B28" s="136" t="s">
        <v>123</v>
      </c>
      <c r="C28" s="137" t="s">
        <v>1006</v>
      </c>
      <c r="D28" s="137"/>
      <c r="E28" s="138">
        <v>1953</v>
      </c>
      <c r="F28" s="146"/>
      <c r="G28" s="140" t="s">
        <v>88</v>
      </c>
      <c r="H28" s="141">
        <v>2</v>
      </c>
      <c r="I28" s="141">
        <v>1</v>
      </c>
      <c r="J28" s="142">
        <v>459.8</v>
      </c>
      <c r="K28" s="142">
        <v>416.8</v>
      </c>
      <c r="L28" s="142">
        <v>287.7</v>
      </c>
      <c r="M28" s="141">
        <v>12</v>
      </c>
      <c r="N28" s="143">
        <f>'Приложение 2'!E31</f>
        <v>1285344.3999999999</v>
      </c>
      <c r="O28" s="797">
        <v>0</v>
      </c>
      <c r="P28" s="797">
        <v>0</v>
      </c>
      <c r="Q28" s="797">
        <v>0</v>
      </c>
      <c r="R28" s="797">
        <f t="shared" si="2"/>
        <v>1285344.3999999999</v>
      </c>
      <c r="S28" s="797">
        <f t="shared" si="1"/>
        <v>3083.8397312859884</v>
      </c>
      <c r="T28" s="797">
        <v>4503.95</v>
      </c>
      <c r="U28" s="132" t="s">
        <v>228</v>
      </c>
      <c r="V28" s="144">
        <f t="shared" si="3"/>
        <v>1420.1102687140115</v>
      </c>
      <c r="W28" s="145"/>
    </row>
    <row r="29" spans="1:23" ht="9" customHeight="1">
      <c r="A29" s="803">
        <v>14</v>
      </c>
      <c r="B29" s="136" t="s">
        <v>124</v>
      </c>
      <c r="C29" s="137" t="s">
        <v>1006</v>
      </c>
      <c r="D29" s="137"/>
      <c r="E29" s="138">
        <v>1955</v>
      </c>
      <c r="F29" s="146"/>
      <c r="G29" s="140" t="s">
        <v>88</v>
      </c>
      <c r="H29" s="141">
        <v>2</v>
      </c>
      <c r="I29" s="141">
        <v>3</v>
      </c>
      <c r="J29" s="142">
        <v>950.9</v>
      </c>
      <c r="K29" s="142">
        <v>829.9</v>
      </c>
      <c r="L29" s="142">
        <v>711.9</v>
      </c>
      <c r="M29" s="141">
        <v>32</v>
      </c>
      <c r="N29" s="143">
        <f>'Приложение 2'!E32</f>
        <v>2759817.8</v>
      </c>
      <c r="O29" s="797">
        <v>0</v>
      </c>
      <c r="P29" s="797">
        <v>0</v>
      </c>
      <c r="Q29" s="797">
        <v>0</v>
      </c>
      <c r="R29" s="797">
        <f t="shared" si="2"/>
        <v>2759817.8</v>
      </c>
      <c r="S29" s="797">
        <f t="shared" si="1"/>
        <v>3325.4823472707553</v>
      </c>
      <c r="T29" s="797">
        <v>4503.95</v>
      </c>
      <c r="U29" s="132" t="s">
        <v>228</v>
      </c>
      <c r="V29" s="144">
        <f t="shared" si="3"/>
        <v>1178.4676527292445</v>
      </c>
      <c r="W29" s="145"/>
    </row>
    <row r="30" spans="1:23" ht="9" customHeight="1">
      <c r="A30" s="803">
        <v>15</v>
      </c>
      <c r="B30" s="136" t="s">
        <v>125</v>
      </c>
      <c r="C30" s="137" t="s">
        <v>1008</v>
      </c>
      <c r="D30" s="137"/>
      <c r="E30" s="147">
        <v>1965</v>
      </c>
      <c r="F30" s="141"/>
      <c r="G30" s="148" t="s">
        <v>90</v>
      </c>
      <c r="H30" s="141">
        <v>5</v>
      </c>
      <c r="I30" s="141">
        <v>4</v>
      </c>
      <c r="J30" s="142">
        <v>4088.45</v>
      </c>
      <c r="K30" s="142">
        <v>3784.45</v>
      </c>
      <c r="L30" s="142">
        <v>3556.75</v>
      </c>
      <c r="M30" s="141">
        <v>166</v>
      </c>
      <c r="N30" s="143">
        <f>'Приложение 2'!E33</f>
        <v>6293754.2000000002</v>
      </c>
      <c r="O30" s="797">
        <v>0</v>
      </c>
      <c r="P30" s="797">
        <v>0</v>
      </c>
      <c r="Q30" s="797">
        <v>0</v>
      </c>
      <c r="R30" s="797">
        <f t="shared" si="2"/>
        <v>6293754.2000000002</v>
      </c>
      <c r="S30" s="797">
        <f t="shared" si="1"/>
        <v>1663.0565075506349</v>
      </c>
      <c r="T30" s="797">
        <v>4984.6499999999996</v>
      </c>
      <c r="U30" s="132" t="s">
        <v>228</v>
      </c>
      <c r="V30" s="144">
        <f t="shared" si="3"/>
        <v>3321.5934924493649</v>
      </c>
      <c r="W30" s="145"/>
    </row>
    <row r="31" spans="1:23" ht="9" customHeight="1">
      <c r="A31" s="803">
        <v>16</v>
      </c>
      <c r="B31" s="136" t="s">
        <v>127</v>
      </c>
      <c r="C31" s="137" t="s">
        <v>1006</v>
      </c>
      <c r="D31" s="137"/>
      <c r="E31" s="138">
        <v>1957</v>
      </c>
      <c r="F31" s="146"/>
      <c r="G31" s="140" t="s">
        <v>88</v>
      </c>
      <c r="H31" s="141">
        <v>3</v>
      </c>
      <c r="I31" s="141">
        <v>3</v>
      </c>
      <c r="J31" s="142">
        <v>1048</v>
      </c>
      <c r="K31" s="142">
        <v>975</v>
      </c>
      <c r="L31" s="142">
        <v>779.9</v>
      </c>
      <c r="M31" s="141">
        <v>32</v>
      </c>
      <c r="N31" s="143">
        <f>'Приложение 2'!E34</f>
        <v>2698512.99</v>
      </c>
      <c r="O31" s="797">
        <v>0</v>
      </c>
      <c r="P31" s="797">
        <v>0</v>
      </c>
      <c r="Q31" s="797">
        <v>0</v>
      </c>
      <c r="R31" s="797">
        <f t="shared" si="2"/>
        <v>2698512.99</v>
      </c>
      <c r="S31" s="797">
        <f t="shared" si="1"/>
        <v>2767.705630769231</v>
      </c>
      <c r="T31" s="797">
        <v>4503.95</v>
      </c>
      <c r="U31" s="132" t="s">
        <v>228</v>
      </c>
      <c r="V31" s="144">
        <f t="shared" si="3"/>
        <v>1736.2443692307688</v>
      </c>
      <c r="W31" s="145"/>
    </row>
    <row r="32" spans="1:23" ht="9" customHeight="1">
      <c r="A32" s="803">
        <v>17</v>
      </c>
      <c r="B32" s="136" t="s">
        <v>128</v>
      </c>
      <c r="C32" s="137" t="s">
        <v>1006</v>
      </c>
      <c r="D32" s="137"/>
      <c r="E32" s="138">
        <v>1957</v>
      </c>
      <c r="F32" s="146"/>
      <c r="G32" s="140" t="s">
        <v>88</v>
      </c>
      <c r="H32" s="141">
        <v>2</v>
      </c>
      <c r="I32" s="141">
        <v>2</v>
      </c>
      <c r="J32" s="142">
        <v>695.2</v>
      </c>
      <c r="K32" s="142">
        <v>602.20000000000005</v>
      </c>
      <c r="L32" s="142">
        <v>602.20000000000005</v>
      </c>
      <c r="M32" s="141">
        <v>28</v>
      </c>
      <c r="N32" s="143">
        <f>'Приложение 2'!E35</f>
        <v>1347073.2</v>
      </c>
      <c r="O32" s="797">
        <v>0</v>
      </c>
      <c r="P32" s="797">
        <v>0</v>
      </c>
      <c r="Q32" s="797">
        <v>0</v>
      </c>
      <c r="R32" s="797">
        <f t="shared" si="2"/>
        <v>1347073.2</v>
      </c>
      <c r="S32" s="797">
        <f t="shared" si="1"/>
        <v>2236.9199601461305</v>
      </c>
      <c r="T32" s="797">
        <v>4503.95</v>
      </c>
      <c r="U32" s="132" t="s">
        <v>228</v>
      </c>
      <c r="V32" s="144">
        <f t="shared" si="3"/>
        <v>2267.0300398538693</v>
      </c>
      <c r="W32" s="145"/>
    </row>
    <row r="33" spans="1:23" ht="9" customHeight="1">
      <c r="A33" s="803">
        <v>18</v>
      </c>
      <c r="B33" s="136" t="s">
        <v>129</v>
      </c>
      <c r="C33" s="137" t="s">
        <v>1006</v>
      </c>
      <c r="D33" s="137"/>
      <c r="E33" s="138">
        <v>1956</v>
      </c>
      <c r="F33" s="146"/>
      <c r="G33" s="140" t="s">
        <v>88</v>
      </c>
      <c r="H33" s="141">
        <v>3</v>
      </c>
      <c r="I33" s="141">
        <v>3</v>
      </c>
      <c r="J33" s="142">
        <v>1188.0999999999999</v>
      </c>
      <c r="K33" s="142">
        <v>981.1</v>
      </c>
      <c r="L33" s="142">
        <v>805.2</v>
      </c>
      <c r="M33" s="141">
        <v>32</v>
      </c>
      <c r="N33" s="143">
        <f>'Приложение 2'!E36</f>
        <v>2481689.17</v>
      </c>
      <c r="O33" s="797">
        <v>0</v>
      </c>
      <c r="P33" s="797">
        <v>0</v>
      </c>
      <c r="Q33" s="797">
        <v>0</v>
      </c>
      <c r="R33" s="797">
        <f t="shared" si="2"/>
        <v>2481689.17</v>
      </c>
      <c r="S33" s="797">
        <f t="shared" si="1"/>
        <v>2529.4966568137802</v>
      </c>
      <c r="T33" s="797">
        <v>4503.95</v>
      </c>
      <c r="U33" s="132" t="s">
        <v>228</v>
      </c>
      <c r="V33" s="144">
        <f t="shared" si="3"/>
        <v>1974.4533431862196</v>
      </c>
      <c r="W33" s="145"/>
    </row>
    <row r="34" spans="1:23" ht="9" customHeight="1">
      <c r="A34" s="803">
        <v>19</v>
      </c>
      <c r="B34" s="136" t="s">
        <v>130</v>
      </c>
      <c r="C34" s="137" t="s">
        <v>1009</v>
      </c>
      <c r="D34" s="137"/>
      <c r="E34" s="138">
        <v>1983</v>
      </c>
      <c r="F34" s="146"/>
      <c r="G34" s="148" t="s">
        <v>90</v>
      </c>
      <c r="H34" s="141">
        <v>12</v>
      </c>
      <c r="I34" s="141">
        <v>6</v>
      </c>
      <c r="J34" s="142">
        <v>16312.4</v>
      </c>
      <c r="K34" s="142">
        <v>14748.4</v>
      </c>
      <c r="L34" s="142">
        <v>14701.4</v>
      </c>
      <c r="M34" s="141">
        <v>711</v>
      </c>
      <c r="N34" s="143">
        <f>'Приложение 2'!E37</f>
        <v>15391428.949999999</v>
      </c>
      <c r="O34" s="797">
        <v>0</v>
      </c>
      <c r="P34" s="797">
        <v>0</v>
      </c>
      <c r="Q34" s="797">
        <v>0</v>
      </c>
      <c r="R34" s="797">
        <f t="shared" si="2"/>
        <v>15391428.949999999</v>
      </c>
      <c r="S34" s="797">
        <f t="shared" si="1"/>
        <v>1043.5999125328849</v>
      </c>
      <c r="T34" s="797">
        <v>2194.5</v>
      </c>
      <c r="U34" s="132" t="s">
        <v>228</v>
      </c>
      <c r="V34" s="144">
        <f t="shared" si="3"/>
        <v>1150.9000874671151</v>
      </c>
      <c r="W34" s="145"/>
    </row>
    <row r="35" spans="1:23" ht="9" customHeight="1">
      <c r="A35" s="803">
        <v>20</v>
      </c>
      <c r="B35" s="136" t="s">
        <v>131</v>
      </c>
      <c r="C35" s="137" t="s">
        <v>1006</v>
      </c>
      <c r="D35" s="137"/>
      <c r="E35" s="138">
        <v>1959</v>
      </c>
      <c r="F35" s="146"/>
      <c r="G35" s="140" t="s">
        <v>88</v>
      </c>
      <c r="H35" s="141">
        <v>2</v>
      </c>
      <c r="I35" s="141">
        <v>2</v>
      </c>
      <c r="J35" s="142">
        <v>686.7</v>
      </c>
      <c r="K35" s="142">
        <v>638.29999999999995</v>
      </c>
      <c r="L35" s="142">
        <v>638.29999999999995</v>
      </c>
      <c r="M35" s="141">
        <v>29</v>
      </c>
      <c r="N35" s="143">
        <f>'Приложение 2'!E38</f>
        <v>1926039.32</v>
      </c>
      <c r="O35" s="797">
        <v>0</v>
      </c>
      <c r="P35" s="797">
        <v>0</v>
      </c>
      <c r="Q35" s="797">
        <v>0</v>
      </c>
      <c r="R35" s="797">
        <f t="shared" si="2"/>
        <v>1926039.32</v>
      </c>
      <c r="S35" s="797">
        <f t="shared" si="1"/>
        <v>3017.4515431615232</v>
      </c>
      <c r="T35" s="797">
        <v>4503.95</v>
      </c>
      <c r="U35" s="132" t="s">
        <v>228</v>
      </c>
      <c r="V35" s="144">
        <f t="shared" si="3"/>
        <v>1486.4984568384766</v>
      </c>
      <c r="W35" s="145"/>
    </row>
    <row r="36" spans="1:23" ht="9" customHeight="1">
      <c r="A36" s="803">
        <v>21</v>
      </c>
      <c r="B36" s="136" t="s">
        <v>132</v>
      </c>
      <c r="C36" s="137" t="s">
        <v>1006</v>
      </c>
      <c r="D36" s="137"/>
      <c r="E36" s="138">
        <v>1959</v>
      </c>
      <c r="F36" s="146"/>
      <c r="G36" s="140" t="s">
        <v>88</v>
      </c>
      <c r="H36" s="141">
        <v>2</v>
      </c>
      <c r="I36" s="141">
        <v>2</v>
      </c>
      <c r="J36" s="142">
        <v>686.1</v>
      </c>
      <c r="K36" s="142">
        <v>639.9</v>
      </c>
      <c r="L36" s="142">
        <v>639.9</v>
      </c>
      <c r="M36" s="141">
        <v>32</v>
      </c>
      <c r="N36" s="143">
        <f>'Приложение 2'!E39</f>
        <v>1947900.92</v>
      </c>
      <c r="O36" s="797">
        <v>0</v>
      </c>
      <c r="P36" s="797">
        <v>0</v>
      </c>
      <c r="Q36" s="797">
        <v>0</v>
      </c>
      <c r="R36" s="797">
        <f t="shared" si="2"/>
        <v>1947900.92</v>
      </c>
      <c r="S36" s="797">
        <f t="shared" si="1"/>
        <v>3044.0708235661823</v>
      </c>
      <c r="T36" s="797">
        <v>4503.95</v>
      </c>
      <c r="U36" s="132" t="s">
        <v>228</v>
      </c>
      <c r="V36" s="144">
        <f t="shared" si="3"/>
        <v>1459.8791764338175</v>
      </c>
      <c r="W36" s="145"/>
    </row>
    <row r="37" spans="1:23" ht="9" customHeight="1">
      <c r="A37" s="803">
        <v>22</v>
      </c>
      <c r="B37" s="136" t="s">
        <v>133</v>
      </c>
      <c r="C37" s="137" t="s">
        <v>1009</v>
      </c>
      <c r="D37" s="137"/>
      <c r="E37" s="138">
        <v>1965</v>
      </c>
      <c r="F37" s="146"/>
      <c r="G37" s="140" t="s">
        <v>88</v>
      </c>
      <c r="H37" s="141">
        <v>5</v>
      </c>
      <c r="I37" s="141">
        <v>4</v>
      </c>
      <c r="J37" s="142">
        <v>3847.8</v>
      </c>
      <c r="K37" s="142">
        <v>3555.8</v>
      </c>
      <c r="L37" s="142">
        <v>3555.8</v>
      </c>
      <c r="M37" s="141">
        <v>181</v>
      </c>
      <c r="N37" s="143">
        <f>'Приложение 2'!E40</f>
        <v>4092005.44</v>
      </c>
      <c r="O37" s="797">
        <v>0</v>
      </c>
      <c r="P37" s="797">
        <v>0</v>
      </c>
      <c r="Q37" s="797">
        <v>0</v>
      </c>
      <c r="R37" s="797">
        <f t="shared" si="2"/>
        <v>4092005.44</v>
      </c>
      <c r="S37" s="797">
        <f t="shared" si="1"/>
        <v>1150.7974126778784</v>
      </c>
      <c r="T37" s="797">
        <v>3929.2</v>
      </c>
      <c r="U37" s="132" t="s">
        <v>228</v>
      </c>
      <c r="V37" s="144">
        <f t="shared" si="3"/>
        <v>2778.4025873221217</v>
      </c>
      <c r="W37" s="145"/>
    </row>
    <row r="38" spans="1:23" ht="9" customHeight="1">
      <c r="A38" s="803">
        <v>23</v>
      </c>
      <c r="B38" s="136" t="s">
        <v>134</v>
      </c>
      <c r="C38" s="137" t="s">
        <v>1005</v>
      </c>
      <c r="D38" s="137"/>
      <c r="E38" s="138">
        <v>1963</v>
      </c>
      <c r="F38" s="146"/>
      <c r="G38" s="148" t="s">
        <v>90</v>
      </c>
      <c r="H38" s="141">
        <v>5</v>
      </c>
      <c r="I38" s="141">
        <v>4</v>
      </c>
      <c r="J38" s="142">
        <v>3814.7</v>
      </c>
      <c r="K38" s="142">
        <v>3514.7</v>
      </c>
      <c r="L38" s="142">
        <v>3424.2</v>
      </c>
      <c r="M38" s="141">
        <v>183</v>
      </c>
      <c r="N38" s="143">
        <f>'Приложение 2'!E41</f>
        <v>3859085.66</v>
      </c>
      <c r="O38" s="797">
        <v>0</v>
      </c>
      <c r="P38" s="797">
        <v>0</v>
      </c>
      <c r="Q38" s="797">
        <v>0</v>
      </c>
      <c r="R38" s="797">
        <f t="shared" si="2"/>
        <v>3859085.66</v>
      </c>
      <c r="S38" s="797">
        <f t="shared" si="1"/>
        <v>1097.9843685094036</v>
      </c>
      <c r="T38" s="797">
        <v>4180</v>
      </c>
      <c r="U38" s="132" t="s">
        <v>228</v>
      </c>
      <c r="V38" s="144">
        <f t="shared" si="3"/>
        <v>3082.0156314905962</v>
      </c>
      <c r="W38" s="145"/>
    </row>
    <row r="39" spans="1:23" ht="9" customHeight="1">
      <c r="A39" s="803">
        <v>24</v>
      </c>
      <c r="B39" s="136" t="s">
        <v>135</v>
      </c>
      <c r="C39" s="137" t="s">
        <v>1006</v>
      </c>
      <c r="D39" s="137"/>
      <c r="E39" s="138">
        <v>1951</v>
      </c>
      <c r="F39" s="146"/>
      <c r="G39" s="140" t="s">
        <v>209</v>
      </c>
      <c r="H39" s="141">
        <v>2</v>
      </c>
      <c r="I39" s="141">
        <v>3</v>
      </c>
      <c r="J39" s="142">
        <v>918.7</v>
      </c>
      <c r="K39" s="142">
        <v>822.7</v>
      </c>
      <c r="L39" s="142">
        <v>822.7</v>
      </c>
      <c r="M39" s="141">
        <v>36</v>
      </c>
      <c r="N39" s="143">
        <f>'Приложение 2'!E42</f>
        <v>2413625.36</v>
      </c>
      <c r="O39" s="797">
        <v>0</v>
      </c>
      <c r="P39" s="797">
        <v>0</v>
      </c>
      <c r="Q39" s="797">
        <v>0</v>
      </c>
      <c r="R39" s="797">
        <f t="shared" si="2"/>
        <v>2413625.36</v>
      </c>
      <c r="S39" s="797">
        <f t="shared" si="1"/>
        <v>2933.7855354321136</v>
      </c>
      <c r="T39" s="797">
        <v>4503.95</v>
      </c>
      <c r="U39" s="132" t="s">
        <v>228</v>
      </c>
      <c r="V39" s="144">
        <f t="shared" si="3"/>
        <v>1570.1644645678862</v>
      </c>
      <c r="W39" s="145"/>
    </row>
    <row r="40" spans="1:23" ht="9" customHeight="1">
      <c r="A40" s="803">
        <v>25</v>
      </c>
      <c r="B40" s="136" t="s">
        <v>136</v>
      </c>
      <c r="C40" s="137" t="s">
        <v>1006</v>
      </c>
      <c r="D40" s="137"/>
      <c r="E40" s="138">
        <v>1958</v>
      </c>
      <c r="F40" s="139">
        <v>1985</v>
      </c>
      <c r="G40" s="140" t="s">
        <v>88</v>
      </c>
      <c r="H40" s="141">
        <v>2</v>
      </c>
      <c r="I40" s="141">
        <v>2</v>
      </c>
      <c r="J40" s="142">
        <v>532.70000000000005</v>
      </c>
      <c r="K40" s="142">
        <v>503.1</v>
      </c>
      <c r="L40" s="142">
        <v>503.1</v>
      </c>
      <c r="M40" s="141">
        <v>22</v>
      </c>
      <c r="N40" s="143">
        <f>'Приложение 2'!E43</f>
        <v>1656158.28</v>
      </c>
      <c r="O40" s="797">
        <v>0</v>
      </c>
      <c r="P40" s="797">
        <v>0</v>
      </c>
      <c r="Q40" s="797">
        <v>0</v>
      </c>
      <c r="R40" s="797">
        <f t="shared" si="2"/>
        <v>1656158.28</v>
      </c>
      <c r="S40" s="797">
        <f t="shared" si="1"/>
        <v>3291.9067382230173</v>
      </c>
      <c r="T40" s="797">
        <v>4503.95</v>
      </c>
      <c r="U40" s="132" t="s">
        <v>228</v>
      </c>
      <c r="V40" s="144">
        <f t="shared" si="3"/>
        <v>1212.0432617769825</v>
      </c>
      <c r="W40" s="145"/>
    </row>
    <row r="41" spans="1:23" ht="9" customHeight="1">
      <c r="A41" s="803">
        <v>26</v>
      </c>
      <c r="B41" s="136" t="s">
        <v>137</v>
      </c>
      <c r="C41" s="137" t="s">
        <v>1005</v>
      </c>
      <c r="D41" s="137"/>
      <c r="E41" s="147">
        <v>1973</v>
      </c>
      <c r="F41" s="141"/>
      <c r="G41" s="140" t="s">
        <v>88</v>
      </c>
      <c r="H41" s="141">
        <v>5</v>
      </c>
      <c r="I41" s="141">
        <v>3</v>
      </c>
      <c r="J41" s="142">
        <v>4062.2</v>
      </c>
      <c r="K41" s="142">
        <v>2442.4</v>
      </c>
      <c r="L41" s="142">
        <v>2256.6</v>
      </c>
      <c r="M41" s="141">
        <v>226</v>
      </c>
      <c r="N41" s="143">
        <f>'Приложение 2'!E44</f>
        <v>3253567.42</v>
      </c>
      <c r="O41" s="797">
        <v>0</v>
      </c>
      <c r="P41" s="797">
        <v>0</v>
      </c>
      <c r="Q41" s="797">
        <v>0</v>
      </c>
      <c r="R41" s="797">
        <f t="shared" si="2"/>
        <v>3253567.42</v>
      </c>
      <c r="S41" s="797">
        <f t="shared" si="1"/>
        <v>1332.1189895185064</v>
      </c>
      <c r="T41" s="797">
        <v>4180</v>
      </c>
      <c r="U41" s="132" t="s">
        <v>228</v>
      </c>
      <c r="V41" s="144">
        <f t="shared" si="3"/>
        <v>2847.8810104814938</v>
      </c>
      <c r="W41" s="145"/>
    </row>
    <row r="42" spans="1:23" ht="9" customHeight="1">
      <c r="A42" s="803">
        <v>27</v>
      </c>
      <c r="B42" s="136" t="s">
        <v>138</v>
      </c>
      <c r="C42" s="137" t="s">
        <v>1008</v>
      </c>
      <c r="D42" s="137"/>
      <c r="E42" s="147">
        <v>1965</v>
      </c>
      <c r="F42" s="141"/>
      <c r="G42" s="148" t="s">
        <v>90</v>
      </c>
      <c r="H42" s="141">
        <v>5</v>
      </c>
      <c r="I42" s="141">
        <v>3</v>
      </c>
      <c r="J42" s="142">
        <v>2847.7</v>
      </c>
      <c r="K42" s="142">
        <v>2616.6999999999998</v>
      </c>
      <c r="L42" s="142">
        <v>2616.6999999999998</v>
      </c>
      <c r="M42" s="141">
        <v>117</v>
      </c>
      <c r="N42" s="143">
        <f>'Приложение 2'!E45</f>
        <v>4482770.3499999996</v>
      </c>
      <c r="O42" s="797">
        <v>0</v>
      </c>
      <c r="P42" s="797">
        <v>0</v>
      </c>
      <c r="Q42" s="797">
        <v>0</v>
      </c>
      <c r="R42" s="797">
        <f t="shared" si="2"/>
        <v>4482770.3499999996</v>
      </c>
      <c r="S42" s="797">
        <f t="shared" si="1"/>
        <v>1713.1388198876448</v>
      </c>
      <c r="T42" s="797">
        <v>4984.6499999999996</v>
      </c>
      <c r="U42" s="132" t="s">
        <v>228</v>
      </c>
      <c r="V42" s="144">
        <f t="shared" si="3"/>
        <v>3271.5111801123549</v>
      </c>
      <c r="W42" s="145"/>
    </row>
    <row r="43" spans="1:23" ht="9" customHeight="1">
      <c r="A43" s="803">
        <v>28</v>
      </c>
      <c r="B43" s="136" t="s">
        <v>139</v>
      </c>
      <c r="C43" s="137" t="s">
        <v>1006</v>
      </c>
      <c r="D43" s="137"/>
      <c r="E43" s="147">
        <v>1936</v>
      </c>
      <c r="F43" s="141"/>
      <c r="G43" s="148" t="s">
        <v>88</v>
      </c>
      <c r="H43" s="141">
        <v>2</v>
      </c>
      <c r="I43" s="141">
        <v>2</v>
      </c>
      <c r="J43" s="142">
        <v>433.8</v>
      </c>
      <c r="K43" s="142">
        <v>379.8</v>
      </c>
      <c r="L43" s="142">
        <v>379.8</v>
      </c>
      <c r="M43" s="141">
        <v>28</v>
      </c>
      <c r="N43" s="143">
        <f>'Приложение 2'!E46</f>
        <v>1282926.6499999999</v>
      </c>
      <c r="O43" s="797">
        <v>0</v>
      </c>
      <c r="P43" s="797">
        <v>0</v>
      </c>
      <c r="Q43" s="797">
        <v>0</v>
      </c>
      <c r="R43" s="797">
        <f t="shared" si="2"/>
        <v>1282926.6499999999</v>
      </c>
      <c r="S43" s="797">
        <f t="shared" si="1"/>
        <v>3377.900605581885</v>
      </c>
      <c r="T43" s="797">
        <v>4503.95</v>
      </c>
      <c r="U43" s="132" t="s">
        <v>228</v>
      </c>
      <c r="V43" s="144">
        <f t="shared" si="3"/>
        <v>1126.0493944181148</v>
      </c>
      <c r="W43" s="145"/>
    </row>
    <row r="44" spans="1:23" ht="9" customHeight="1">
      <c r="A44" s="803">
        <v>29</v>
      </c>
      <c r="B44" s="136" t="s">
        <v>140</v>
      </c>
      <c r="C44" s="137" t="s">
        <v>1006</v>
      </c>
      <c r="D44" s="137"/>
      <c r="E44" s="138">
        <v>1963</v>
      </c>
      <c r="F44" s="146"/>
      <c r="G44" s="148" t="s">
        <v>88</v>
      </c>
      <c r="H44" s="141">
        <v>5</v>
      </c>
      <c r="I44" s="141">
        <v>3</v>
      </c>
      <c r="J44" s="142">
        <v>3022</v>
      </c>
      <c r="K44" s="142">
        <v>2837.5</v>
      </c>
      <c r="L44" s="142">
        <v>2837.5</v>
      </c>
      <c r="M44" s="141">
        <v>177</v>
      </c>
      <c r="N44" s="143">
        <f>'Приложение 2'!E47</f>
        <v>3296467.75</v>
      </c>
      <c r="O44" s="797">
        <v>0</v>
      </c>
      <c r="P44" s="797">
        <v>0</v>
      </c>
      <c r="Q44" s="797">
        <v>0</v>
      </c>
      <c r="R44" s="797">
        <f t="shared" si="2"/>
        <v>3296467.75</v>
      </c>
      <c r="S44" s="797">
        <f t="shared" si="1"/>
        <v>1161.7507488986785</v>
      </c>
      <c r="T44" s="797">
        <v>4503.95</v>
      </c>
      <c r="U44" s="132" t="s">
        <v>228</v>
      </c>
      <c r="V44" s="144">
        <f t="shared" si="3"/>
        <v>3342.1992511013214</v>
      </c>
      <c r="W44" s="145"/>
    </row>
    <row r="45" spans="1:23" ht="9" customHeight="1">
      <c r="A45" s="803">
        <v>30</v>
      </c>
      <c r="B45" s="136" t="s">
        <v>141</v>
      </c>
      <c r="C45" s="137" t="s">
        <v>1006</v>
      </c>
      <c r="D45" s="137"/>
      <c r="E45" s="138">
        <v>1938</v>
      </c>
      <c r="F45" s="146"/>
      <c r="G45" s="148" t="s">
        <v>88</v>
      </c>
      <c r="H45" s="141">
        <v>2</v>
      </c>
      <c r="I45" s="141">
        <v>2</v>
      </c>
      <c r="J45" s="142">
        <v>638.6</v>
      </c>
      <c r="K45" s="142">
        <v>601.6</v>
      </c>
      <c r="L45" s="142">
        <v>300.10000000000002</v>
      </c>
      <c r="M45" s="141">
        <v>12</v>
      </c>
      <c r="N45" s="143">
        <f>'Приложение 2'!E48</f>
        <v>1843490.35</v>
      </c>
      <c r="O45" s="797">
        <v>0</v>
      </c>
      <c r="P45" s="797">
        <v>0</v>
      </c>
      <c r="Q45" s="797">
        <v>0</v>
      </c>
      <c r="R45" s="797">
        <f t="shared" si="2"/>
        <v>1843490.35</v>
      </c>
      <c r="S45" s="797">
        <f t="shared" si="1"/>
        <v>3064.3124168882978</v>
      </c>
      <c r="T45" s="797">
        <v>4503.95</v>
      </c>
      <c r="U45" s="132" t="s">
        <v>228</v>
      </c>
      <c r="V45" s="144">
        <f t="shared" si="3"/>
        <v>1439.637583111702</v>
      </c>
      <c r="W45" s="145"/>
    </row>
    <row r="46" spans="1:23" ht="9" customHeight="1">
      <c r="A46" s="803">
        <v>31</v>
      </c>
      <c r="B46" s="136" t="s">
        <v>142</v>
      </c>
      <c r="C46" s="137" t="s">
        <v>1005</v>
      </c>
      <c r="D46" s="137"/>
      <c r="E46" s="138">
        <v>1991</v>
      </c>
      <c r="F46" s="146"/>
      <c r="G46" s="140" t="s">
        <v>88</v>
      </c>
      <c r="H46" s="141">
        <v>5</v>
      </c>
      <c r="I46" s="141">
        <v>1</v>
      </c>
      <c r="J46" s="142">
        <v>1307.5999999999999</v>
      </c>
      <c r="K46" s="142">
        <v>1216.5999999999999</v>
      </c>
      <c r="L46" s="142">
        <v>919.6</v>
      </c>
      <c r="M46" s="141">
        <v>71</v>
      </c>
      <c r="N46" s="143">
        <f>'Приложение 2'!E49</f>
        <v>2613699.2599999998</v>
      </c>
      <c r="O46" s="797">
        <v>0</v>
      </c>
      <c r="P46" s="797">
        <v>0</v>
      </c>
      <c r="Q46" s="797">
        <v>0</v>
      </c>
      <c r="R46" s="797">
        <f t="shared" si="2"/>
        <v>2613699.2599999998</v>
      </c>
      <c r="S46" s="797">
        <f t="shared" ref="S46:S75" si="4">N46/K46</f>
        <v>2148.3636856814073</v>
      </c>
      <c r="T46" s="797">
        <v>4180</v>
      </c>
      <c r="U46" s="132" t="s">
        <v>228</v>
      </c>
      <c r="V46" s="144">
        <f t="shared" si="3"/>
        <v>2031.6363143185927</v>
      </c>
      <c r="W46" s="145"/>
    </row>
    <row r="47" spans="1:23" ht="9" customHeight="1">
      <c r="A47" s="803">
        <v>32</v>
      </c>
      <c r="B47" s="136" t="s">
        <v>143</v>
      </c>
      <c r="C47" s="137" t="s">
        <v>1005</v>
      </c>
      <c r="D47" s="137"/>
      <c r="E47" s="147">
        <v>1967</v>
      </c>
      <c r="F47" s="141"/>
      <c r="G47" s="148" t="s">
        <v>88</v>
      </c>
      <c r="H47" s="141">
        <v>5</v>
      </c>
      <c r="I47" s="141">
        <v>2</v>
      </c>
      <c r="J47" s="142">
        <v>1714</v>
      </c>
      <c r="K47" s="142">
        <v>1591.2</v>
      </c>
      <c r="L47" s="142">
        <v>1578.3</v>
      </c>
      <c r="M47" s="141">
        <v>97</v>
      </c>
      <c r="N47" s="143">
        <f>'Приложение 2'!E50</f>
        <v>1411234.78</v>
      </c>
      <c r="O47" s="797">
        <v>0</v>
      </c>
      <c r="P47" s="797">
        <v>0</v>
      </c>
      <c r="Q47" s="797">
        <v>0</v>
      </c>
      <c r="R47" s="797">
        <f t="shared" si="2"/>
        <v>1411234.78</v>
      </c>
      <c r="S47" s="797">
        <f t="shared" si="4"/>
        <v>886.89968577174454</v>
      </c>
      <c r="T47" s="797">
        <v>4180</v>
      </c>
      <c r="U47" s="132" t="s">
        <v>228</v>
      </c>
      <c r="V47" s="144">
        <f t="shared" si="3"/>
        <v>3293.1003142282552</v>
      </c>
      <c r="W47" s="145"/>
    </row>
    <row r="48" spans="1:23" ht="9" customHeight="1">
      <c r="A48" s="803">
        <v>33</v>
      </c>
      <c r="B48" s="136" t="s">
        <v>144</v>
      </c>
      <c r="C48" s="137" t="s">
        <v>1005</v>
      </c>
      <c r="D48" s="137"/>
      <c r="E48" s="147">
        <v>1968</v>
      </c>
      <c r="F48" s="141"/>
      <c r="G48" s="148" t="s">
        <v>90</v>
      </c>
      <c r="H48" s="141">
        <v>5</v>
      </c>
      <c r="I48" s="141">
        <v>4</v>
      </c>
      <c r="J48" s="142">
        <v>3752</v>
      </c>
      <c r="K48" s="142">
        <v>3452.8</v>
      </c>
      <c r="L48" s="142">
        <v>3452.8</v>
      </c>
      <c r="M48" s="141">
        <v>173</v>
      </c>
      <c r="N48" s="143">
        <f>'Приложение 2'!E51</f>
        <v>2584113.1800000002</v>
      </c>
      <c r="O48" s="797">
        <v>0</v>
      </c>
      <c r="P48" s="797">
        <v>0</v>
      </c>
      <c r="Q48" s="797">
        <v>0</v>
      </c>
      <c r="R48" s="797">
        <f t="shared" si="2"/>
        <v>2584113.1800000002</v>
      </c>
      <c r="S48" s="797">
        <f t="shared" si="4"/>
        <v>748.41090708989805</v>
      </c>
      <c r="T48" s="797">
        <v>4180</v>
      </c>
      <c r="U48" s="132" t="s">
        <v>228</v>
      </c>
      <c r="V48" s="144">
        <f t="shared" si="3"/>
        <v>3431.589092910102</v>
      </c>
      <c r="W48" s="145"/>
    </row>
    <row r="49" spans="1:23" ht="9" customHeight="1">
      <c r="A49" s="803">
        <v>34</v>
      </c>
      <c r="B49" s="136" t="s">
        <v>145</v>
      </c>
      <c r="C49" s="137" t="s">
        <v>1005</v>
      </c>
      <c r="D49" s="137"/>
      <c r="E49" s="147">
        <v>1985</v>
      </c>
      <c r="F49" s="141"/>
      <c r="G49" s="148" t="s">
        <v>88</v>
      </c>
      <c r="H49" s="141">
        <v>5</v>
      </c>
      <c r="I49" s="141">
        <v>4</v>
      </c>
      <c r="J49" s="142">
        <v>3305.9</v>
      </c>
      <c r="K49" s="142">
        <v>3056.6</v>
      </c>
      <c r="L49" s="142">
        <v>2429.5</v>
      </c>
      <c r="M49" s="141">
        <v>92</v>
      </c>
      <c r="N49" s="143">
        <f>'Приложение 2'!E52</f>
        <v>2262899.7500000005</v>
      </c>
      <c r="O49" s="797">
        <v>0</v>
      </c>
      <c r="P49" s="797">
        <v>0</v>
      </c>
      <c r="Q49" s="797">
        <v>0</v>
      </c>
      <c r="R49" s="797">
        <f t="shared" si="2"/>
        <v>2262899.7500000005</v>
      </c>
      <c r="S49" s="797">
        <f t="shared" si="4"/>
        <v>740.33231368186887</v>
      </c>
      <c r="T49" s="797">
        <v>4180</v>
      </c>
      <c r="U49" s="132" t="s">
        <v>228</v>
      </c>
      <c r="V49" s="144">
        <f t="shared" si="3"/>
        <v>3439.667686318131</v>
      </c>
      <c r="W49" s="145"/>
    </row>
    <row r="50" spans="1:23" ht="9" customHeight="1">
      <c r="A50" s="803">
        <v>35</v>
      </c>
      <c r="B50" s="136" t="s">
        <v>146</v>
      </c>
      <c r="C50" s="137" t="s">
        <v>1005</v>
      </c>
      <c r="D50" s="137"/>
      <c r="E50" s="147">
        <v>1990</v>
      </c>
      <c r="F50" s="141"/>
      <c r="G50" s="148" t="s">
        <v>88</v>
      </c>
      <c r="H50" s="141">
        <v>9</v>
      </c>
      <c r="I50" s="141">
        <v>1</v>
      </c>
      <c r="J50" s="142">
        <v>7539</v>
      </c>
      <c r="K50" s="142">
        <v>6463.8</v>
      </c>
      <c r="L50" s="142">
        <v>4909.7</v>
      </c>
      <c r="M50" s="141">
        <v>258</v>
      </c>
      <c r="N50" s="143">
        <f>'Приложение 2'!E53</f>
        <v>2950917.31</v>
      </c>
      <c r="O50" s="797">
        <v>0</v>
      </c>
      <c r="P50" s="797">
        <v>0</v>
      </c>
      <c r="Q50" s="797">
        <v>0</v>
      </c>
      <c r="R50" s="797">
        <f t="shared" si="2"/>
        <v>2950917.31</v>
      </c>
      <c r="S50" s="797">
        <f t="shared" si="4"/>
        <v>456.52979826108481</v>
      </c>
      <c r="T50" s="797">
        <v>4180</v>
      </c>
      <c r="U50" s="132" t="s">
        <v>228</v>
      </c>
      <c r="V50" s="144">
        <f t="shared" si="3"/>
        <v>3723.4702017389154</v>
      </c>
      <c r="W50" s="145"/>
    </row>
    <row r="51" spans="1:23" ht="9" customHeight="1">
      <c r="A51" s="803">
        <v>36</v>
      </c>
      <c r="B51" s="136" t="s">
        <v>147</v>
      </c>
      <c r="C51" s="137" t="s">
        <v>1006</v>
      </c>
      <c r="D51" s="137"/>
      <c r="E51" s="147">
        <v>1954</v>
      </c>
      <c r="F51" s="141"/>
      <c r="G51" s="148" t="s">
        <v>88</v>
      </c>
      <c r="H51" s="141">
        <v>2</v>
      </c>
      <c r="I51" s="141">
        <v>3</v>
      </c>
      <c r="J51" s="142">
        <v>705.5</v>
      </c>
      <c r="K51" s="142">
        <v>602.9</v>
      </c>
      <c r="L51" s="142">
        <v>602.9</v>
      </c>
      <c r="M51" s="141">
        <v>35</v>
      </c>
      <c r="N51" s="143">
        <f>'Приложение 2'!E54</f>
        <v>2580263.1800000002</v>
      </c>
      <c r="O51" s="797">
        <v>0</v>
      </c>
      <c r="P51" s="797">
        <v>0</v>
      </c>
      <c r="Q51" s="797">
        <v>0</v>
      </c>
      <c r="R51" s="797">
        <f t="shared" si="2"/>
        <v>2580263.1800000002</v>
      </c>
      <c r="S51" s="797">
        <f t="shared" si="4"/>
        <v>4279.7531597279822</v>
      </c>
      <c r="T51" s="797">
        <v>4503.95</v>
      </c>
      <c r="U51" s="132" t="s">
        <v>228</v>
      </c>
      <c r="V51" s="144">
        <f t="shared" si="3"/>
        <v>224.19684027201765</v>
      </c>
      <c r="W51" s="145"/>
    </row>
    <row r="52" spans="1:23" ht="9" customHeight="1">
      <c r="A52" s="803">
        <v>37</v>
      </c>
      <c r="B52" s="136" t="s">
        <v>148</v>
      </c>
      <c r="C52" s="137" t="s">
        <v>1005</v>
      </c>
      <c r="D52" s="137"/>
      <c r="E52" s="147">
        <v>1989</v>
      </c>
      <c r="F52" s="141"/>
      <c r="G52" s="148" t="s">
        <v>90</v>
      </c>
      <c r="H52" s="141">
        <v>5</v>
      </c>
      <c r="I52" s="141">
        <v>4</v>
      </c>
      <c r="J52" s="142">
        <v>3948</v>
      </c>
      <c r="K52" s="142">
        <v>3514.4</v>
      </c>
      <c r="L52" s="142">
        <v>3514.4</v>
      </c>
      <c r="M52" s="141">
        <v>168</v>
      </c>
      <c r="N52" s="143">
        <f>'Приложение 2'!E55</f>
        <v>1775203.61</v>
      </c>
      <c r="O52" s="797">
        <v>0</v>
      </c>
      <c r="P52" s="797">
        <v>0</v>
      </c>
      <c r="Q52" s="797">
        <v>0</v>
      </c>
      <c r="R52" s="797">
        <f t="shared" si="2"/>
        <v>1775203.61</v>
      </c>
      <c r="S52" s="797">
        <f t="shared" si="4"/>
        <v>505.12281185977696</v>
      </c>
      <c r="T52" s="797">
        <v>4180</v>
      </c>
      <c r="U52" s="132" t="s">
        <v>228</v>
      </c>
      <c r="V52" s="144">
        <f t="shared" si="3"/>
        <v>3674.8771881402231</v>
      </c>
      <c r="W52" s="145"/>
    </row>
    <row r="53" spans="1:23" ht="9" customHeight="1">
      <c r="A53" s="803">
        <v>38</v>
      </c>
      <c r="B53" s="136" t="s">
        <v>149</v>
      </c>
      <c r="C53" s="137" t="s">
        <v>1006</v>
      </c>
      <c r="D53" s="137"/>
      <c r="E53" s="147">
        <v>1957</v>
      </c>
      <c r="F53" s="141"/>
      <c r="G53" s="148" t="s">
        <v>88</v>
      </c>
      <c r="H53" s="141">
        <v>3</v>
      </c>
      <c r="I53" s="141">
        <v>4</v>
      </c>
      <c r="J53" s="142">
        <v>2094.4</v>
      </c>
      <c r="K53" s="142">
        <v>1892.9</v>
      </c>
      <c r="L53" s="142">
        <v>1665.4</v>
      </c>
      <c r="M53" s="141">
        <v>67</v>
      </c>
      <c r="N53" s="143">
        <f>'Приложение 2'!E56</f>
        <v>3629959.63</v>
      </c>
      <c r="O53" s="797">
        <v>0</v>
      </c>
      <c r="P53" s="797">
        <v>0</v>
      </c>
      <c r="Q53" s="797">
        <v>0</v>
      </c>
      <c r="R53" s="797">
        <f t="shared" si="2"/>
        <v>3629959.63</v>
      </c>
      <c r="S53" s="797">
        <f t="shared" si="4"/>
        <v>1917.6711025410743</v>
      </c>
      <c r="T53" s="797">
        <v>4503.95</v>
      </c>
      <c r="U53" s="132" t="s">
        <v>228</v>
      </c>
      <c r="V53" s="144">
        <f t="shared" si="3"/>
        <v>2586.2788974589257</v>
      </c>
      <c r="W53" s="145"/>
    </row>
    <row r="54" spans="1:23" ht="9" customHeight="1">
      <c r="A54" s="803">
        <v>39</v>
      </c>
      <c r="B54" s="136" t="s">
        <v>1047</v>
      </c>
      <c r="C54" s="137" t="s">
        <v>1005</v>
      </c>
      <c r="D54" s="137"/>
      <c r="E54" s="147">
        <v>1966</v>
      </c>
      <c r="F54" s="141"/>
      <c r="G54" s="148" t="s">
        <v>88</v>
      </c>
      <c r="H54" s="141">
        <v>5</v>
      </c>
      <c r="I54" s="141">
        <v>4</v>
      </c>
      <c r="J54" s="142">
        <v>2867.7</v>
      </c>
      <c r="K54" s="142">
        <v>2598.6999999999998</v>
      </c>
      <c r="L54" s="142">
        <v>2598.6999999999998</v>
      </c>
      <c r="M54" s="141">
        <v>106</v>
      </c>
      <c r="N54" s="143">
        <f>'Приложение 2'!E57</f>
        <v>2902118.73</v>
      </c>
      <c r="O54" s="797">
        <v>0</v>
      </c>
      <c r="P54" s="797">
        <v>0</v>
      </c>
      <c r="Q54" s="797">
        <v>0</v>
      </c>
      <c r="R54" s="797">
        <f t="shared" si="2"/>
        <v>2902118.73</v>
      </c>
      <c r="S54" s="797">
        <f t="shared" si="4"/>
        <v>1116.7578904837035</v>
      </c>
      <c r="T54" s="797">
        <v>4180</v>
      </c>
      <c r="U54" s="132" t="s">
        <v>228</v>
      </c>
      <c r="V54" s="144">
        <f t="shared" si="3"/>
        <v>3063.2421095162963</v>
      </c>
      <c r="W54" s="145"/>
    </row>
    <row r="55" spans="1:23" ht="9" customHeight="1">
      <c r="A55" s="803">
        <v>40</v>
      </c>
      <c r="B55" s="136" t="s">
        <v>150</v>
      </c>
      <c r="C55" s="137" t="s">
        <v>1005</v>
      </c>
      <c r="D55" s="137"/>
      <c r="E55" s="147">
        <v>1978</v>
      </c>
      <c r="F55" s="141"/>
      <c r="G55" s="148" t="s">
        <v>90</v>
      </c>
      <c r="H55" s="141">
        <v>9</v>
      </c>
      <c r="I55" s="141">
        <v>6</v>
      </c>
      <c r="J55" s="142">
        <v>13804.4</v>
      </c>
      <c r="K55" s="142">
        <v>12116.4</v>
      </c>
      <c r="L55" s="142">
        <v>12023</v>
      </c>
      <c r="M55" s="141">
        <v>507</v>
      </c>
      <c r="N55" s="143">
        <f>'Приложение 2'!E58</f>
        <v>4897921.6100000003</v>
      </c>
      <c r="O55" s="797">
        <v>0</v>
      </c>
      <c r="P55" s="797">
        <v>0</v>
      </c>
      <c r="Q55" s="797">
        <v>0</v>
      </c>
      <c r="R55" s="797">
        <f t="shared" si="2"/>
        <v>4897921.6100000003</v>
      </c>
      <c r="S55" s="797">
        <f t="shared" si="4"/>
        <v>404.23901571423858</v>
      </c>
      <c r="T55" s="797">
        <v>4180</v>
      </c>
      <c r="U55" s="132" t="s">
        <v>228</v>
      </c>
      <c r="V55" s="144">
        <f t="shared" si="3"/>
        <v>3775.7609842857614</v>
      </c>
      <c r="W55" s="145"/>
    </row>
    <row r="56" spans="1:23" ht="9" customHeight="1">
      <c r="A56" s="803">
        <v>41</v>
      </c>
      <c r="B56" s="136" t="s">
        <v>212</v>
      </c>
      <c r="C56" s="137" t="s">
        <v>1005</v>
      </c>
      <c r="D56" s="137"/>
      <c r="E56" s="147">
        <v>1992</v>
      </c>
      <c r="F56" s="141"/>
      <c r="G56" s="148" t="s">
        <v>88</v>
      </c>
      <c r="H56" s="141">
        <v>5</v>
      </c>
      <c r="I56" s="141">
        <v>5</v>
      </c>
      <c r="J56" s="142">
        <v>3750.1</v>
      </c>
      <c r="K56" s="142">
        <v>3239.6</v>
      </c>
      <c r="L56" s="142">
        <v>3239.6</v>
      </c>
      <c r="M56" s="141">
        <v>172</v>
      </c>
      <c r="N56" s="143">
        <f>'Приложение 2'!E59</f>
        <v>2307087.5499999998</v>
      </c>
      <c r="O56" s="797">
        <v>0</v>
      </c>
      <c r="P56" s="797">
        <v>0</v>
      </c>
      <c r="Q56" s="797">
        <v>0</v>
      </c>
      <c r="R56" s="797">
        <f t="shared" si="2"/>
        <v>2307087.5499999998</v>
      </c>
      <c r="S56" s="797">
        <f t="shared" si="4"/>
        <v>712.15197863933815</v>
      </c>
      <c r="T56" s="797">
        <v>4180</v>
      </c>
      <c r="U56" s="132" t="s">
        <v>228</v>
      </c>
      <c r="V56" s="144">
        <f t="shared" si="3"/>
        <v>3467.8480213606617</v>
      </c>
      <c r="W56" s="145"/>
    </row>
    <row r="57" spans="1:23" ht="9" customHeight="1">
      <c r="A57" s="803">
        <v>42</v>
      </c>
      <c r="B57" s="136" t="s">
        <v>1048</v>
      </c>
      <c r="C57" s="137" t="s">
        <v>1005</v>
      </c>
      <c r="D57" s="137"/>
      <c r="E57" s="147">
        <v>1989</v>
      </c>
      <c r="F57" s="141"/>
      <c r="G57" s="148" t="s">
        <v>88</v>
      </c>
      <c r="H57" s="141">
        <v>9</v>
      </c>
      <c r="I57" s="141">
        <v>6</v>
      </c>
      <c r="J57" s="142">
        <v>13661.3</v>
      </c>
      <c r="K57" s="142">
        <v>11766</v>
      </c>
      <c r="L57" s="142">
        <v>11549.5</v>
      </c>
      <c r="M57" s="141">
        <v>521</v>
      </c>
      <c r="N57" s="143">
        <f>'Приложение 2'!E60</f>
        <v>5834564.6200000001</v>
      </c>
      <c r="O57" s="797">
        <v>0</v>
      </c>
      <c r="P57" s="797">
        <v>0</v>
      </c>
      <c r="Q57" s="797">
        <v>0</v>
      </c>
      <c r="R57" s="797">
        <f t="shared" si="2"/>
        <v>5834564.6200000001</v>
      </c>
      <c r="S57" s="797">
        <f t="shared" si="4"/>
        <v>495.88344552099272</v>
      </c>
      <c r="T57" s="797">
        <v>4180</v>
      </c>
      <c r="U57" s="132" t="s">
        <v>228</v>
      </c>
      <c r="V57" s="144">
        <f t="shared" si="3"/>
        <v>3684.1165544790074</v>
      </c>
      <c r="W57" s="145"/>
    </row>
    <row r="58" spans="1:23" ht="9" customHeight="1">
      <c r="A58" s="803">
        <v>43</v>
      </c>
      <c r="B58" s="136" t="s">
        <v>213</v>
      </c>
      <c r="C58" s="137" t="s">
        <v>1005</v>
      </c>
      <c r="D58" s="137"/>
      <c r="E58" s="147">
        <v>1986</v>
      </c>
      <c r="F58" s="141"/>
      <c r="G58" s="148" t="s">
        <v>88</v>
      </c>
      <c r="H58" s="141">
        <v>5</v>
      </c>
      <c r="I58" s="141">
        <v>5</v>
      </c>
      <c r="J58" s="142">
        <v>4074.2</v>
      </c>
      <c r="K58" s="142">
        <v>3650.2</v>
      </c>
      <c r="L58" s="142">
        <v>3370</v>
      </c>
      <c r="M58" s="141">
        <v>189</v>
      </c>
      <c r="N58" s="143">
        <f>'Приложение 2'!E61</f>
        <v>4239724.47</v>
      </c>
      <c r="O58" s="797">
        <v>0</v>
      </c>
      <c r="P58" s="797">
        <v>0</v>
      </c>
      <c r="Q58" s="797">
        <v>0</v>
      </c>
      <c r="R58" s="797">
        <f>N58</f>
        <v>4239724.47</v>
      </c>
      <c r="S58" s="797">
        <f t="shared" si="4"/>
        <v>1161.5047038518437</v>
      </c>
      <c r="T58" s="797">
        <v>4503.95</v>
      </c>
      <c r="U58" s="132" t="s">
        <v>228</v>
      </c>
      <c r="V58" s="144">
        <f t="shared" si="3"/>
        <v>3342.4452961481561</v>
      </c>
      <c r="W58" s="145"/>
    </row>
    <row r="59" spans="1:23" ht="9" customHeight="1">
      <c r="A59" s="803">
        <v>44</v>
      </c>
      <c r="B59" s="136" t="s">
        <v>214</v>
      </c>
      <c r="C59" s="137" t="s">
        <v>1006</v>
      </c>
      <c r="D59" s="137"/>
      <c r="E59" s="147">
        <v>1935</v>
      </c>
      <c r="F59" s="141"/>
      <c r="G59" s="148" t="s">
        <v>88</v>
      </c>
      <c r="H59" s="141">
        <v>3</v>
      </c>
      <c r="I59" s="141">
        <v>3</v>
      </c>
      <c r="J59" s="142">
        <v>1490.2</v>
      </c>
      <c r="K59" s="142">
        <v>1338.1</v>
      </c>
      <c r="L59" s="142">
        <v>1338.1</v>
      </c>
      <c r="M59" s="141">
        <v>59</v>
      </c>
      <c r="N59" s="143">
        <f>'Приложение 2'!E62</f>
        <v>2533048.6500000004</v>
      </c>
      <c r="O59" s="797">
        <v>0</v>
      </c>
      <c r="P59" s="797">
        <v>0</v>
      </c>
      <c r="Q59" s="797">
        <v>0</v>
      </c>
      <c r="R59" s="797">
        <f t="shared" si="2"/>
        <v>2533048.6500000004</v>
      </c>
      <c r="S59" s="797">
        <f t="shared" si="4"/>
        <v>1893.018944772439</v>
      </c>
      <c r="T59" s="797">
        <v>4503.95</v>
      </c>
      <c r="U59" s="132" t="s">
        <v>228</v>
      </c>
      <c r="V59" s="144">
        <f t="shared" si="3"/>
        <v>2610.931055227561</v>
      </c>
      <c r="W59" s="145"/>
    </row>
    <row r="60" spans="1:23" ht="9" customHeight="1">
      <c r="A60" s="803">
        <v>45</v>
      </c>
      <c r="B60" s="136" t="s">
        <v>215</v>
      </c>
      <c r="C60" s="137" t="s">
        <v>1005</v>
      </c>
      <c r="D60" s="137"/>
      <c r="E60" s="147">
        <v>1978</v>
      </c>
      <c r="F60" s="141"/>
      <c r="G60" s="148" t="s">
        <v>88</v>
      </c>
      <c r="H60" s="141">
        <v>5</v>
      </c>
      <c r="I60" s="141">
        <v>4</v>
      </c>
      <c r="J60" s="142">
        <v>3070.5</v>
      </c>
      <c r="K60" s="142">
        <v>2715.5</v>
      </c>
      <c r="L60" s="142">
        <v>2715.5</v>
      </c>
      <c r="M60" s="141">
        <v>133</v>
      </c>
      <c r="N60" s="143">
        <f>'Приложение 2'!E63</f>
        <v>1862776.16</v>
      </c>
      <c r="O60" s="797">
        <v>0</v>
      </c>
      <c r="P60" s="797">
        <v>0</v>
      </c>
      <c r="Q60" s="797">
        <v>0</v>
      </c>
      <c r="R60" s="797">
        <f t="shared" si="2"/>
        <v>1862776.16</v>
      </c>
      <c r="S60" s="797">
        <f t="shared" si="4"/>
        <v>685.97906831154478</v>
      </c>
      <c r="T60" s="797">
        <v>4180</v>
      </c>
      <c r="U60" s="132" t="s">
        <v>228</v>
      </c>
      <c r="V60" s="144">
        <f t="shared" si="3"/>
        <v>3494.0209316884552</v>
      </c>
      <c r="W60" s="145"/>
    </row>
    <row r="61" spans="1:23" ht="9" customHeight="1">
      <c r="A61" s="803">
        <v>46</v>
      </c>
      <c r="B61" s="136" t="s">
        <v>152</v>
      </c>
      <c r="C61" s="137" t="s">
        <v>1005</v>
      </c>
      <c r="D61" s="137"/>
      <c r="E61" s="147">
        <v>1983</v>
      </c>
      <c r="F61" s="141">
        <v>1997</v>
      </c>
      <c r="G61" s="148" t="s">
        <v>88</v>
      </c>
      <c r="H61" s="141">
        <v>5</v>
      </c>
      <c r="I61" s="141">
        <v>4</v>
      </c>
      <c r="J61" s="142">
        <v>3017.2</v>
      </c>
      <c r="K61" s="142">
        <v>2767.2</v>
      </c>
      <c r="L61" s="142">
        <v>2685.5</v>
      </c>
      <c r="M61" s="141">
        <v>153</v>
      </c>
      <c r="N61" s="143">
        <f>'Приложение 2'!E64</f>
        <v>1857863.91</v>
      </c>
      <c r="O61" s="797">
        <v>0</v>
      </c>
      <c r="P61" s="797">
        <v>0</v>
      </c>
      <c r="Q61" s="797">
        <v>0</v>
      </c>
      <c r="R61" s="797">
        <f t="shared" si="2"/>
        <v>1857863.91</v>
      </c>
      <c r="S61" s="797">
        <f t="shared" si="4"/>
        <v>671.38765177797052</v>
      </c>
      <c r="T61" s="797">
        <v>4180</v>
      </c>
      <c r="U61" s="132" t="s">
        <v>228</v>
      </c>
      <c r="V61" s="144">
        <f t="shared" si="3"/>
        <v>3508.6123482220296</v>
      </c>
      <c r="W61" s="145"/>
    </row>
    <row r="62" spans="1:23" ht="9" customHeight="1">
      <c r="A62" s="803">
        <v>47</v>
      </c>
      <c r="B62" s="136" t="s">
        <v>153</v>
      </c>
      <c r="C62" s="137" t="s">
        <v>1006</v>
      </c>
      <c r="D62" s="137"/>
      <c r="E62" s="147">
        <v>1957</v>
      </c>
      <c r="F62" s="141"/>
      <c r="G62" s="148" t="s">
        <v>88</v>
      </c>
      <c r="H62" s="141">
        <v>2</v>
      </c>
      <c r="I62" s="141">
        <v>2</v>
      </c>
      <c r="J62" s="142">
        <v>929.9</v>
      </c>
      <c r="K62" s="142">
        <v>842.9</v>
      </c>
      <c r="L62" s="142">
        <v>842.9</v>
      </c>
      <c r="M62" s="141">
        <v>41</v>
      </c>
      <c r="N62" s="143">
        <f>'Приложение 2'!E65</f>
        <v>2472473.6999999997</v>
      </c>
      <c r="O62" s="797">
        <v>0</v>
      </c>
      <c r="P62" s="797">
        <v>0</v>
      </c>
      <c r="Q62" s="797">
        <v>0</v>
      </c>
      <c r="R62" s="797">
        <f t="shared" si="2"/>
        <v>2472473.6999999997</v>
      </c>
      <c r="S62" s="797">
        <f t="shared" si="4"/>
        <v>2933.2942223276782</v>
      </c>
      <c r="T62" s="797">
        <v>4503.95</v>
      </c>
      <c r="U62" s="132" t="s">
        <v>228</v>
      </c>
      <c r="V62" s="144">
        <f t="shared" si="3"/>
        <v>1570.6557776723216</v>
      </c>
      <c r="W62" s="145"/>
    </row>
    <row r="63" spans="1:23" ht="9" customHeight="1">
      <c r="A63" s="803">
        <v>48</v>
      </c>
      <c r="B63" s="136" t="s">
        <v>154</v>
      </c>
      <c r="C63" s="137" t="s">
        <v>1006</v>
      </c>
      <c r="D63" s="137"/>
      <c r="E63" s="147">
        <v>1960</v>
      </c>
      <c r="F63" s="141"/>
      <c r="G63" s="148" t="s">
        <v>88</v>
      </c>
      <c r="H63" s="141">
        <v>4</v>
      </c>
      <c r="I63" s="141">
        <v>2</v>
      </c>
      <c r="J63" s="142">
        <v>1369.5</v>
      </c>
      <c r="K63" s="142">
        <v>1275.5</v>
      </c>
      <c r="L63" s="142">
        <v>1043.3</v>
      </c>
      <c r="M63" s="141">
        <v>48</v>
      </c>
      <c r="N63" s="143">
        <f>'Приложение 2'!E66</f>
        <v>1918291.93</v>
      </c>
      <c r="O63" s="797">
        <v>0</v>
      </c>
      <c r="P63" s="797">
        <v>0</v>
      </c>
      <c r="Q63" s="797">
        <v>0</v>
      </c>
      <c r="R63" s="797">
        <f t="shared" si="2"/>
        <v>1918291.93</v>
      </c>
      <c r="S63" s="797">
        <f t="shared" si="4"/>
        <v>1503.9529047432379</v>
      </c>
      <c r="T63" s="797">
        <v>4503.95</v>
      </c>
      <c r="U63" s="132" t="s">
        <v>228</v>
      </c>
      <c r="V63" s="144">
        <f t="shared" si="3"/>
        <v>2999.9970952567619</v>
      </c>
      <c r="W63" s="145"/>
    </row>
    <row r="64" spans="1:23" ht="9" customHeight="1">
      <c r="A64" s="803">
        <v>49</v>
      </c>
      <c r="B64" s="136" t="s">
        <v>155</v>
      </c>
      <c r="C64" s="137" t="s">
        <v>1005</v>
      </c>
      <c r="D64" s="137"/>
      <c r="E64" s="147">
        <v>1974</v>
      </c>
      <c r="F64" s="141"/>
      <c r="G64" s="148" t="s">
        <v>88</v>
      </c>
      <c r="H64" s="141">
        <v>5</v>
      </c>
      <c r="I64" s="141">
        <v>8</v>
      </c>
      <c r="J64" s="142">
        <v>6514.9</v>
      </c>
      <c r="K64" s="142">
        <v>6000.9</v>
      </c>
      <c r="L64" s="142">
        <v>4862.8</v>
      </c>
      <c r="M64" s="141">
        <v>35</v>
      </c>
      <c r="N64" s="143">
        <f>'Приложение 2'!E67</f>
        <v>6235033.6500000004</v>
      </c>
      <c r="O64" s="797">
        <v>0</v>
      </c>
      <c r="P64" s="797">
        <v>0</v>
      </c>
      <c r="Q64" s="797">
        <v>0</v>
      </c>
      <c r="R64" s="797">
        <f t="shared" si="2"/>
        <v>6235033.6500000004</v>
      </c>
      <c r="S64" s="797">
        <f t="shared" si="4"/>
        <v>1039.0164225366195</v>
      </c>
      <c r="T64" s="797">
        <v>4180</v>
      </c>
      <c r="U64" s="132" t="s">
        <v>228</v>
      </c>
      <c r="V64" s="144">
        <f t="shared" si="3"/>
        <v>3140.9835774633802</v>
      </c>
      <c r="W64" s="145"/>
    </row>
    <row r="65" spans="1:23" ht="9" customHeight="1">
      <c r="A65" s="803">
        <v>50</v>
      </c>
      <c r="B65" s="136" t="s">
        <v>156</v>
      </c>
      <c r="C65" s="137" t="s">
        <v>1005</v>
      </c>
      <c r="D65" s="137"/>
      <c r="E65" s="147">
        <v>1987</v>
      </c>
      <c r="F65" s="141"/>
      <c r="G65" s="148" t="s">
        <v>88</v>
      </c>
      <c r="H65" s="141">
        <v>9</v>
      </c>
      <c r="I65" s="141">
        <v>4</v>
      </c>
      <c r="J65" s="142">
        <v>9139.4</v>
      </c>
      <c r="K65" s="142">
        <v>7997</v>
      </c>
      <c r="L65" s="142">
        <v>7997</v>
      </c>
      <c r="M65" s="141">
        <v>433</v>
      </c>
      <c r="N65" s="143">
        <f>'Приложение 2'!E68</f>
        <v>4586954.66</v>
      </c>
      <c r="O65" s="797">
        <v>0</v>
      </c>
      <c r="P65" s="797">
        <v>0</v>
      </c>
      <c r="Q65" s="797">
        <v>0</v>
      </c>
      <c r="R65" s="797">
        <f t="shared" si="2"/>
        <v>4586954.66</v>
      </c>
      <c r="S65" s="797">
        <f t="shared" si="4"/>
        <v>573.58442665999746</v>
      </c>
      <c r="T65" s="797">
        <v>4180</v>
      </c>
      <c r="U65" s="132" t="s">
        <v>228</v>
      </c>
      <c r="V65" s="144">
        <f t="shared" si="3"/>
        <v>3606.4155733400025</v>
      </c>
      <c r="W65" s="145"/>
    </row>
    <row r="66" spans="1:23" ht="9" customHeight="1">
      <c r="A66" s="803">
        <v>51</v>
      </c>
      <c r="B66" s="136" t="s">
        <v>157</v>
      </c>
      <c r="C66" s="137" t="s">
        <v>1005</v>
      </c>
      <c r="D66" s="137"/>
      <c r="E66" s="147">
        <v>1992</v>
      </c>
      <c r="F66" s="141"/>
      <c r="G66" s="148" t="s">
        <v>88</v>
      </c>
      <c r="H66" s="141">
        <v>5</v>
      </c>
      <c r="I66" s="141">
        <v>4</v>
      </c>
      <c r="J66" s="142">
        <v>3360</v>
      </c>
      <c r="K66" s="149">
        <v>2994.5</v>
      </c>
      <c r="L66" s="149">
        <v>2933.8</v>
      </c>
      <c r="M66" s="141">
        <v>142</v>
      </c>
      <c r="N66" s="143">
        <f>'Приложение 2'!E69</f>
        <v>2976904.46</v>
      </c>
      <c r="O66" s="797">
        <v>0</v>
      </c>
      <c r="P66" s="797">
        <v>0</v>
      </c>
      <c r="Q66" s="797">
        <v>0</v>
      </c>
      <c r="R66" s="797">
        <f t="shared" si="2"/>
        <v>2976904.46</v>
      </c>
      <c r="S66" s="797">
        <f t="shared" si="4"/>
        <v>994.12404742027047</v>
      </c>
      <c r="T66" s="797">
        <v>4180</v>
      </c>
      <c r="U66" s="132" t="s">
        <v>228</v>
      </c>
      <c r="V66" s="144">
        <f t="shared" si="3"/>
        <v>3185.8759525797295</v>
      </c>
      <c r="W66" s="145"/>
    </row>
    <row r="67" spans="1:23" ht="9" customHeight="1">
      <c r="A67" s="803">
        <v>52</v>
      </c>
      <c r="B67" s="136" t="s">
        <v>158</v>
      </c>
      <c r="C67" s="137" t="s">
        <v>1005</v>
      </c>
      <c r="D67" s="137"/>
      <c r="E67" s="147">
        <v>1982</v>
      </c>
      <c r="F67" s="141"/>
      <c r="G67" s="148" t="s">
        <v>88</v>
      </c>
      <c r="H67" s="141">
        <v>5</v>
      </c>
      <c r="I67" s="141">
        <v>1</v>
      </c>
      <c r="J67" s="142">
        <v>1923.5</v>
      </c>
      <c r="K67" s="142">
        <v>1680.5</v>
      </c>
      <c r="L67" s="142">
        <v>1680.5</v>
      </c>
      <c r="M67" s="141">
        <v>115</v>
      </c>
      <c r="N67" s="143">
        <f>'Приложение 2'!E70</f>
        <v>1204026.3600000001</v>
      </c>
      <c r="O67" s="797">
        <v>0</v>
      </c>
      <c r="P67" s="797">
        <v>0</v>
      </c>
      <c r="Q67" s="797">
        <v>0</v>
      </c>
      <c r="R67" s="797">
        <f t="shared" si="2"/>
        <v>1204026.3600000001</v>
      </c>
      <c r="S67" s="797">
        <f t="shared" si="4"/>
        <v>716.46912228503425</v>
      </c>
      <c r="T67" s="797">
        <v>4180</v>
      </c>
      <c r="U67" s="132" t="s">
        <v>228</v>
      </c>
      <c r="V67" s="144">
        <f t="shared" si="3"/>
        <v>3463.5308777149658</v>
      </c>
      <c r="W67" s="145"/>
    </row>
    <row r="68" spans="1:23" ht="9" customHeight="1">
      <c r="A68" s="803">
        <v>53</v>
      </c>
      <c r="B68" s="136" t="s">
        <v>159</v>
      </c>
      <c r="C68" s="137" t="s">
        <v>1006</v>
      </c>
      <c r="D68" s="137"/>
      <c r="E68" s="147">
        <v>1968</v>
      </c>
      <c r="F68" s="141"/>
      <c r="G68" s="148" t="s">
        <v>88</v>
      </c>
      <c r="H68" s="141">
        <v>4</v>
      </c>
      <c r="I68" s="141">
        <v>2</v>
      </c>
      <c r="J68" s="142">
        <v>1370.2</v>
      </c>
      <c r="K68" s="149">
        <v>1275</v>
      </c>
      <c r="L68" s="149">
        <v>1275</v>
      </c>
      <c r="M68" s="141">
        <v>66</v>
      </c>
      <c r="N68" s="143">
        <f>'Приложение 2'!E71</f>
        <v>1830945.57</v>
      </c>
      <c r="O68" s="797">
        <v>0</v>
      </c>
      <c r="P68" s="797">
        <v>0</v>
      </c>
      <c r="Q68" s="797">
        <v>0</v>
      </c>
      <c r="R68" s="797">
        <f t="shared" si="2"/>
        <v>1830945.57</v>
      </c>
      <c r="S68" s="797">
        <f t="shared" si="4"/>
        <v>1436.0357411764705</v>
      </c>
      <c r="T68" s="797">
        <v>4503.95</v>
      </c>
      <c r="U68" s="132" t="s">
        <v>228</v>
      </c>
      <c r="V68" s="144">
        <f t="shared" si="3"/>
        <v>3067.9142588235291</v>
      </c>
      <c r="W68" s="145"/>
    </row>
    <row r="69" spans="1:23" ht="9" customHeight="1">
      <c r="A69" s="803">
        <v>54</v>
      </c>
      <c r="B69" s="136" t="s">
        <v>160</v>
      </c>
      <c r="C69" s="137" t="s">
        <v>1005</v>
      </c>
      <c r="D69" s="137"/>
      <c r="E69" s="147">
        <v>1981</v>
      </c>
      <c r="F69" s="141"/>
      <c r="G69" s="148" t="s">
        <v>88</v>
      </c>
      <c r="H69" s="141">
        <v>6</v>
      </c>
      <c r="I69" s="141">
        <v>2</v>
      </c>
      <c r="J69" s="142">
        <v>1643.7</v>
      </c>
      <c r="K69" s="149">
        <v>1380</v>
      </c>
      <c r="L69" s="149">
        <v>1380</v>
      </c>
      <c r="M69" s="141">
        <v>65</v>
      </c>
      <c r="N69" s="143">
        <f>'Приложение 2'!E72</f>
        <v>1200062.53</v>
      </c>
      <c r="O69" s="797">
        <v>0</v>
      </c>
      <c r="P69" s="797">
        <v>0</v>
      </c>
      <c r="Q69" s="797">
        <v>0</v>
      </c>
      <c r="R69" s="797">
        <f t="shared" si="2"/>
        <v>1200062.53</v>
      </c>
      <c r="S69" s="797">
        <f t="shared" si="4"/>
        <v>869.61052898550724</v>
      </c>
      <c r="T69" s="797">
        <v>4180</v>
      </c>
      <c r="U69" s="132" t="s">
        <v>228</v>
      </c>
      <c r="V69" s="144">
        <f t="shared" si="3"/>
        <v>3310.3894710144928</v>
      </c>
      <c r="W69" s="145"/>
    </row>
    <row r="70" spans="1:23" ht="9" customHeight="1">
      <c r="A70" s="803">
        <v>55</v>
      </c>
      <c r="B70" s="136" t="s">
        <v>161</v>
      </c>
      <c r="C70" s="137" t="s">
        <v>1005</v>
      </c>
      <c r="D70" s="137"/>
      <c r="E70" s="147">
        <v>1979</v>
      </c>
      <c r="F70" s="141"/>
      <c r="G70" s="148" t="s">
        <v>88</v>
      </c>
      <c r="H70" s="141">
        <v>5</v>
      </c>
      <c r="I70" s="141">
        <v>8</v>
      </c>
      <c r="J70" s="142">
        <v>5048.3999999999996</v>
      </c>
      <c r="K70" s="149">
        <v>4504.3999999999996</v>
      </c>
      <c r="L70" s="149">
        <v>4258</v>
      </c>
      <c r="M70" s="141">
        <v>214</v>
      </c>
      <c r="N70" s="143">
        <f>'Приложение 2'!E73</f>
        <v>3061197.6</v>
      </c>
      <c r="O70" s="797">
        <v>0</v>
      </c>
      <c r="P70" s="797">
        <v>0</v>
      </c>
      <c r="Q70" s="797">
        <v>0</v>
      </c>
      <c r="R70" s="797">
        <f t="shared" si="2"/>
        <v>3061197.6</v>
      </c>
      <c r="S70" s="797">
        <f t="shared" si="4"/>
        <v>679.60163395790789</v>
      </c>
      <c r="T70" s="797">
        <v>4180</v>
      </c>
      <c r="U70" s="132" t="s">
        <v>228</v>
      </c>
      <c r="V70" s="144">
        <f t="shared" si="3"/>
        <v>3500.3983660420922</v>
      </c>
      <c r="W70" s="145"/>
    </row>
    <row r="71" spans="1:23" ht="9" customHeight="1">
      <c r="A71" s="803">
        <v>56</v>
      </c>
      <c r="B71" s="136" t="s">
        <v>162</v>
      </c>
      <c r="C71" s="137" t="s">
        <v>1008</v>
      </c>
      <c r="D71" s="137"/>
      <c r="E71" s="147">
        <v>1984</v>
      </c>
      <c r="F71" s="141"/>
      <c r="G71" s="148" t="s">
        <v>88</v>
      </c>
      <c r="H71" s="141">
        <v>5</v>
      </c>
      <c r="I71" s="141">
        <v>1</v>
      </c>
      <c r="J71" s="142">
        <v>2815.9</v>
      </c>
      <c r="K71" s="149">
        <v>2530.6999999999998</v>
      </c>
      <c r="L71" s="149">
        <v>1963</v>
      </c>
      <c r="M71" s="141">
        <v>126</v>
      </c>
      <c r="N71" s="143">
        <f>'Приложение 2'!E74</f>
        <v>2504137.98</v>
      </c>
      <c r="O71" s="797">
        <v>0</v>
      </c>
      <c r="P71" s="797">
        <v>0</v>
      </c>
      <c r="Q71" s="797">
        <v>0</v>
      </c>
      <c r="R71" s="797">
        <f t="shared" si="2"/>
        <v>2504137.98</v>
      </c>
      <c r="S71" s="797">
        <f t="shared" si="4"/>
        <v>989.50408187458027</v>
      </c>
      <c r="T71" s="797">
        <v>5307.56</v>
      </c>
      <c r="U71" s="132" t="s">
        <v>228</v>
      </c>
      <c r="V71" s="144">
        <f t="shared" si="3"/>
        <v>4318.0559181254202</v>
      </c>
      <c r="W71" s="145"/>
    </row>
    <row r="72" spans="1:23" ht="9" customHeight="1">
      <c r="A72" s="803">
        <v>57</v>
      </c>
      <c r="B72" s="136" t="s">
        <v>419</v>
      </c>
      <c r="C72" s="150" t="s">
        <v>1005</v>
      </c>
      <c r="D72" s="150"/>
      <c r="E72" s="794" t="s">
        <v>0</v>
      </c>
      <c r="F72" s="794"/>
      <c r="G72" s="803" t="s">
        <v>90</v>
      </c>
      <c r="H72" s="794">
        <v>5</v>
      </c>
      <c r="I72" s="794">
        <v>4</v>
      </c>
      <c r="J72" s="149">
        <v>3852.6</v>
      </c>
      <c r="K72" s="149">
        <v>3552.6</v>
      </c>
      <c r="L72" s="149">
        <v>3552.6</v>
      </c>
      <c r="M72" s="794">
        <v>163</v>
      </c>
      <c r="N72" s="143">
        <f>'Приложение 2'!E75</f>
        <v>2624889.88</v>
      </c>
      <c r="O72" s="797">
        <v>0</v>
      </c>
      <c r="P72" s="797">
        <v>0</v>
      </c>
      <c r="Q72" s="797">
        <v>0</v>
      </c>
      <c r="R72" s="797">
        <f t="shared" si="2"/>
        <v>2624889.88</v>
      </c>
      <c r="S72" s="797">
        <f>N72/K72</f>
        <v>738.86445983223553</v>
      </c>
      <c r="T72" s="797">
        <v>4180</v>
      </c>
      <c r="U72" s="132" t="s">
        <v>228</v>
      </c>
      <c r="V72" s="144">
        <f t="shared" si="3"/>
        <v>3441.1355401677647</v>
      </c>
      <c r="W72" s="145"/>
    </row>
    <row r="73" spans="1:23" ht="9" customHeight="1">
      <c r="A73" s="803">
        <v>58</v>
      </c>
      <c r="B73" s="136" t="s">
        <v>418</v>
      </c>
      <c r="C73" s="150" t="s">
        <v>1005</v>
      </c>
      <c r="D73" s="150"/>
      <c r="E73" s="794" t="s">
        <v>0</v>
      </c>
      <c r="F73" s="794"/>
      <c r="G73" s="803" t="s">
        <v>90</v>
      </c>
      <c r="H73" s="794">
        <v>5</v>
      </c>
      <c r="I73" s="794">
        <v>4</v>
      </c>
      <c r="J73" s="149">
        <v>3852.6</v>
      </c>
      <c r="K73" s="149">
        <v>3552.6</v>
      </c>
      <c r="L73" s="149">
        <v>3552.6</v>
      </c>
      <c r="M73" s="794">
        <v>179</v>
      </c>
      <c r="N73" s="143">
        <f>'Приложение 2'!E76</f>
        <v>2747312.93</v>
      </c>
      <c r="O73" s="797">
        <v>0</v>
      </c>
      <c r="P73" s="797">
        <v>0</v>
      </c>
      <c r="Q73" s="797">
        <v>0</v>
      </c>
      <c r="R73" s="797">
        <f t="shared" ref="R73:R122" si="5">N73</f>
        <v>2747312.93</v>
      </c>
      <c r="S73" s="797">
        <f>N73/K73</f>
        <v>773.32458762596411</v>
      </c>
      <c r="T73" s="797">
        <v>4180</v>
      </c>
      <c r="U73" s="132" t="s">
        <v>228</v>
      </c>
      <c r="V73" s="144">
        <f t="shared" si="3"/>
        <v>3406.6754123740357</v>
      </c>
      <c r="W73" s="145"/>
    </row>
    <row r="74" spans="1:23" ht="9" customHeight="1">
      <c r="A74" s="803">
        <v>59</v>
      </c>
      <c r="B74" s="136" t="s">
        <v>417</v>
      </c>
      <c r="C74" s="150" t="s">
        <v>1005</v>
      </c>
      <c r="D74" s="150"/>
      <c r="E74" s="794" t="s">
        <v>0</v>
      </c>
      <c r="F74" s="794"/>
      <c r="G74" s="803" t="s">
        <v>90</v>
      </c>
      <c r="H74" s="794">
        <v>5</v>
      </c>
      <c r="I74" s="794">
        <v>4</v>
      </c>
      <c r="J74" s="149">
        <v>3852.6</v>
      </c>
      <c r="K74" s="149">
        <v>3552.6</v>
      </c>
      <c r="L74" s="149">
        <v>3552.6</v>
      </c>
      <c r="M74" s="794">
        <v>146</v>
      </c>
      <c r="N74" s="143">
        <f>'Приложение 2'!E77</f>
        <v>2607514.44</v>
      </c>
      <c r="O74" s="797">
        <v>0</v>
      </c>
      <c r="P74" s="797">
        <v>0</v>
      </c>
      <c r="Q74" s="797">
        <v>0</v>
      </c>
      <c r="R74" s="797">
        <f t="shared" si="5"/>
        <v>2607514.44</v>
      </c>
      <c r="S74" s="797">
        <f>N74/K74</f>
        <v>733.97355176490453</v>
      </c>
      <c r="T74" s="797">
        <v>4180</v>
      </c>
      <c r="U74" s="132" t="s">
        <v>228</v>
      </c>
      <c r="V74" s="144">
        <f t="shared" si="3"/>
        <v>3446.0264482350954</v>
      </c>
      <c r="W74" s="145"/>
    </row>
    <row r="75" spans="1:23" ht="9" customHeight="1">
      <c r="A75" s="803">
        <v>60</v>
      </c>
      <c r="B75" s="136" t="s">
        <v>163</v>
      </c>
      <c r="C75" s="137" t="s">
        <v>1008</v>
      </c>
      <c r="D75" s="137"/>
      <c r="E75" s="147">
        <v>1959</v>
      </c>
      <c r="F75" s="141"/>
      <c r="G75" s="148" t="s">
        <v>88</v>
      </c>
      <c r="H75" s="141">
        <v>4</v>
      </c>
      <c r="I75" s="141">
        <v>2</v>
      </c>
      <c r="J75" s="142">
        <v>1358.1</v>
      </c>
      <c r="K75" s="149">
        <v>1261</v>
      </c>
      <c r="L75" s="149">
        <v>1133.3</v>
      </c>
      <c r="M75" s="141">
        <v>64</v>
      </c>
      <c r="N75" s="143">
        <f>'Приложение 2'!E78</f>
        <v>3046446.62</v>
      </c>
      <c r="O75" s="797">
        <v>0</v>
      </c>
      <c r="P75" s="797">
        <v>0</v>
      </c>
      <c r="Q75" s="797">
        <v>0</v>
      </c>
      <c r="R75" s="797">
        <f t="shared" si="5"/>
        <v>3046446.62</v>
      </c>
      <c r="S75" s="797">
        <f t="shared" si="4"/>
        <v>2415.8973988897701</v>
      </c>
      <c r="T75" s="797">
        <v>4984.6499999999996</v>
      </c>
      <c r="U75" s="132" t="s">
        <v>228</v>
      </c>
      <c r="V75" s="144">
        <f t="shared" si="3"/>
        <v>2568.7526011102295</v>
      </c>
      <c r="W75" s="145"/>
    </row>
    <row r="76" spans="1:23" ht="9" customHeight="1">
      <c r="A76" s="803">
        <v>61</v>
      </c>
      <c r="B76" s="136" t="s">
        <v>164</v>
      </c>
      <c r="C76" s="137" t="s">
        <v>1006</v>
      </c>
      <c r="D76" s="137"/>
      <c r="E76" s="147">
        <v>1957</v>
      </c>
      <c r="F76" s="141"/>
      <c r="G76" s="148" t="s">
        <v>88</v>
      </c>
      <c r="H76" s="141">
        <v>2</v>
      </c>
      <c r="I76" s="141">
        <v>1</v>
      </c>
      <c r="J76" s="142">
        <v>965.4</v>
      </c>
      <c r="K76" s="142">
        <v>750</v>
      </c>
      <c r="L76" s="142">
        <v>750</v>
      </c>
      <c r="M76" s="141">
        <v>51</v>
      </c>
      <c r="N76" s="143">
        <f>'Приложение 2'!E79</f>
        <v>2374615.48</v>
      </c>
      <c r="O76" s="797">
        <v>0</v>
      </c>
      <c r="P76" s="797">
        <v>0</v>
      </c>
      <c r="Q76" s="797">
        <v>0</v>
      </c>
      <c r="R76" s="797">
        <f t="shared" si="5"/>
        <v>2374615.48</v>
      </c>
      <c r="S76" s="797">
        <f t="shared" ref="S76:S112" si="6">N76/K76</f>
        <v>3166.1539733333334</v>
      </c>
      <c r="T76" s="797">
        <v>4503.95</v>
      </c>
      <c r="U76" s="132" t="s">
        <v>228</v>
      </c>
      <c r="V76" s="144">
        <f t="shared" si="3"/>
        <v>1337.7960266666664</v>
      </c>
      <c r="W76" s="145"/>
    </row>
    <row r="77" spans="1:23" ht="9" customHeight="1">
      <c r="A77" s="803">
        <v>62</v>
      </c>
      <c r="B77" s="136" t="s">
        <v>165</v>
      </c>
      <c r="C77" s="137" t="s">
        <v>1008</v>
      </c>
      <c r="D77" s="137"/>
      <c r="E77" s="147">
        <v>1959</v>
      </c>
      <c r="F77" s="141"/>
      <c r="G77" s="148" t="s">
        <v>88</v>
      </c>
      <c r="H77" s="141">
        <v>3</v>
      </c>
      <c r="I77" s="141">
        <v>4</v>
      </c>
      <c r="J77" s="142">
        <v>2001</v>
      </c>
      <c r="K77" s="149">
        <v>1845</v>
      </c>
      <c r="L77" s="149">
        <v>1845</v>
      </c>
      <c r="M77" s="141">
        <v>79</v>
      </c>
      <c r="N77" s="143">
        <f>'Приложение 2'!E80</f>
        <v>3827781.7600000002</v>
      </c>
      <c r="O77" s="797">
        <v>0</v>
      </c>
      <c r="P77" s="797">
        <v>0</v>
      </c>
      <c r="Q77" s="797">
        <v>0</v>
      </c>
      <c r="R77" s="797">
        <f t="shared" si="5"/>
        <v>3827781.7600000002</v>
      </c>
      <c r="S77" s="797">
        <f t="shared" si="6"/>
        <v>2074.678460704607</v>
      </c>
      <c r="T77" s="797">
        <v>4984.6499999999996</v>
      </c>
      <c r="U77" s="132" t="s">
        <v>228</v>
      </c>
      <c r="V77" s="144">
        <f t="shared" si="3"/>
        <v>2909.9715392953926</v>
      </c>
      <c r="W77" s="145"/>
    </row>
    <row r="78" spans="1:23" ht="9" customHeight="1">
      <c r="A78" s="803">
        <v>63</v>
      </c>
      <c r="B78" s="136" t="s">
        <v>166</v>
      </c>
      <c r="C78" s="137" t="s">
        <v>1005</v>
      </c>
      <c r="D78" s="137"/>
      <c r="E78" s="805">
        <v>1976</v>
      </c>
      <c r="F78" s="794"/>
      <c r="G78" s="148" t="s">
        <v>88</v>
      </c>
      <c r="H78" s="794">
        <v>5</v>
      </c>
      <c r="I78" s="794">
        <v>4</v>
      </c>
      <c r="J78" s="142">
        <v>3791.2</v>
      </c>
      <c r="K78" s="149">
        <v>3483.2</v>
      </c>
      <c r="L78" s="149">
        <v>2742</v>
      </c>
      <c r="M78" s="794">
        <v>134</v>
      </c>
      <c r="N78" s="143">
        <f>'Приложение 2'!E81</f>
        <v>2561975.35</v>
      </c>
      <c r="O78" s="797">
        <v>0</v>
      </c>
      <c r="P78" s="797">
        <v>0</v>
      </c>
      <c r="Q78" s="797">
        <v>0</v>
      </c>
      <c r="R78" s="797">
        <f t="shared" si="5"/>
        <v>2561975.35</v>
      </c>
      <c r="S78" s="797">
        <f t="shared" si="6"/>
        <v>735.52346979788706</v>
      </c>
      <c r="T78" s="797">
        <v>4180</v>
      </c>
      <c r="U78" s="132" t="s">
        <v>228</v>
      </c>
      <c r="V78" s="144">
        <f t="shared" si="3"/>
        <v>3444.4765302021128</v>
      </c>
      <c r="W78" s="145"/>
    </row>
    <row r="79" spans="1:23" ht="9" customHeight="1">
      <c r="A79" s="803">
        <v>64</v>
      </c>
      <c r="B79" s="136" t="s">
        <v>167</v>
      </c>
      <c r="C79" s="137" t="s">
        <v>1005</v>
      </c>
      <c r="D79" s="137"/>
      <c r="E79" s="147">
        <v>1975</v>
      </c>
      <c r="F79" s="141"/>
      <c r="G79" s="148" t="s">
        <v>90</v>
      </c>
      <c r="H79" s="141">
        <v>5</v>
      </c>
      <c r="I79" s="141">
        <v>6</v>
      </c>
      <c r="J79" s="142">
        <v>4849</v>
      </c>
      <c r="K79" s="149">
        <v>4471</v>
      </c>
      <c r="L79" s="149">
        <v>4471</v>
      </c>
      <c r="M79" s="141">
        <v>252</v>
      </c>
      <c r="N79" s="143">
        <f>'Приложение 2'!E82</f>
        <v>3028641.67</v>
      </c>
      <c r="O79" s="797">
        <v>0</v>
      </c>
      <c r="P79" s="797">
        <v>0</v>
      </c>
      <c r="Q79" s="797">
        <v>0</v>
      </c>
      <c r="R79" s="797">
        <f t="shared" si="5"/>
        <v>3028641.67</v>
      </c>
      <c r="S79" s="797">
        <f t="shared" si="6"/>
        <v>677.39692909863561</v>
      </c>
      <c r="T79" s="797">
        <v>4180</v>
      </c>
      <c r="U79" s="132" t="s">
        <v>228</v>
      </c>
      <c r="V79" s="144">
        <f t="shared" si="3"/>
        <v>3502.6030709013644</v>
      </c>
      <c r="W79" s="145"/>
    </row>
    <row r="80" spans="1:23" ht="10.5" customHeight="1">
      <c r="A80" s="803">
        <v>65</v>
      </c>
      <c r="B80" s="136" t="s">
        <v>168</v>
      </c>
      <c r="C80" s="137" t="s">
        <v>1005</v>
      </c>
      <c r="D80" s="137"/>
      <c r="E80" s="805">
        <v>1985</v>
      </c>
      <c r="F80" s="794"/>
      <c r="G80" s="148" t="s">
        <v>90</v>
      </c>
      <c r="H80" s="794">
        <v>9</v>
      </c>
      <c r="I80" s="794">
        <v>3</v>
      </c>
      <c r="J80" s="142">
        <v>6518.1</v>
      </c>
      <c r="K80" s="149">
        <v>5827</v>
      </c>
      <c r="L80" s="149">
        <v>5827</v>
      </c>
      <c r="M80" s="794">
        <v>278</v>
      </c>
      <c r="N80" s="143">
        <f>'Приложение 2'!E83</f>
        <v>2320425.7799999998</v>
      </c>
      <c r="O80" s="797">
        <v>0</v>
      </c>
      <c r="P80" s="797">
        <v>0</v>
      </c>
      <c r="Q80" s="797">
        <v>0</v>
      </c>
      <c r="R80" s="797">
        <f t="shared" si="5"/>
        <v>2320425.7799999998</v>
      </c>
      <c r="S80" s="797">
        <f t="shared" si="6"/>
        <v>398.21962931182424</v>
      </c>
      <c r="T80" s="797">
        <v>4180</v>
      </c>
      <c r="U80" s="132" t="s">
        <v>228</v>
      </c>
      <c r="V80" s="144">
        <f t="shared" si="3"/>
        <v>3781.7803706881759</v>
      </c>
      <c r="W80" s="145"/>
    </row>
    <row r="81" spans="1:23" ht="9" customHeight="1">
      <c r="A81" s="803">
        <v>66</v>
      </c>
      <c r="B81" s="136" t="s">
        <v>169</v>
      </c>
      <c r="C81" s="137" t="s">
        <v>1006</v>
      </c>
      <c r="D81" s="137"/>
      <c r="E81" s="805">
        <v>1953</v>
      </c>
      <c r="F81" s="794"/>
      <c r="G81" s="803" t="s">
        <v>88</v>
      </c>
      <c r="H81" s="794">
        <v>2</v>
      </c>
      <c r="I81" s="794">
        <v>1</v>
      </c>
      <c r="J81" s="142">
        <v>451.5</v>
      </c>
      <c r="K81" s="149">
        <v>411</v>
      </c>
      <c r="L81" s="149">
        <v>411</v>
      </c>
      <c r="M81" s="794">
        <v>18</v>
      </c>
      <c r="N81" s="143">
        <f>'Приложение 2'!E84</f>
        <v>1525314.28</v>
      </c>
      <c r="O81" s="797">
        <v>0</v>
      </c>
      <c r="P81" s="797">
        <v>0</v>
      </c>
      <c r="Q81" s="797">
        <v>0</v>
      </c>
      <c r="R81" s="797">
        <f t="shared" si="5"/>
        <v>1525314.28</v>
      </c>
      <c r="S81" s="797">
        <f t="shared" si="6"/>
        <v>3711.2269586374696</v>
      </c>
      <c r="T81" s="797">
        <v>4503.95</v>
      </c>
      <c r="U81" s="132" t="s">
        <v>228</v>
      </c>
      <c r="V81" s="144">
        <f t="shared" ref="V81:V145" si="7">T81-S81</f>
        <v>792.72304136253024</v>
      </c>
      <c r="W81" s="145"/>
    </row>
    <row r="82" spans="1:23" ht="9" customHeight="1">
      <c r="A82" s="803">
        <v>67</v>
      </c>
      <c r="B82" s="136" t="s">
        <v>170</v>
      </c>
      <c r="C82" s="137" t="s">
        <v>1006</v>
      </c>
      <c r="D82" s="137"/>
      <c r="E82" s="805">
        <v>1954</v>
      </c>
      <c r="F82" s="794"/>
      <c r="G82" s="803" t="s">
        <v>88</v>
      </c>
      <c r="H82" s="794">
        <v>2</v>
      </c>
      <c r="I82" s="794">
        <v>2</v>
      </c>
      <c r="J82" s="142">
        <v>790.1</v>
      </c>
      <c r="K82" s="142">
        <v>714.1</v>
      </c>
      <c r="L82" s="149">
        <v>555</v>
      </c>
      <c r="M82" s="794">
        <v>26</v>
      </c>
      <c r="N82" s="143">
        <f>'Приложение 2'!E85</f>
        <v>2442918.9900000002</v>
      </c>
      <c r="O82" s="797">
        <v>0</v>
      </c>
      <c r="P82" s="797">
        <v>0</v>
      </c>
      <c r="Q82" s="797">
        <v>0</v>
      </c>
      <c r="R82" s="797">
        <f t="shared" si="5"/>
        <v>2442918.9900000002</v>
      </c>
      <c r="S82" s="797">
        <f t="shared" si="6"/>
        <v>3420.9760397703403</v>
      </c>
      <c r="T82" s="797">
        <v>4503.95</v>
      </c>
      <c r="U82" s="132" t="s">
        <v>228</v>
      </c>
      <c r="V82" s="144">
        <f t="shared" si="7"/>
        <v>1082.9739602296595</v>
      </c>
      <c r="W82" s="145"/>
    </row>
    <row r="83" spans="1:23" ht="9" customHeight="1">
      <c r="A83" s="803">
        <v>68</v>
      </c>
      <c r="B83" s="136" t="s">
        <v>171</v>
      </c>
      <c r="C83" s="137" t="s">
        <v>1005</v>
      </c>
      <c r="D83" s="137"/>
      <c r="E83" s="147">
        <v>1984</v>
      </c>
      <c r="F83" s="141"/>
      <c r="G83" s="803" t="s">
        <v>88</v>
      </c>
      <c r="H83" s="141">
        <v>12</v>
      </c>
      <c r="I83" s="141">
        <v>1</v>
      </c>
      <c r="J83" s="142">
        <v>4691.1000000000004</v>
      </c>
      <c r="K83" s="149">
        <v>3918.9</v>
      </c>
      <c r="L83" s="149">
        <v>3840</v>
      </c>
      <c r="M83" s="141">
        <v>166</v>
      </c>
      <c r="N83" s="143">
        <f>'Приложение 2'!E86</f>
        <v>1364257.25</v>
      </c>
      <c r="O83" s="797">
        <v>0</v>
      </c>
      <c r="P83" s="797">
        <v>0</v>
      </c>
      <c r="Q83" s="797">
        <v>0</v>
      </c>
      <c r="R83" s="797">
        <f t="shared" si="5"/>
        <v>1364257.25</v>
      </c>
      <c r="S83" s="797">
        <f t="shared" si="6"/>
        <v>348.12249610860192</v>
      </c>
      <c r="T83" s="797">
        <v>4180</v>
      </c>
      <c r="U83" s="132" t="s">
        <v>228</v>
      </c>
      <c r="V83" s="144">
        <f t="shared" si="7"/>
        <v>3831.8775038913982</v>
      </c>
      <c r="W83" s="145"/>
    </row>
    <row r="84" spans="1:23" ht="9" customHeight="1">
      <c r="A84" s="803">
        <v>69</v>
      </c>
      <c r="B84" s="136" t="s">
        <v>172</v>
      </c>
      <c r="C84" s="137" t="s">
        <v>1006</v>
      </c>
      <c r="D84" s="137"/>
      <c r="E84" s="147">
        <v>1969</v>
      </c>
      <c r="F84" s="141"/>
      <c r="G84" s="803" t="s">
        <v>88</v>
      </c>
      <c r="H84" s="141">
        <v>5</v>
      </c>
      <c r="I84" s="141">
        <v>4</v>
      </c>
      <c r="J84" s="142">
        <v>3339</v>
      </c>
      <c r="K84" s="149">
        <v>3104</v>
      </c>
      <c r="L84" s="149">
        <v>3104</v>
      </c>
      <c r="M84" s="141">
        <v>152</v>
      </c>
      <c r="N84" s="143">
        <f>'Приложение 2'!E87</f>
        <v>3827798.52</v>
      </c>
      <c r="O84" s="797">
        <v>0</v>
      </c>
      <c r="P84" s="797">
        <v>0</v>
      </c>
      <c r="Q84" s="797">
        <v>0</v>
      </c>
      <c r="R84" s="797">
        <f t="shared" si="5"/>
        <v>3827798.52</v>
      </c>
      <c r="S84" s="797">
        <f t="shared" si="6"/>
        <v>1233.182512886598</v>
      </c>
      <c r="T84" s="797">
        <v>4503.95</v>
      </c>
      <c r="U84" s="132" t="s">
        <v>228</v>
      </c>
      <c r="V84" s="144">
        <f t="shared" si="7"/>
        <v>3270.7674871134018</v>
      </c>
      <c r="W84" s="145"/>
    </row>
    <row r="85" spans="1:23" ht="9" customHeight="1">
      <c r="A85" s="803">
        <v>70</v>
      </c>
      <c r="B85" s="785" t="s">
        <v>173</v>
      </c>
      <c r="C85" s="805" t="s">
        <v>1006</v>
      </c>
      <c r="D85" s="805"/>
      <c r="E85" s="147">
        <v>1963</v>
      </c>
      <c r="F85" s="141"/>
      <c r="G85" s="148" t="s">
        <v>88</v>
      </c>
      <c r="H85" s="141">
        <v>4</v>
      </c>
      <c r="I85" s="141">
        <v>2</v>
      </c>
      <c r="J85" s="142">
        <v>1328.9</v>
      </c>
      <c r="K85" s="142">
        <v>1205.9000000000001</v>
      </c>
      <c r="L85" s="142">
        <v>1072.17</v>
      </c>
      <c r="M85" s="141">
        <v>64</v>
      </c>
      <c r="N85" s="143">
        <f>'Приложение 2'!E88</f>
        <v>2020205.08</v>
      </c>
      <c r="O85" s="797">
        <v>0</v>
      </c>
      <c r="P85" s="797">
        <v>0</v>
      </c>
      <c r="Q85" s="797">
        <v>0</v>
      </c>
      <c r="R85" s="797">
        <f t="shared" si="5"/>
        <v>2020205.08</v>
      </c>
      <c r="S85" s="797">
        <f t="shared" si="6"/>
        <v>1675.2675014511983</v>
      </c>
      <c r="T85" s="797">
        <v>4503.95</v>
      </c>
      <c r="U85" s="132" t="s">
        <v>228</v>
      </c>
      <c r="V85" s="144">
        <f t="shared" si="7"/>
        <v>2828.6824985488015</v>
      </c>
      <c r="W85" s="145"/>
    </row>
    <row r="86" spans="1:23" ht="9" customHeight="1">
      <c r="A86" s="803">
        <v>71</v>
      </c>
      <c r="B86" s="785" t="s">
        <v>174</v>
      </c>
      <c r="C86" s="805" t="s">
        <v>1008</v>
      </c>
      <c r="D86" s="805"/>
      <c r="E86" s="147">
        <v>1982</v>
      </c>
      <c r="F86" s="141"/>
      <c r="G86" s="148" t="s">
        <v>88</v>
      </c>
      <c r="H86" s="141">
        <v>5</v>
      </c>
      <c r="I86" s="141">
        <v>7</v>
      </c>
      <c r="J86" s="142">
        <v>5285.9</v>
      </c>
      <c r="K86" s="142">
        <v>4638.8999999999996</v>
      </c>
      <c r="L86" s="142">
        <v>4638.8999999999996</v>
      </c>
      <c r="M86" s="141">
        <v>213</v>
      </c>
      <c r="N86" s="143">
        <f>'Приложение 2'!E89</f>
        <v>9994355.3999999985</v>
      </c>
      <c r="O86" s="797">
        <v>0</v>
      </c>
      <c r="P86" s="797">
        <v>0</v>
      </c>
      <c r="Q86" s="797">
        <v>0</v>
      </c>
      <c r="R86" s="797">
        <f t="shared" si="5"/>
        <v>9994355.3999999985</v>
      </c>
      <c r="S86" s="797">
        <f t="shared" si="6"/>
        <v>2154.4666623552994</v>
      </c>
      <c r="T86" s="797">
        <v>4984.6499999999996</v>
      </c>
      <c r="U86" s="132" t="s">
        <v>228</v>
      </c>
      <c r="V86" s="144">
        <f t="shared" si="7"/>
        <v>2830.1833376447003</v>
      </c>
      <c r="W86" s="145"/>
    </row>
    <row r="87" spans="1:23" ht="9" customHeight="1">
      <c r="A87" s="803">
        <v>72</v>
      </c>
      <c r="B87" s="785" t="s">
        <v>175</v>
      </c>
      <c r="C87" s="805" t="s">
        <v>1006</v>
      </c>
      <c r="D87" s="805"/>
      <c r="E87" s="147">
        <v>1967</v>
      </c>
      <c r="F87" s="141"/>
      <c r="G87" s="148" t="s">
        <v>88</v>
      </c>
      <c r="H87" s="141">
        <v>2</v>
      </c>
      <c r="I87" s="141">
        <v>1</v>
      </c>
      <c r="J87" s="142">
        <v>943.2</v>
      </c>
      <c r="K87" s="142">
        <v>620</v>
      </c>
      <c r="L87" s="142">
        <v>620</v>
      </c>
      <c r="M87" s="141">
        <v>62</v>
      </c>
      <c r="N87" s="143">
        <f>'Приложение 2'!E90</f>
        <v>1827393.07</v>
      </c>
      <c r="O87" s="797">
        <v>0</v>
      </c>
      <c r="P87" s="797">
        <v>0</v>
      </c>
      <c r="Q87" s="797">
        <v>0</v>
      </c>
      <c r="R87" s="797">
        <f t="shared" si="5"/>
        <v>1827393.07</v>
      </c>
      <c r="S87" s="797">
        <f t="shared" si="6"/>
        <v>2947.4081774193551</v>
      </c>
      <c r="T87" s="797">
        <v>4503.95</v>
      </c>
      <c r="U87" s="132" t="s">
        <v>228</v>
      </c>
      <c r="V87" s="144">
        <f t="shared" si="7"/>
        <v>1556.5418225806447</v>
      </c>
      <c r="W87" s="145"/>
    </row>
    <row r="88" spans="1:23" ht="9" customHeight="1">
      <c r="A88" s="803">
        <v>73</v>
      </c>
      <c r="B88" s="785" t="s">
        <v>176</v>
      </c>
      <c r="C88" s="805" t="s">
        <v>1006</v>
      </c>
      <c r="D88" s="805"/>
      <c r="E88" s="147">
        <v>1941</v>
      </c>
      <c r="F88" s="141"/>
      <c r="G88" s="148" t="s">
        <v>88</v>
      </c>
      <c r="H88" s="141">
        <v>2</v>
      </c>
      <c r="I88" s="141">
        <v>2</v>
      </c>
      <c r="J88" s="142">
        <v>781.2</v>
      </c>
      <c r="K88" s="142">
        <v>696.2</v>
      </c>
      <c r="L88" s="142">
        <v>696.2</v>
      </c>
      <c r="M88" s="141">
        <v>31</v>
      </c>
      <c r="N88" s="143">
        <f>'Приложение 2'!E91</f>
        <v>2130482.73</v>
      </c>
      <c r="O88" s="797">
        <v>0</v>
      </c>
      <c r="P88" s="797">
        <v>0</v>
      </c>
      <c r="Q88" s="797">
        <v>0</v>
      </c>
      <c r="R88" s="797">
        <f t="shared" si="5"/>
        <v>2130482.73</v>
      </c>
      <c r="S88" s="797">
        <f t="shared" si="6"/>
        <v>3060.1590491238148</v>
      </c>
      <c r="T88" s="797">
        <v>4503.95</v>
      </c>
      <c r="U88" s="132" t="s">
        <v>228</v>
      </c>
      <c r="V88" s="144">
        <f t="shared" si="7"/>
        <v>1443.790950876185</v>
      </c>
      <c r="W88" s="145"/>
    </row>
    <row r="89" spans="1:23" ht="9" customHeight="1">
      <c r="A89" s="803">
        <v>74</v>
      </c>
      <c r="B89" s="785" t="s">
        <v>177</v>
      </c>
      <c r="C89" s="805" t="s">
        <v>1005</v>
      </c>
      <c r="D89" s="805"/>
      <c r="E89" s="151">
        <v>1984</v>
      </c>
      <c r="F89" s="141"/>
      <c r="G89" s="148" t="s">
        <v>88</v>
      </c>
      <c r="H89" s="141">
        <v>5</v>
      </c>
      <c r="I89" s="141">
        <v>4</v>
      </c>
      <c r="J89" s="142">
        <v>3066.1</v>
      </c>
      <c r="K89" s="142">
        <v>2771.7</v>
      </c>
      <c r="L89" s="142">
        <v>2771.7</v>
      </c>
      <c r="M89" s="141">
        <v>98</v>
      </c>
      <c r="N89" s="143">
        <f>'Приложение 2'!E92</f>
        <v>2151018.02</v>
      </c>
      <c r="O89" s="797">
        <v>0</v>
      </c>
      <c r="P89" s="797">
        <v>0</v>
      </c>
      <c r="Q89" s="797">
        <v>0</v>
      </c>
      <c r="R89" s="797">
        <f t="shared" si="5"/>
        <v>2151018.02</v>
      </c>
      <c r="S89" s="797">
        <f t="shared" si="6"/>
        <v>776.06451636179963</v>
      </c>
      <c r="T89" s="797">
        <v>4180</v>
      </c>
      <c r="U89" s="132" t="s">
        <v>228</v>
      </c>
      <c r="V89" s="144">
        <f t="shared" si="7"/>
        <v>3403.9354836382004</v>
      </c>
      <c r="W89" s="145"/>
    </row>
    <row r="90" spans="1:23" ht="9.75" customHeight="1">
      <c r="A90" s="803">
        <v>75</v>
      </c>
      <c r="B90" s="785" t="s">
        <v>178</v>
      </c>
      <c r="C90" s="805" t="s">
        <v>1005</v>
      </c>
      <c r="D90" s="805"/>
      <c r="E90" s="151">
        <v>1976</v>
      </c>
      <c r="F90" s="141"/>
      <c r="G90" s="152" t="s">
        <v>90</v>
      </c>
      <c r="H90" s="141">
        <v>5</v>
      </c>
      <c r="I90" s="141">
        <v>4</v>
      </c>
      <c r="J90" s="142">
        <v>3680.1</v>
      </c>
      <c r="K90" s="142">
        <v>3359.1</v>
      </c>
      <c r="L90" s="142">
        <v>3249.8</v>
      </c>
      <c r="M90" s="141">
        <v>145</v>
      </c>
      <c r="N90" s="143">
        <f>'Приложение 2'!E93</f>
        <v>3115364.86</v>
      </c>
      <c r="O90" s="797">
        <v>0</v>
      </c>
      <c r="P90" s="797">
        <v>0</v>
      </c>
      <c r="Q90" s="797">
        <v>0</v>
      </c>
      <c r="R90" s="797">
        <f t="shared" si="5"/>
        <v>3115364.86</v>
      </c>
      <c r="S90" s="797">
        <f t="shared" si="6"/>
        <v>927.44034413979932</v>
      </c>
      <c r="T90" s="797">
        <v>4180</v>
      </c>
      <c r="U90" s="132" t="s">
        <v>228</v>
      </c>
      <c r="V90" s="144">
        <f t="shared" si="7"/>
        <v>3252.5596558602006</v>
      </c>
      <c r="W90" s="145"/>
    </row>
    <row r="91" spans="1:23" ht="9" customHeight="1">
      <c r="A91" s="803">
        <v>76</v>
      </c>
      <c r="B91" s="785" t="s">
        <v>179</v>
      </c>
      <c r="C91" s="805" t="s">
        <v>1005</v>
      </c>
      <c r="D91" s="805"/>
      <c r="E91" s="147">
        <v>1978</v>
      </c>
      <c r="F91" s="141"/>
      <c r="G91" s="148" t="s">
        <v>88</v>
      </c>
      <c r="H91" s="141">
        <v>5</v>
      </c>
      <c r="I91" s="141">
        <v>2</v>
      </c>
      <c r="J91" s="142">
        <v>3728.6</v>
      </c>
      <c r="K91" s="142">
        <v>3039.6</v>
      </c>
      <c r="L91" s="142">
        <v>3027.9</v>
      </c>
      <c r="M91" s="141">
        <v>148</v>
      </c>
      <c r="N91" s="143">
        <f>'Приложение 2'!E94</f>
        <v>3010204.83</v>
      </c>
      <c r="O91" s="797">
        <v>0</v>
      </c>
      <c r="P91" s="797">
        <v>0</v>
      </c>
      <c r="Q91" s="797">
        <v>0</v>
      </c>
      <c r="R91" s="797">
        <f t="shared" si="5"/>
        <v>3010204.83</v>
      </c>
      <c r="S91" s="797">
        <f t="shared" si="6"/>
        <v>990.3292637189104</v>
      </c>
      <c r="T91" s="797">
        <f>IF('Приложение 2'!J94="скатная",3605.25,4180)</f>
        <v>4180</v>
      </c>
      <c r="U91" s="132" t="s">
        <v>228</v>
      </c>
      <c r="V91" s="144">
        <f t="shared" si="7"/>
        <v>3189.6707362810894</v>
      </c>
      <c r="W91" s="145"/>
    </row>
    <row r="92" spans="1:23" ht="9" customHeight="1">
      <c r="A92" s="803">
        <v>77</v>
      </c>
      <c r="B92" s="785" t="s">
        <v>180</v>
      </c>
      <c r="C92" s="805" t="s">
        <v>1006</v>
      </c>
      <c r="D92" s="805"/>
      <c r="E92" s="151">
        <v>1965</v>
      </c>
      <c r="F92" s="141"/>
      <c r="G92" s="152" t="s">
        <v>88</v>
      </c>
      <c r="H92" s="141">
        <v>5</v>
      </c>
      <c r="I92" s="141">
        <v>2</v>
      </c>
      <c r="J92" s="142">
        <v>1756.7</v>
      </c>
      <c r="K92" s="142">
        <v>1633.7</v>
      </c>
      <c r="L92" s="142">
        <v>1633.7</v>
      </c>
      <c r="M92" s="141">
        <v>63</v>
      </c>
      <c r="N92" s="143">
        <f>'Приложение 2'!E95</f>
        <v>1760498</v>
      </c>
      <c r="O92" s="797">
        <v>0</v>
      </c>
      <c r="P92" s="797">
        <v>0</v>
      </c>
      <c r="Q92" s="797">
        <v>0</v>
      </c>
      <c r="R92" s="797">
        <f t="shared" si="5"/>
        <v>1760498</v>
      </c>
      <c r="S92" s="797">
        <f t="shared" si="6"/>
        <v>1077.6140050192814</v>
      </c>
      <c r="T92" s="797">
        <v>4503.95</v>
      </c>
      <c r="U92" s="132" t="s">
        <v>228</v>
      </c>
      <c r="V92" s="144">
        <f t="shared" si="7"/>
        <v>3426.3359949807182</v>
      </c>
      <c r="W92" s="145"/>
    </row>
    <row r="93" spans="1:23" ht="9" customHeight="1">
      <c r="A93" s="803">
        <v>78</v>
      </c>
      <c r="B93" s="785" t="s">
        <v>181</v>
      </c>
      <c r="C93" s="805" t="s">
        <v>1005</v>
      </c>
      <c r="D93" s="805"/>
      <c r="E93" s="147">
        <v>1986</v>
      </c>
      <c r="F93" s="141"/>
      <c r="G93" s="148" t="s">
        <v>88</v>
      </c>
      <c r="H93" s="141">
        <v>5</v>
      </c>
      <c r="I93" s="141">
        <v>1</v>
      </c>
      <c r="J93" s="142">
        <v>2963.8</v>
      </c>
      <c r="K93" s="142">
        <v>2862.8</v>
      </c>
      <c r="L93" s="142">
        <v>836.4</v>
      </c>
      <c r="M93" s="141">
        <v>43</v>
      </c>
      <c r="N93" s="143">
        <f>'Приложение 2'!E96</f>
        <v>782580.19</v>
      </c>
      <c r="O93" s="797">
        <v>0</v>
      </c>
      <c r="P93" s="797">
        <v>0</v>
      </c>
      <c r="Q93" s="797">
        <v>0</v>
      </c>
      <c r="R93" s="797">
        <f t="shared" si="5"/>
        <v>782580.19</v>
      </c>
      <c r="S93" s="797">
        <f t="shared" si="6"/>
        <v>273.36181011597034</v>
      </c>
      <c r="T93" s="797">
        <v>4180</v>
      </c>
      <c r="U93" s="132" t="s">
        <v>228</v>
      </c>
      <c r="V93" s="144">
        <f t="shared" si="7"/>
        <v>3906.6381898840295</v>
      </c>
      <c r="W93" s="145"/>
    </row>
    <row r="94" spans="1:23" ht="9.75" customHeight="1">
      <c r="A94" s="803">
        <v>79</v>
      </c>
      <c r="B94" s="785" t="s">
        <v>8</v>
      </c>
      <c r="C94" s="805" t="s">
        <v>1005</v>
      </c>
      <c r="D94" s="805"/>
      <c r="E94" s="153" t="s">
        <v>299</v>
      </c>
      <c r="F94" s="154"/>
      <c r="G94" s="155" t="s">
        <v>88</v>
      </c>
      <c r="H94" s="141">
        <v>5</v>
      </c>
      <c r="I94" s="141">
        <v>9</v>
      </c>
      <c r="J94" s="142">
        <v>7333.6</v>
      </c>
      <c r="K94" s="142">
        <v>6772.6</v>
      </c>
      <c r="L94" s="142">
        <v>6146.5</v>
      </c>
      <c r="M94" s="141">
        <v>137</v>
      </c>
      <c r="N94" s="143">
        <f>'Приложение 2'!E97</f>
        <v>3996863.38</v>
      </c>
      <c r="O94" s="797">
        <v>0</v>
      </c>
      <c r="P94" s="797">
        <v>0</v>
      </c>
      <c r="Q94" s="797">
        <v>0</v>
      </c>
      <c r="R94" s="797">
        <f t="shared" si="5"/>
        <v>3996863.38</v>
      </c>
      <c r="S94" s="797">
        <f>N94/K94</f>
        <v>590.15199184951121</v>
      </c>
      <c r="T94" s="797">
        <v>4180</v>
      </c>
      <c r="U94" s="132" t="s">
        <v>228</v>
      </c>
      <c r="V94" s="144">
        <f t="shared" si="7"/>
        <v>3589.8480081504886</v>
      </c>
      <c r="W94" s="145"/>
    </row>
    <row r="95" spans="1:23" ht="9" customHeight="1">
      <c r="A95" s="803">
        <v>80</v>
      </c>
      <c r="B95" s="785" t="s">
        <v>182</v>
      </c>
      <c r="C95" s="805" t="s">
        <v>1006</v>
      </c>
      <c r="D95" s="805"/>
      <c r="E95" s="151">
        <v>1969</v>
      </c>
      <c r="F95" s="141"/>
      <c r="G95" s="152" t="s">
        <v>88</v>
      </c>
      <c r="H95" s="141">
        <v>5</v>
      </c>
      <c r="I95" s="141">
        <v>2</v>
      </c>
      <c r="J95" s="142">
        <v>1920.91</v>
      </c>
      <c r="K95" s="142">
        <v>1764.91</v>
      </c>
      <c r="L95" s="142">
        <v>1764.91</v>
      </c>
      <c r="M95" s="141">
        <v>76</v>
      </c>
      <c r="N95" s="143">
        <f>'Приложение 2'!E98</f>
        <v>2223789.4500000002</v>
      </c>
      <c r="O95" s="797">
        <v>0</v>
      </c>
      <c r="P95" s="797">
        <v>0</v>
      </c>
      <c r="Q95" s="797">
        <v>0</v>
      </c>
      <c r="R95" s="797">
        <f t="shared" si="5"/>
        <v>2223789.4500000002</v>
      </c>
      <c r="S95" s="797">
        <f t="shared" si="6"/>
        <v>1260.0016148132199</v>
      </c>
      <c r="T95" s="797">
        <v>4503.95</v>
      </c>
      <c r="U95" s="132" t="s">
        <v>228</v>
      </c>
      <c r="V95" s="144">
        <f t="shared" si="7"/>
        <v>3243.9483851867799</v>
      </c>
      <c r="W95" s="145"/>
    </row>
    <row r="96" spans="1:23" ht="9" customHeight="1">
      <c r="A96" s="803">
        <v>81</v>
      </c>
      <c r="B96" s="785" t="s">
        <v>183</v>
      </c>
      <c r="C96" s="805" t="s">
        <v>1008</v>
      </c>
      <c r="D96" s="805"/>
      <c r="E96" s="147">
        <v>1978</v>
      </c>
      <c r="F96" s="141"/>
      <c r="G96" s="148" t="s">
        <v>90</v>
      </c>
      <c r="H96" s="141">
        <v>5</v>
      </c>
      <c r="I96" s="141">
        <v>4</v>
      </c>
      <c r="J96" s="142">
        <v>3511.8</v>
      </c>
      <c r="K96" s="142">
        <v>3188.7</v>
      </c>
      <c r="L96" s="142">
        <v>3188.7</v>
      </c>
      <c r="M96" s="141">
        <v>133</v>
      </c>
      <c r="N96" s="143">
        <f>'Приложение 2'!E99</f>
        <v>5303563.66</v>
      </c>
      <c r="O96" s="797">
        <v>0</v>
      </c>
      <c r="P96" s="797">
        <v>0</v>
      </c>
      <c r="Q96" s="797">
        <v>0</v>
      </c>
      <c r="R96" s="797">
        <f t="shared" si="5"/>
        <v>5303563.66</v>
      </c>
      <c r="S96" s="797">
        <f t="shared" si="6"/>
        <v>1663.2369492269579</v>
      </c>
      <c r="T96" s="797">
        <v>4984.6499999999996</v>
      </c>
      <c r="U96" s="132" t="s">
        <v>228</v>
      </c>
      <c r="V96" s="144">
        <f t="shared" si="7"/>
        <v>3321.4130507730415</v>
      </c>
      <c r="W96" s="145"/>
    </row>
    <row r="97" spans="1:23" ht="9" customHeight="1">
      <c r="A97" s="803">
        <v>82</v>
      </c>
      <c r="B97" s="785" t="s">
        <v>184</v>
      </c>
      <c r="C97" s="805" t="s">
        <v>1005</v>
      </c>
      <c r="D97" s="805"/>
      <c r="E97" s="147">
        <v>1971</v>
      </c>
      <c r="F97" s="141"/>
      <c r="G97" s="148" t="s">
        <v>90</v>
      </c>
      <c r="H97" s="141">
        <v>5</v>
      </c>
      <c r="I97" s="141">
        <v>2</v>
      </c>
      <c r="J97" s="142">
        <v>2818.1</v>
      </c>
      <c r="K97" s="142">
        <v>1394.7</v>
      </c>
      <c r="L97" s="142">
        <v>1394.7</v>
      </c>
      <c r="M97" s="141">
        <v>170</v>
      </c>
      <c r="N97" s="143">
        <f>'Приложение 2'!E100</f>
        <v>2271445.9900000002</v>
      </c>
      <c r="O97" s="797">
        <v>0</v>
      </c>
      <c r="P97" s="797">
        <v>0</v>
      </c>
      <c r="Q97" s="797">
        <v>0</v>
      </c>
      <c r="R97" s="797">
        <f t="shared" si="5"/>
        <v>2271445.9900000002</v>
      </c>
      <c r="S97" s="797">
        <f t="shared" si="6"/>
        <v>1628.6269376926939</v>
      </c>
      <c r="T97" s="797">
        <v>4180</v>
      </c>
      <c r="U97" s="132" t="s">
        <v>228</v>
      </c>
      <c r="V97" s="144">
        <f t="shared" si="7"/>
        <v>2551.3730623073061</v>
      </c>
      <c r="W97" s="145"/>
    </row>
    <row r="98" spans="1:23" ht="9" customHeight="1">
      <c r="A98" s="803">
        <v>83</v>
      </c>
      <c r="B98" s="785" t="s">
        <v>185</v>
      </c>
      <c r="C98" s="805" t="s">
        <v>1005</v>
      </c>
      <c r="D98" s="805"/>
      <c r="E98" s="147">
        <v>1987</v>
      </c>
      <c r="F98" s="141"/>
      <c r="G98" s="148" t="s">
        <v>90</v>
      </c>
      <c r="H98" s="141">
        <v>5</v>
      </c>
      <c r="I98" s="141">
        <v>4</v>
      </c>
      <c r="J98" s="142">
        <v>3153.4</v>
      </c>
      <c r="K98" s="142">
        <v>2835.4</v>
      </c>
      <c r="L98" s="142">
        <v>2835.4</v>
      </c>
      <c r="M98" s="141">
        <v>152</v>
      </c>
      <c r="N98" s="143">
        <f>'Приложение 2'!E101</f>
        <v>2838710.62</v>
      </c>
      <c r="O98" s="797">
        <v>0</v>
      </c>
      <c r="P98" s="797">
        <v>0</v>
      </c>
      <c r="Q98" s="797">
        <v>0</v>
      </c>
      <c r="R98" s="797">
        <f t="shared" si="5"/>
        <v>2838710.62</v>
      </c>
      <c r="S98" s="797">
        <f t="shared" si="6"/>
        <v>1001.1676024546802</v>
      </c>
      <c r="T98" s="797">
        <v>4180</v>
      </c>
      <c r="U98" s="132" t="s">
        <v>228</v>
      </c>
      <c r="V98" s="144">
        <f t="shared" si="7"/>
        <v>3178.83239754532</v>
      </c>
      <c r="W98" s="145"/>
    </row>
    <row r="99" spans="1:23" ht="9" customHeight="1">
      <c r="A99" s="803">
        <v>84</v>
      </c>
      <c r="B99" s="785" t="s">
        <v>394</v>
      </c>
      <c r="C99" s="805" t="s">
        <v>1005</v>
      </c>
      <c r="D99" s="805"/>
      <c r="E99" s="151">
        <v>1972</v>
      </c>
      <c r="F99" s="141"/>
      <c r="G99" s="152" t="s">
        <v>90</v>
      </c>
      <c r="H99" s="141">
        <v>5</v>
      </c>
      <c r="I99" s="141">
        <v>4</v>
      </c>
      <c r="J99" s="142">
        <v>3578</v>
      </c>
      <c r="K99" s="142">
        <v>3309</v>
      </c>
      <c r="L99" s="142">
        <v>3309</v>
      </c>
      <c r="M99" s="141">
        <v>167</v>
      </c>
      <c r="N99" s="143">
        <f>'Приложение 2'!E102</f>
        <v>3213295.51</v>
      </c>
      <c r="O99" s="797">
        <v>0</v>
      </c>
      <c r="P99" s="797">
        <v>0</v>
      </c>
      <c r="Q99" s="797">
        <v>0</v>
      </c>
      <c r="R99" s="797">
        <f t="shared" si="5"/>
        <v>3213295.51</v>
      </c>
      <c r="S99" s="797">
        <f t="shared" si="6"/>
        <v>971.07751888788152</v>
      </c>
      <c r="T99" s="797">
        <v>4180</v>
      </c>
      <c r="U99" s="132" t="s">
        <v>228</v>
      </c>
      <c r="V99" s="144">
        <f t="shared" si="7"/>
        <v>3208.9224811121185</v>
      </c>
      <c r="W99" s="145"/>
    </row>
    <row r="100" spans="1:23" ht="9" customHeight="1">
      <c r="A100" s="803">
        <v>85</v>
      </c>
      <c r="B100" s="785" t="s">
        <v>186</v>
      </c>
      <c r="C100" s="805" t="s">
        <v>1005</v>
      </c>
      <c r="D100" s="805"/>
      <c r="E100" s="151">
        <v>1993</v>
      </c>
      <c r="F100" s="141"/>
      <c r="G100" s="152" t="s">
        <v>90</v>
      </c>
      <c r="H100" s="141">
        <v>5</v>
      </c>
      <c r="I100" s="141">
        <v>2</v>
      </c>
      <c r="J100" s="142">
        <v>1598.1</v>
      </c>
      <c r="K100" s="142">
        <v>1469.3</v>
      </c>
      <c r="L100" s="142">
        <v>1469.3</v>
      </c>
      <c r="M100" s="141">
        <v>69</v>
      </c>
      <c r="N100" s="143">
        <f>'Приложение 2'!E103</f>
        <v>1227007.33</v>
      </c>
      <c r="O100" s="797">
        <v>0</v>
      </c>
      <c r="P100" s="797">
        <v>0</v>
      </c>
      <c r="Q100" s="797">
        <v>0</v>
      </c>
      <c r="R100" s="797">
        <f t="shared" si="5"/>
        <v>1227007.33</v>
      </c>
      <c r="S100" s="797">
        <f t="shared" si="6"/>
        <v>835.09652895936847</v>
      </c>
      <c r="T100" s="797">
        <v>4180</v>
      </c>
      <c r="U100" s="132" t="s">
        <v>228</v>
      </c>
      <c r="V100" s="144">
        <f t="shared" si="7"/>
        <v>3344.9034710406313</v>
      </c>
      <c r="W100" s="145"/>
    </row>
    <row r="101" spans="1:23" ht="9.75" customHeight="1">
      <c r="A101" s="803">
        <v>86</v>
      </c>
      <c r="B101" s="150" t="s">
        <v>218</v>
      </c>
      <c r="C101" s="147" t="s">
        <v>1008</v>
      </c>
      <c r="D101" s="147"/>
      <c r="E101" s="153" t="s">
        <v>219</v>
      </c>
      <c r="F101" s="154"/>
      <c r="G101" s="155" t="s">
        <v>88</v>
      </c>
      <c r="H101" s="141">
        <v>3</v>
      </c>
      <c r="I101" s="141">
        <v>2</v>
      </c>
      <c r="J101" s="142">
        <v>1176.8</v>
      </c>
      <c r="K101" s="142">
        <v>1027.7</v>
      </c>
      <c r="L101" s="142">
        <v>1027.0999999999999</v>
      </c>
      <c r="M101" s="141">
        <v>18</v>
      </c>
      <c r="N101" s="143">
        <f>'Приложение 2'!E104</f>
        <v>1117783.42</v>
      </c>
      <c r="O101" s="797">
        <v>0</v>
      </c>
      <c r="P101" s="797">
        <v>0</v>
      </c>
      <c r="Q101" s="797">
        <v>0</v>
      </c>
      <c r="R101" s="797">
        <f t="shared" si="5"/>
        <v>1117783.42</v>
      </c>
      <c r="S101" s="797">
        <f>N101/K101</f>
        <v>1087.6553663520481</v>
      </c>
      <c r="T101" s="797">
        <v>4984.6499999999996</v>
      </c>
      <c r="U101" s="132" t="s">
        <v>228</v>
      </c>
      <c r="V101" s="144">
        <f t="shared" si="7"/>
        <v>3896.9946336479516</v>
      </c>
      <c r="W101" s="145"/>
    </row>
    <row r="102" spans="1:23" ht="9" customHeight="1">
      <c r="A102" s="803">
        <v>87</v>
      </c>
      <c r="B102" s="785" t="s">
        <v>1049</v>
      </c>
      <c r="C102" s="805" t="s">
        <v>1006</v>
      </c>
      <c r="D102" s="805"/>
      <c r="E102" s="153" t="s">
        <v>107</v>
      </c>
      <c r="F102" s="154"/>
      <c r="G102" s="155" t="s">
        <v>88</v>
      </c>
      <c r="H102" s="141">
        <v>5</v>
      </c>
      <c r="I102" s="141">
        <v>3</v>
      </c>
      <c r="J102" s="142">
        <v>6805.2</v>
      </c>
      <c r="K102" s="142">
        <v>6155.2</v>
      </c>
      <c r="L102" s="142">
        <v>4804</v>
      </c>
      <c r="M102" s="141">
        <v>51</v>
      </c>
      <c r="N102" s="143">
        <f>'Приложение 2'!E105</f>
        <v>6411159.7699999996</v>
      </c>
      <c r="O102" s="797">
        <v>0</v>
      </c>
      <c r="P102" s="797">
        <v>0</v>
      </c>
      <c r="Q102" s="797">
        <v>0</v>
      </c>
      <c r="R102" s="797">
        <f t="shared" si="5"/>
        <v>6411159.7699999996</v>
      </c>
      <c r="S102" s="797">
        <f t="shared" si="6"/>
        <v>1041.5843140759032</v>
      </c>
      <c r="T102" s="797">
        <v>4503.95</v>
      </c>
      <c r="U102" s="132" t="s">
        <v>228</v>
      </c>
      <c r="V102" s="144">
        <f t="shared" si="7"/>
        <v>3462.3656859240964</v>
      </c>
      <c r="W102" s="145"/>
    </row>
    <row r="103" spans="1:23" ht="9" customHeight="1">
      <c r="A103" s="803">
        <v>88</v>
      </c>
      <c r="B103" s="785" t="s">
        <v>1050</v>
      </c>
      <c r="C103" s="805" t="s">
        <v>1006</v>
      </c>
      <c r="D103" s="805"/>
      <c r="E103" s="147">
        <v>1959</v>
      </c>
      <c r="F103" s="141"/>
      <c r="G103" s="148" t="s">
        <v>88</v>
      </c>
      <c r="H103" s="141">
        <v>5</v>
      </c>
      <c r="I103" s="141">
        <v>4</v>
      </c>
      <c r="J103" s="142">
        <v>2527.35</v>
      </c>
      <c r="K103" s="142">
        <v>2241.35</v>
      </c>
      <c r="L103" s="142">
        <v>1849.89</v>
      </c>
      <c r="M103" s="141">
        <v>62</v>
      </c>
      <c r="N103" s="143">
        <f>'Приложение 2'!E106</f>
        <v>2856268</v>
      </c>
      <c r="O103" s="797">
        <v>0</v>
      </c>
      <c r="P103" s="797">
        <v>0</v>
      </c>
      <c r="Q103" s="797">
        <v>0</v>
      </c>
      <c r="R103" s="797">
        <f t="shared" si="5"/>
        <v>2856268</v>
      </c>
      <c r="S103" s="797">
        <f t="shared" si="6"/>
        <v>1274.3516184442412</v>
      </c>
      <c r="T103" s="797">
        <v>4503.95</v>
      </c>
      <c r="U103" s="132" t="s">
        <v>228</v>
      </c>
      <c r="V103" s="144">
        <f t="shared" si="7"/>
        <v>3229.5983815557584</v>
      </c>
      <c r="W103" s="145"/>
    </row>
    <row r="104" spans="1:23" ht="9" customHeight="1">
      <c r="A104" s="803">
        <v>89</v>
      </c>
      <c r="B104" s="785" t="s">
        <v>189</v>
      </c>
      <c r="C104" s="805" t="s">
        <v>1006</v>
      </c>
      <c r="D104" s="805"/>
      <c r="E104" s="147">
        <v>1959</v>
      </c>
      <c r="F104" s="141"/>
      <c r="G104" s="148" t="s">
        <v>88</v>
      </c>
      <c r="H104" s="141">
        <v>4</v>
      </c>
      <c r="I104" s="141">
        <v>4</v>
      </c>
      <c r="J104" s="142">
        <v>2916.93</v>
      </c>
      <c r="K104" s="142">
        <v>2716.93</v>
      </c>
      <c r="L104" s="142">
        <v>2683.6</v>
      </c>
      <c r="M104" s="141">
        <v>94</v>
      </c>
      <c r="N104" s="143">
        <f>'Приложение 2'!E107</f>
        <v>3409279.78</v>
      </c>
      <c r="O104" s="797">
        <v>0</v>
      </c>
      <c r="P104" s="797">
        <v>0</v>
      </c>
      <c r="Q104" s="797">
        <v>0</v>
      </c>
      <c r="R104" s="797">
        <f t="shared" si="5"/>
        <v>3409279.78</v>
      </c>
      <c r="S104" s="797">
        <f t="shared" si="6"/>
        <v>1254.8279786376536</v>
      </c>
      <c r="T104" s="797">
        <v>4503.95</v>
      </c>
      <c r="U104" s="132" t="s">
        <v>228</v>
      </c>
      <c r="V104" s="144">
        <f t="shared" si="7"/>
        <v>3249.1220213623465</v>
      </c>
      <c r="W104" s="145"/>
    </row>
    <row r="105" spans="1:23" ht="9" customHeight="1">
      <c r="A105" s="803">
        <v>90</v>
      </c>
      <c r="B105" s="785" t="s">
        <v>190</v>
      </c>
      <c r="C105" s="805" t="s">
        <v>1005</v>
      </c>
      <c r="D105" s="805"/>
      <c r="E105" s="151">
        <v>1971</v>
      </c>
      <c r="F105" s="141"/>
      <c r="G105" s="152" t="s">
        <v>206</v>
      </c>
      <c r="H105" s="141">
        <v>5</v>
      </c>
      <c r="I105" s="141">
        <v>4</v>
      </c>
      <c r="J105" s="142">
        <v>4284.1000000000004</v>
      </c>
      <c r="K105" s="142">
        <v>3903.2</v>
      </c>
      <c r="L105" s="142">
        <v>3903.2</v>
      </c>
      <c r="M105" s="141">
        <v>163</v>
      </c>
      <c r="N105" s="143">
        <f>'Приложение 2'!E108</f>
        <v>3520956.94</v>
      </c>
      <c r="O105" s="797">
        <v>0</v>
      </c>
      <c r="P105" s="797">
        <v>0</v>
      </c>
      <c r="Q105" s="797">
        <v>0</v>
      </c>
      <c r="R105" s="797">
        <f t="shared" si="5"/>
        <v>3520956.94</v>
      </c>
      <c r="S105" s="797">
        <f t="shared" si="6"/>
        <v>902.06931235908996</v>
      </c>
      <c r="T105" s="797">
        <v>4180</v>
      </c>
      <c r="U105" s="132" t="s">
        <v>228</v>
      </c>
      <c r="V105" s="144">
        <f t="shared" si="7"/>
        <v>3277.93068764091</v>
      </c>
      <c r="W105" s="145"/>
    </row>
    <row r="106" spans="1:23" ht="9" customHeight="1">
      <c r="A106" s="803">
        <v>91</v>
      </c>
      <c r="B106" s="785" t="s">
        <v>191</v>
      </c>
      <c r="C106" s="805" t="s">
        <v>1006</v>
      </c>
      <c r="D106" s="805"/>
      <c r="E106" s="151">
        <v>1969</v>
      </c>
      <c r="F106" s="141"/>
      <c r="G106" s="152" t="s">
        <v>88</v>
      </c>
      <c r="H106" s="141">
        <v>5</v>
      </c>
      <c r="I106" s="141">
        <v>6</v>
      </c>
      <c r="J106" s="142">
        <v>5624.4</v>
      </c>
      <c r="K106" s="142">
        <v>5023.3999999999996</v>
      </c>
      <c r="L106" s="142">
        <v>4333.5</v>
      </c>
      <c r="M106" s="141">
        <v>180</v>
      </c>
      <c r="N106" s="143">
        <f>'Приложение 2'!E109</f>
        <v>4171971.74</v>
      </c>
      <c r="O106" s="797">
        <v>0</v>
      </c>
      <c r="P106" s="797">
        <v>0</v>
      </c>
      <c r="Q106" s="797">
        <v>0</v>
      </c>
      <c r="R106" s="797">
        <f t="shared" si="5"/>
        <v>4171971.74</v>
      </c>
      <c r="S106" s="797">
        <f t="shared" si="6"/>
        <v>830.50757256041732</v>
      </c>
      <c r="T106" s="797">
        <v>4503.95</v>
      </c>
      <c r="U106" s="132" t="s">
        <v>228</v>
      </c>
      <c r="V106" s="144">
        <f t="shared" si="7"/>
        <v>3673.4424274395824</v>
      </c>
      <c r="W106" s="145"/>
    </row>
    <row r="107" spans="1:23" ht="9" customHeight="1">
      <c r="A107" s="803">
        <v>92</v>
      </c>
      <c r="B107" s="785" t="s">
        <v>192</v>
      </c>
      <c r="C107" s="805" t="s">
        <v>1006</v>
      </c>
      <c r="D107" s="805"/>
      <c r="E107" s="147">
        <v>1968</v>
      </c>
      <c r="F107" s="141"/>
      <c r="G107" s="148" t="s">
        <v>88</v>
      </c>
      <c r="H107" s="141">
        <v>4</v>
      </c>
      <c r="I107" s="141">
        <v>1</v>
      </c>
      <c r="J107" s="142">
        <v>2114.9</v>
      </c>
      <c r="K107" s="142">
        <v>1295.9000000000001</v>
      </c>
      <c r="L107" s="142">
        <v>1295.9000000000001</v>
      </c>
      <c r="M107" s="141">
        <v>128</v>
      </c>
      <c r="N107" s="143">
        <f>'Приложение 2'!E110</f>
        <v>2667853.1800000002</v>
      </c>
      <c r="O107" s="797">
        <v>0</v>
      </c>
      <c r="P107" s="797">
        <v>0</v>
      </c>
      <c r="Q107" s="797">
        <v>0</v>
      </c>
      <c r="R107" s="797">
        <f t="shared" si="5"/>
        <v>2667853.1800000002</v>
      </c>
      <c r="S107" s="797">
        <f t="shared" si="6"/>
        <v>2058.6875376186435</v>
      </c>
      <c r="T107" s="797">
        <v>4503.95</v>
      </c>
      <c r="U107" s="132" t="s">
        <v>228</v>
      </c>
      <c r="V107" s="144">
        <f t="shared" si="7"/>
        <v>2445.2624623813563</v>
      </c>
      <c r="W107" s="145"/>
    </row>
    <row r="108" spans="1:23" ht="9.75" customHeight="1">
      <c r="A108" s="803">
        <v>93</v>
      </c>
      <c r="B108" s="150" t="s">
        <v>326</v>
      </c>
      <c r="C108" s="147" t="s">
        <v>1005</v>
      </c>
      <c r="D108" s="147"/>
      <c r="E108" s="153" t="s">
        <v>328</v>
      </c>
      <c r="F108" s="154"/>
      <c r="G108" s="155" t="s">
        <v>88</v>
      </c>
      <c r="H108" s="141">
        <v>9</v>
      </c>
      <c r="I108" s="141">
        <v>6</v>
      </c>
      <c r="J108" s="142">
        <v>14314.5</v>
      </c>
      <c r="K108" s="142">
        <v>12490.5</v>
      </c>
      <c r="L108" s="142">
        <v>12490.5</v>
      </c>
      <c r="M108" s="141">
        <v>220</v>
      </c>
      <c r="N108" s="143">
        <f>'Приложение 2'!E111</f>
        <v>5381896.7199999997</v>
      </c>
      <c r="O108" s="797">
        <v>0</v>
      </c>
      <c r="P108" s="797">
        <v>0</v>
      </c>
      <c r="Q108" s="797">
        <v>0</v>
      </c>
      <c r="R108" s="797">
        <f t="shared" si="5"/>
        <v>5381896.7199999997</v>
      </c>
      <c r="S108" s="797">
        <f>N108/K108</f>
        <v>430.87920579640524</v>
      </c>
      <c r="T108" s="797">
        <v>4180</v>
      </c>
      <c r="U108" s="132" t="s">
        <v>228</v>
      </c>
      <c r="V108" s="144">
        <f t="shared" si="7"/>
        <v>3749.1207942035949</v>
      </c>
      <c r="W108" s="145"/>
    </row>
    <row r="109" spans="1:23" ht="9.75" customHeight="1">
      <c r="A109" s="803">
        <v>94</v>
      </c>
      <c r="B109" s="150" t="s">
        <v>327</v>
      </c>
      <c r="C109" s="147" t="s">
        <v>1005</v>
      </c>
      <c r="D109" s="147"/>
      <c r="E109" s="153" t="s">
        <v>299</v>
      </c>
      <c r="F109" s="154"/>
      <c r="G109" s="155" t="s">
        <v>90</v>
      </c>
      <c r="H109" s="141">
        <v>5</v>
      </c>
      <c r="I109" s="141">
        <v>10</v>
      </c>
      <c r="J109" s="142">
        <v>7840.1</v>
      </c>
      <c r="K109" s="142">
        <v>7215.1</v>
      </c>
      <c r="L109" s="142">
        <v>7215.1</v>
      </c>
      <c r="M109" s="141">
        <v>72</v>
      </c>
      <c r="N109" s="143">
        <f>'Приложение 2'!E112</f>
        <v>5868278.0899999999</v>
      </c>
      <c r="O109" s="797">
        <v>0</v>
      </c>
      <c r="P109" s="797">
        <v>0</v>
      </c>
      <c r="Q109" s="797">
        <v>0</v>
      </c>
      <c r="R109" s="797">
        <f t="shared" si="5"/>
        <v>5868278.0899999999</v>
      </c>
      <c r="S109" s="797">
        <f>N109/K109</f>
        <v>813.33288381311411</v>
      </c>
      <c r="T109" s="797">
        <v>4180</v>
      </c>
      <c r="U109" s="132" t="s">
        <v>228</v>
      </c>
      <c r="V109" s="144">
        <f t="shared" si="7"/>
        <v>3366.6671161868858</v>
      </c>
      <c r="W109" s="145"/>
    </row>
    <row r="110" spans="1:23" ht="9.75" customHeight="1">
      <c r="A110" s="803">
        <v>95</v>
      </c>
      <c r="B110" s="150" t="s">
        <v>7</v>
      </c>
      <c r="C110" s="147" t="s">
        <v>1005</v>
      </c>
      <c r="D110" s="147"/>
      <c r="E110" s="153" t="s">
        <v>299</v>
      </c>
      <c r="F110" s="154"/>
      <c r="G110" s="155" t="s">
        <v>90</v>
      </c>
      <c r="H110" s="141">
        <v>5</v>
      </c>
      <c r="I110" s="141">
        <v>6</v>
      </c>
      <c r="J110" s="142">
        <v>4659.8</v>
      </c>
      <c r="K110" s="142">
        <v>4284.8</v>
      </c>
      <c r="L110" s="142">
        <v>4284.8</v>
      </c>
      <c r="M110" s="141">
        <v>92</v>
      </c>
      <c r="N110" s="143">
        <f>'Приложение 2'!E113</f>
        <v>3342271.24</v>
      </c>
      <c r="O110" s="797">
        <v>0</v>
      </c>
      <c r="P110" s="797">
        <v>0</v>
      </c>
      <c r="Q110" s="797">
        <v>0</v>
      </c>
      <c r="R110" s="797">
        <f t="shared" si="5"/>
        <v>3342271.24</v>
      </c>
      <c r="S110" s="797">
        <f>N110/K110</f>
        <v>780.02969566840932</v>
      </c>
      <c r="T110" s="797">
        <v>4180</v>
      </c>
      <c r="U110" s="132" t="s">
        <v>228</v>
      </c>
      <c r="V110" s="144">
        <f t="shared" si="7"/>
        <v>3399.9703043315908</v>
      </c>
      <c r="W110" s="145"/>
    </row>
    <row r="111" spans="1:23" ht="9.75" customHeight="1">
      <c r="A111" s="803">
        <v>96</v>
      </c>
      <c r="B111" s="150" t="s">
        <v>415</v>
      </c>
      <c r="C111" s="147" t="s">
        <v>1006</v>
      </c>
      <c r="D111" s="147"/>
      <c r="E111" s="153" t="s">
        <v>89</v>
      </c>
      <c r="F111" s="154"/>
      <c r="G111" s="155" t="s">
        <v>88</v>
      </c>
      <c r="H111" s="141">
        <v>3</v>
      </c>
      <c r="I111" s="141">
        <v>2</v>
      </c>
      <c r="J111" s="142">
        <v>1175</v>
      </c>
      <c r="K111" s="142">
        <v>1075</v>
      </c>
      <c r="L111" s="142">
        <v>1075</v>
      </c>
      <c r="M111" s="141">
        <v>13</v>
      </c>
      <c r="N111" s="143">
        <f>'Приложение 2'!E114</f>
        <v>2680912.9900000002</v>
      </c>
      <c r="O111" s="797">
        <v>0</v>
      </c>
      <c r="P111" s="797">
        <v>0</v>
      </c>
      <c r="Q111" s="797">
        <v>0</v>
      </c>
      <c r="R111" s="797">
        <f t="shared" si="5"/>
        <v>2680912.9900000002</v>
      </c>
      <c r="S111" s="797">
        <f>N111/K111</f>
        <v>2493.8725488372097</v>
      </c>
      <c r="T111" s="797">
        <v>4503.95</v>
      </c>
      <c r="U111" s="132" t="s">
        <v>228</v>
      </c>
      <c r="V111" s="144">
        <f t="shared" si="7"/>
        <v>2010.0774511627901</v>
      </c>
      <c r="W111" s="145"/>
    </row>
    <row r="112" spans="1:23" ht="9" customHeight="1">
      <c r="A112" s="803">
        <v>97</v>
      </c>
      <c r="B112" s="785" t="s">
        <v>193</v>
      </c>
      <c r="C112" s="805" t="s">
        <v>1006</v>
      </c>
      <c r="D112" s="805"/>
      <c r="E112" s="147">
        <v>1947</v>
      </c>
      <c r="F112" s="141"/>
      <c r="G112" s="148" t="s">
        <v>207</v>
      </c>
      <c r="H112" s="141">
        <v>2</v>
      </c>
      <c r="I112" s="141">
        <v>2</v>
      </c>
      <c r="J112" s="142">
        <v>536.70000000000005</v>
      </c>
      <c r="K112" s="142">
        <v>471.7</v>
      </c>
      <c r="L112" s="142">
        <v>471.7</v>
      </c>
      <c r="M112" s="141">
        <v>23</v>
      </c>
      <c r="N112" s="143">
        <f>'Приложение 2'!E115</f>
        <v>1234829.32</v>
      </c>
      <c r="O112" s="797">
        <v>0</v>
      </c>
      <c r="P112" s="797">
        <v>0</v>
      </c>
      <c r="Q112" s="797">
        <v>0</v>
      </c>
      <c r="R112" s="797">
        <f t="shared" si="5"/>
        <v>1234829.32</v>
      </c>
      <c r="S112" s="797">
        <f t="shared" si="6"/>
        <v>2617.8276870892519</v>
      </c>
      <c r="T112" s="797">
        <v>4503.95</v>
      </c>
      <c r="U112" s="132" t="s">
        <v>228</v>
      </c>
      <c r="V112" s="144">
        <f t="shared" si="7"/>
        <v>1886.122312910748</v>
      </c>
      <c r="W112" s="145"/>
    </row>
    <row r="113" spans="1:23" ht="9" customHeight="1">
      <c r="A113" s="803">
        <v>98</v>
      </c>
      <c r="B113" s="785" t="s">
        <v>194</v>
      </c>
      <c r="C113" s="805" t="s">
        <v>1006</v>
      </c>
      <c r="D113" s="805"/>
      <c r="E113" s="147">
        <v>1934</v>
      </c>
      <c r="F113" s="141"/>
      <c r="G113" s="148" t="s">
        <v>208</v>
      </c>
      <c r="H113" s="141">
        <v>3</v>
      </c>
      <c r="I113" s="141">
        <v>4</v>
      </c>
      <c r="J113" s="142">
        <v>1445.6</v>
      </c>
      <c r="K113" s="142">
        <v>1260.5999999999999</v>
      </c>
      <c r="L113" s="142">
        <v>1248.72</v>
      </c>
      <c r="M113" s="141">
        <v>73</v>
      </c>
      <c r="N113" s="143">
        <f>'Приложение 2'!E116</f>
        <v>3050969.89</v>
      </c>
      <c r="O113" s="797">
        <v>0</v>
      </c>
      <c r="P113" s="797">
        <v>0</v>
      </c>
      <c r="Q113" s="797">
        <v>0</v>
      </c>
      <c r="R113" s="797">
        <f t="shared" si="5"/>
        <v>3050969.89</v>
      </c>
      <c r="S113" s="797">
        <f t="shared" ref="S113:S130" si="8">N113/K113</f>
        <v>2420.2521735681426</v>
      </c>
      <c r="T113" s="797">
        <v>4503.95</v>
      </c>
      <c r="U113" s="132" t="s">
        <v>228</v>
      </c>
      <c r="V113" s="144">
        <f t="shared" si="7"/>
        <v>2083.6978264318573</v>
      </c>
      <c r="W113" s="145"/>
    </row>
    <row r="114" spans="1:23" ht="9" customHeight="1">
      <c r="A114" s="803">
        <v>99</v>
      </c>
      <c r="B114" s="156" t="s">
        <v>195</v>
      </c>
      <c r="C114" s="784" t="s">
        <v>1006</v>
      </c>
      <c r="D114" s="784"/>
      <c r="E114" s="147">
        <v>1971</v>
      </c>
      <c r="F114" s="141"/>
      <c r="G114" s="148" t="s">
        <v>88</v>
      </c>
      <c r="H114" s="141">
        <v>5</v>
      </c>
      <c r="I114" s="141">
        <v>2</v>
      </c>
      <c r="J114" s="142">
        <v>2158.29</v>
      </c>
      <c r="K114" s="142">
        <v>1998.9</v>
      </c>
      <c r="L114" s="142">
        <v>1181</v>
      </c>
      <c r="M114" s="141">
        <v>53</v>
      </c>
      <c r="N114" s="143">
        <f>'Приложение 2'!E117</f>
        <v>2009946.46</v>
      </c>
      <c r="O114" s="797">
        <v>0</v>
      </c>
      <c r="P114" s="797">
        <v>0</v>
      </c>
      <c r="Q114" s="797">
        <v>0</v>
      </c>
      <c r="R114" s="797">
        <f t="shared" si="5"/>
        <v>2009946.46</v>
      </c>
      <c r="S114" s="797">
        <f t="shared" si="8"/>
        <v>1005.5262694481964</v>
      </c>
      <c r="T114" s="797">
        <v>4503.95</v>
      </c>
      <c r="U114" s="132" t="s">
        <v>228</v>
      </c>
      <c r="V114" s="144">
        <f t="shared" si="7"/>
        <v>3498.4237305518036</v>
      </c>
      <c r="W114" s="145"/>
    </row>
    <row r="115" spans="1:23" ht="9" customHeight="1">
      <c r="A115" s="803">
        <v>100</v>
      </c>
      <c r="B115" s="156" t="s">
        <v>196</v>
      </c>
      <c r="C115" s="784" t="s">
        <v>1005</v>
      </c>
      <c r="D115" s="784"/>
      <c r="E115" s="151">
        <v>1975</v>
      </c>
      <c r="F115" s="141"/>
      <c r="G115" s="152" t="s">
        <v>88</v>
      </c>
      <c r="H115" s="141">
        <v>5</v>
      </c>
      <c r="I115" s="141">
        <v>4</v>
      </c>
      <c r="J115" s="142">
        <v>3490.4</v>
      </c>
      <c r="K115" s="142">
        <v>3146.1</v>
      </c>
      <c r="L115" s="142">
        <v>3146.1</v>
      </c>
      <c r="M115" s="141">
        <v>137</v>
      </c>
      <c r="N115" s="143">
        <f>'Приложение 2'!E118</f>
        <v>2308002.58</v>
      </c>
      <c r="O115" s="797">
        <v>0</v>
      </c>
      <c r="P115" s="797">
        <v>0</v>
      </c>
      <c r="Q115" s="797">
        <v>0</v>
      </c>
      <c r="R115" s="797">
        <f t="shared" si="5"/>
        <v>2308002.58</v>
      </c>
      <c r="S115" s="797">
        <f t="shared" si="8"/>
        <v>733.60750770795596</v>
      </c>
      <c r="T115" s="797">
        <v>4180</v>
      </c>
      <c r="U115" s="132" t="s">
        <v>228</v>
      </c>
      <c r="V115" s="144">
        <f t="shared" si="7"/>
        <v>3446.3924922920442</v>
      </c>
      <c r="W115" s="145"/>
    </row>
    <row r="116" spans="1:23" ht="9" customHeight="1">
      <c r="A116" s="803">
        <v>101</v>
      </c>
      <c r="B116" s="156" t="s">
        <v>197</v>
      </c>
      <c r="C116" s="784" t="s">
        <v>1005</v>
      </c>
      <c r="D116" s="784"/>
      <c r="E116" s="151">
        <v>1970</v>
      </c>
      <c r="F116" s="141"/>
      <c r="G116" s="152" t="s">
        <v>88</v>
      </c>
      <c r="H116" s="141">
        <v>5</v>
      </c>
      <c r="I116" s="141">
        <v>2</v>
      </c>
      <c r="J116" s="142">
        <v>1763.7</v>
      </c>
      <c r="K116" s="142">
        <v>1640.7</v>
      </c>
      <c r="L116" s="142">
        <v>1640.7</v>
      </c>
      <c r="M116" s="141">
        <v>80</v>
      </c>
      <c r="N116" s="143">
        <f>'Приложение 2'!E119</f>
        <v>1286141.6400000001</v>
      </c>
      <c r="O116" s="797">
        <v>0</v>
      </c>
      <c r="P116" s="797">
        <v>0</v>
      </c>
      <c r="Q116" s="797">
        <v>0</v>
      </c>
      <c r="R116" s="797">
        <f t="shared" si="5"/>
        <v>1286141.6400000001</v>
      </c>
      <c r="S116" s="797">
        <f t="shared" si="8"/>
        <v>783.89811665752427</v>
      </c>
      <c r="T116" s="797">
        <v>4180</v>
      </c>
      <c r="U116" s="132" t="s">
        <v>228</v>
      </c>
      <c r="V116" s="144">
        <f t="shared" si="7"/>
        <v>3396.101883342476</v>
      </c>
      <c r="W116" s="145"/>
    </row>
    <row r="117" spans="1:23" ht="9" customHeight="1">
      <c r="A117" s="803">
        <v>102</v>
      </c>
      <c r="B117" s="156" t="s">
        <v>198</v>
      </c>
      <c r="C117" s="784" t="s">
        <v>1006</v>
      </c>
      <c r="D117" s="784"/>
      <c r="E117" s="147">
        <v>1958</v>
      </c>
      <c r="F117" s="141"/>
      <c r="G117" s="148" t="s">
        <v>88</v>
      </c>
      <c r="H117" s="141">
        <v>2</v>
      </c>
      <c r="I117" s="141">
        <v>1</v>
      </c>
      <c r="J117" s="142">
        <v>338.4</v>
      </c>
      <c r="K117" s="142">
        <v>269.2</v>
      </c>
      <c r="L117" s="142">
        <v>229.8</v>
      </c>
      <c r="M117" s="141">
        <v>13</v>
      </c>
      <c r="N117" s="143">
        <f>'Приложение 2'!E120</f>
        <v>615919.81999999995</v>
      </c>
      <c r="O117" s="797">
        <v>0</v>
      </c>
      <c r="P117" s="797">
        <v>0</v>
      </c>
      <c r="Q117" s="797">
        <v>0</v>
      </c>
      <c r="R117" s="797">
        <f t="shared" si="5"/>
        <v>615919.81999999995</v>
      </c>
      <c r="S117" s="797">
        <f t="shared" si="8"/>
        <v>2287.9636701337295</v>
      </c>
      <c r="T117" s="797">
        <v>4503.95</v>
      </c>
      <c r="U117" s="132" t="s">
        <v>228</v>
      </c>
      <c r="V117" s="144">
        <f t="shared" si="7"/>
        <v>2215.9863298662704</v>
      </c>
      <c r="W117" s="145"/>
    </row>
    <row r="118" spans="1:23" ht="9" customHeight="1">
      <c r="A118" s="803">
        <v>103</v>
      </c>
      <c r="B118" s="156" t="s">
        <v>199</v>
      </c>
      <c r="C118" s="784" t="s">
        <v>1006</v>
      </c>
      <c r="D118" s="784"/>
      <c r="E118" s="147">
        <v>1954</v>
      </c>
      <c r="F118" s="141"/>
      <c r="G118" s="148" t="s">
        <v>88</v>
      </c>
      <c r="H118" s="141">
        <v>2</v>
      </c>
      <c r="I118" s="141">
        <v>1</v>
      </c>
      <c r="J118" s="142">
        <v>294.39999999999998</v>
      </c>
      <c r="K118" s="142">
        <v>271.3</v>
      </c>
      <c r="L118" s="142">
        <v>271.3</v>
      </c>
      <c r="M118" s="141">
        <v>18</v>
      </c>
      <c r="N118" s="143">
        <f>'Приложение 2'!E121</f>
        <v>618007.39</v>
      </c>
      <c r="O118" s="797">
        <v>0</v>
      </c>
      <c r="P118" s="797">
        <v>0</v>
      </c>
      <c r="Q118" s="797">
        <v>0</v>
      </c>
      <c r="R118" s="797">
        <f t="shared" si="5"/>
        <v>618007.39</v>
      </c>
      <c r="S118" s="797">
        <f t="shared" si="8"/>
        <v>2277.9483597493549</v>
      </c>
      <c r="T118" s="797">
        <v>4503.95</v>
      </c>
      <c r="U118" s="132" t="s">
        <v>228</v>
      </c>
      <c r="V118" s="144">
        <f t="shared" si="7"/>
        <v>2226.0016402506449</v>
      </c>
      <c r="W118" s="145"/>
    </row>
    <row r="119" spans="1:23" ht="9" customHeight="1">
      <c r="A119" s="803">
        <v>104</v>
      </c>
      <c r="B119" s="156" t="s">
        <v>200</v>
      </c>
      <c r="C119" s="784" t="s">
        <v>1005</v>
      </c>
      <c r="D119" s="784"/>
      <c r="E119" s="151">
        <v>1973</v>
      </c>
      <c r="F119" s="141"/>
      <c r="G119" s="152" t="s">
        <v>88</v>
      </c>
      <c r="H119" s="141">
        <v>5</v>
      </c>
      <c r="I119" s="141">
        <v>4</v>
      </c>
      <c r="J119" s="142">
        <v>4031.7</v>
      </c>
      <c r="K119" s="142">
        <v>3687.7</v>
      </c>
      <c r="L119" s="142">
        <v>2588.6999999999998</v>
      </c>
      <c r="M119" s="141">
        <v>123</v>
      </c>
      <c r="N119" s="143">
        <f>'Приложение 2'!E122</f>
        <v>2690517</v>
      </c>
      <c r="O119" s="797">
        <v>0</v>
      </c>
      <c r="P119" s="797">
        <v>0</v>
      </c>
      <c r="Q119" s="797">
        <v>0</v>
      </c>
      <c r="R119" s="797">
        <f t="shared" si="5"/>
        <v>2690517</v>
      </c>
      <c r="S119" s="797">
        <f t="shared" si="8"/>
        <v>729.59215771347999</v>
      </c>
      <c r="T119" s="797">
        <v>4180</v>
      </c>
      <c r="U119" s="132" t="s">
        <v>228</v>
      </c>
      <c r="V119" s="144">
        <f t="shared" si="7"/>
        <v>3450.40784228652</v>
      </c>
      <c r="W119" s="145"/>
    </row>
    <row r="120" spans="1:23" ht="9" customHeight="1">
      <c r="A120" s="803">
        <v>105</v>
      </c>
      <c r="B120" s="156" t="s">
        <v>201</v>
      </c>
      <c r="C120" s="784" t="s">
        <v>1006</v>
      </c>
      <c r="D120" s="784"/>
      <c r="E120" s="147">
        <v>1900</v>
      </c>
      <c r="F120" s="141"/>
      <c r="G120" s="148" t="s">
        <v>88</v>
      </c>
      <c r="H120" s="141">
        <v>2</v>
      </c>
      <c r="I120" s="141">
        <v>1</v>
      </c>
      <c r="J120" s="142">
        <v>421.5</v>
      </c>
      <c r="K120" s="142">
        <v>373.7</v>
      </c>
      <c r="L120" s="142">
        <v>311.5</v>
      </c>
      <c r="M120" s="141">
        <v>16</v>
      </c>
      <c r="N120" s="143">
        <f>'Приложение 2'!E123</f>
        <v>1163314.4099999999</v>
      </c>
      <c r="O120" s="797">
        <v>0</v>
      </c>
      <c r="P120" s="797">
        <v>0</v>
      </c>
      <c r="Q120" s="797">
        <v>0</v>
      </c>
      <c r="R120" s="797">
        <f t="shared" si="5"/>
        <v>1163314.4099999999</v>
      </c>
      <c r="S120" s="797">
        <f t="shared" si="8"/>
        <v>3112.9633663366335</v>
      </c>
      <c r="T120" s="797">
        <v>4503.95</v>
      </c>
      <c r="U120" s="132" t="s">
        <v>228</v>
      </c>
      <c r="V120" s="144">
        <f t="shared" si="7"/>
        <v>1390.9866336633663</v>
      </c>
      <c r="W120" s="145"/>
    </row>
    <row r="121" spans="1:23" ht="9" customHeight="1">
      <c r="A121" s="803">
        <v>106</v>
      </c>
      <c r="B121" s="156" t="s">
        <v>202</v>
      </c>
      <c r="C121" s="784" t="s">
        <v>1006</v>
      </c>
      <c r="D121" s="784"/>
      <c r="E121" s="147">
        <v>1949</v>
      </c>
      <c r="F121" s="141"/>
      <c r="G121" s="148" t="s">
        <v>88</v>
      </c>
      <c r="H121" s="141">
        <v>3</v>
      </c>
      <c r="I121" s="141">
        <v>2</v>
      </c>
      <c r="J121" s="142">
        <v>1067.8</v>
      </c>
      <c r="K121" s="142">
        <v>991</v>
      </c>
      <c r="L121" s="142">
        <v>991</v>
      </c>
      <c r="M121" s="141">
        <v>48</v>
      </c>
      <c r="N121" s="143">
        <f>'Приложение 2'!E124</f>
        <v>2391339.38</v>
      </c>
      <c r="O121" s="797">
        <v>0</v>
      </c>
      <c r="P121" s="797">
        <v>0</v>
      </c>
      <c r="Q121" s="797">
        <v>0</v>
      </c>
      <c r="R121" s="797">
        <f t="shared" si="5"/>
        <v>2391339.38</v>
      </c>
      <c r="S121" s="797">
        <f t="shared" si="8"/>
        <v>2413.056892028254</v>
      </c>
      <c r="T121" s="797">
        <v>4503.95</v>
      </c>
      <c r="U121" s="132" t="s">
        <v>228</v>
      </c>
      <c r="V121" s="144">
        <f t="shared" si="7"/>
        <v>2090.8931079717458</v>
      </c>
      <c r="W121" s="145"/>
    </row>
    <row r="122" spans="1:23" ht="10.5" customHeight="1">
      <c r="A122" s="803">
        <v>107</v>
      </c>
      <c r="B122" s="156" t="s">
        <v>205</v>
      </c>
      <c r="C122" s="785" t="s">
        <v>1005</v>
      </c>
      <c r="D122" s="785"/>
      <c r="E122" s="151">
        <v>1966</v>
      </c>
      <c r="F122" s="141"/>
      <c r="G122" s="152" t="s">
        <v>88</v>
      </c>
      <c r="H122" s="141">
        <v>6</v>
      </c>
      <c r="I122" s="141">
        <v>6</v>
      </c>
      <c r="J122" s="142">
        <v>5866</v>
      </c>
      <c r="K122" s="142">
        <v>5257</v>
      </c>
      <c r="L122" s="142">
        <v>5257</v>
      </c>
      <c r="M122" s="141">
        <v>241</v>
      </c>
      <c r="N122" s="143">
        <f>'Приложение 2'!E125</f>
        <v>4194560.96</v>
      </c>
      <c r="O122" s="797">
        <v>0</v>
      </c>
      <c r="P122" s="797">
        <v>0</v>
      </c>
      <c r="Q122" s="797">
        <v>0</v>
      </c>
      <c r="R122" s="797">
        <f t="shared" si="5"/>
        <v>4194560.96</v>
      </c>
      <c r="S122" s="797">
        <f t="shared" si="8"/>
        <v>797.90012554688985</v>
      </c>
      <c r="T122" s="797">
        <v>4180</v>
      </c>
      <c r="U122" s="132" t="s">
        <v>228</v>
      </c>
      <c r="V122" s="144">
        <f t="shared" si="7"/>
        <v>3382.0998744531103</v>
      </c>
      <c r="W122" s="145"/>
    </row>
    <row r="123" spans="1:23" ht="10.5" customHeight="1">
      <c r="A123" s="803">
        <v>108</v>
      </c>
      <c r="B123" s="156" t="s">
        <v>1104</v>
      </c>
      <c r="C123" s="785"/>
      <c r="D123" s="785"/>
      <c r="E123" s="1019">
        <v>1983</v>
      </c>
      <c r="F123" s="141"/>
      <c r="G123" s="1019" t="s">
        <v>90</v>
      </c>
      <c r="H123" s="141">
        <v>5</v>
      </c>
      <c r="I123" s="141">
        <v>6</v>
      </c>
      <c r="J123" s="142">
        <v>4713.8</v>
      </c>
      <c r="K123" s="142">
        <v>4341.8</v>
      </c>
      <c r="L123" s="142">
        <v>4341.8</v>
      </c>
      <c r="M123" s="141">
        <v>199</v>
      </c>
      <c r="N123" s="143">
        <f>'Приложение 2'!E126</f>
        <v>390000</v>
      </c>
      <c r="O123" s="797">
        <v>0</v>
      </c>
      <c r="P123" s="797">
        <v>0</v>
      </c>
      <c r="Q123" s="797">
        <v>0</v>
      </c>
      <c r="R123" s="797">
        <f t="shared" ref="R123:R128" si="9">N123</f>
        <v>390000</v>
      </c>
      <c r="S123" s="797">
        <f t="shared" si="8"/>
        <v>89.824496752498959</v>
      </c>
      <c r="T123" s="797">
        <v>2194.5</v>
      </c>
      <c r="U123" s="132" t="s">
        <v>228</v>
      </c>
      <c r="V123" s="144">
        <f t="shared" si="7"/>
        <v>2104.6755032475012</v>
      </c>
      <c r="W123" s="145" t="s">
        <v>1107</v>
      </c>
    </row>
    <row r="124" spans="1:23" ht="10.5" customHeight="1">
      <c r="A124" s="803">
        <v>109</v>
      </c>
      <c r="B124" s="156" t="s">
        <v>1105</v>
      </c>
      <c r="C124" s="785"/>
      <c r="D124" s="785"/>
      <c r="E124" s="1019">
        <v>1984</v>
      </c>
      <c r="F124" s="141"/>
      <c r="G124" s="1019" t="s">
        <v>90</v>
      </c>
      <c r="H124" s="141">
        <v>5</v>
      </c>
      <c r="I124" s="141">
        <v>8</v>
      </c>
      <c r="J124" s="142">
        <v>6493</v>
      </c>
      <c r="K124" s="142">
        <v>5832.6</v>
      </c>
      <c r="L124" s="142">
        <v>5832.6</v>
      </c>
      <c r="M124" s="141">
        <v>276</v>
      </c>
      <c r="N124" s="143">
        <f>'Приложение 2'!E127</f>
        <v>961041.56</v>
      </c>
      <c r="O124" s="797">
        <v>0</v>
      </c>
      <c r="P124" s="797">
        <v>0</v>
      </c>
      <c r="Q124" s="797">
        <v>0</v>
      </c>
      <c r="R124" s="797">
        <f t="shared" si="9"/>
        <v>961041.56</v>
      </c>
      <c r="S124" s="797">
        <f t="shared" si="8"/>
        <v>164.77069574460791</v>
      </c>
      <c r="T124" s="797">
        <v>4984.6499999999996</v>
      </c>
      <c r="U124" s="132" t="s">
        <v>228</v>
      </c>
      <c r="V124" s="144">
        <f t="shared" si="7"/>
        <v>4819.8793042553916</v>
      </c>
      <c r="W124" s="145" t="s">
        <v>1107</v>
      </c>
    </row>
    <row r="125" spans="1:23" ht="10.5" customHeight="1">
      <c r="A125" s="803">
        <v>110</v>
      </c>
      <c r="B125" s="156" t="s">
        <v>1117</v>
      </c>
      <c r="C125" s="785"/>
      <c r="D125" s="785"/>
      <c r="E125" s="1019">
        <v>1981</v>
      </c>
      <c r="F125" s="141"/>
      <c r="G125" s="1019" t="s">
        <v>90</v>
      </c>
      <c r="H125" s="141">
        <v>5</v>
      </c>
      <c r="I125" s="141">
        <v>4</v>
      </c>
      <c r="J125" s="142">
        <v>3698.51</v>
      </c>
      <c r="K125" s="142">
        <f>L125+I125</f>
        <v>3319.11</v>
      </c>
      <c r="L125" s="142">
        <v>3315.11</v>
      </c>
      <c r="M125" s="141">
        <v>151</v>
      </c>
      <c r="N125" s="143">
        <f>'Приложение 2'!E128</f>
        <v>379884</v>
      </c>
      <c r="O125" s="797">
        <v>0</v>
      </c>
      <c r="P125" s="797">
        <v>0</v>
      </c>
      <c r="Q125" s="797">
        <v>0</v>
      </c>
      <c r="R125" s="797">
        <f t="shared" si="9"/>
        <v>379884</v>
      </c>
      <c r="S125" s="797">
        <f t="shared" si="8"/>
        <v>114.45357339768793</v>
      </c>
      <c r="T125" s="797">
        <v>4984.6499999999996</v>
      </c>
      <c r="U125" s="132" t="s">
        <v>228</v>
      </c>
      <c r="V125" s="144">
        <f t="shared" si="7"/>
        <v>4870.1964266023115</v>
      </c>
      <c r="W125" s="145" t="s">
        <v>1107</v>
      </c>
    </row>
    <row r="126" spans="1:23" ht="10.5" customHeight="1">
      <c r="A126" s="803">
        <v>111</v>
      </c>
      <c r="B126" s="156" t="s">
        <v>1118</v>
      </c>
      <c r="C126" s="785"/>
      <c r="D126" s="785"/>
      <c r="E126" s="1019">
        <v>1997</v>
      </c>
      <c r="F126" s="141"/>
      <c r="G126" s="1019" t="s">
        <v>88</v>
      </c>
      <c r="H126" s="141">
        <v>9</v>
      </c>
      <c r="I126" s="141">
        <v>2</v>
      </c>
      <c r="J126" s="142">
        <v>4034.1</v>
      </c>
      <c r="K126" s="142">
        <v>3394.1</v>
      </c>
      <c r="L126" s="142">
        <v>3394.1</v>
      </c>
      <c r="M126" s="141">
        <v>158</v>
      </c>
      <c r="N126" s="143">
        <f>'Приложение 2'!E129</f>
        <v>570000</v>
      </c>
      <c r="O126" s="797">
        <v>0</v>
      </c>
      <c r="P126" s="797">
        <v>0</v>
      </c>
      <c r="Q126" s="797">
        <v>0</v>
      </c>
      <c r="R126" s="797">
        <f t="shared" si="9"/>
        <v>570000</v>
      </c>
      <c r="S126" s="797">
        <f t="shared" si="8"/>
        <v>167.93848148257271</v>
      </c>
      <c r="T126" s="797">
        <v>3929.2</v>
      </c>
      <c r="U126" s="132" t="s">
        <v>228</v>
      </c>
      <c r="V126" s="144">
        <f t="shared" si="7"/>
        <v>3761.2615185174272</v>
      </c>
      <c r="W126" s="145" t="s">
        <v>1107</v>
      </c>
    </row>
    <row r="127" spans="1:23" ht="10.5" customHeight="1">
      <c r="A127" s="803">
        <v>112</v>
      </c>
      <c r="B127" s="156" t="s">
        <v>1119</v>
      </c>
      <c r="C127" s="785"/>
      <c r="D127" s="785"/>
      <c r="E127" s="1019">
        <v>1982</v>
      </c>
      <c r="F127" s="141"/>
      <c r="G127" s="1019" t="s">
        <v>90</v>
      </c>
      <c r="H127" s="141">
        <v>5</v>
      </c>
      <c r="I127" s="141">
        <v>8</v>
      </c>
      <c r="J127" s="142">
        <v>6305.5</v>
      </c>
      <c r="K127" s="142">
        <v>5793.5</v>
      </c>
      <c r="L127" s="142">
        <v>5793.5</v>
      </c>
      <c r="M127" s="141">
        <v>278</v>
      </c>
      <c r="N127" s="143">
        <f>'Приложение 2'!E130</f>
        <v>979618</v>
      </c>
      <c r="O127" s="797">
        <v>0</v>
      </c>
      <c r="P127" s="797">
        <v>0</v>
      </c>
      <c r="Q127" s="797">
        <v>0</v>
      </c>
      <c r="R127" s="797">
        <f t="shared" si="9"/>
        <v>979618</v>
      </c>
      <c r="S127" s="797">
        <f t="shared" si="8"/>
        <v>169.08915163545353</v>
      </c>
      <c r="T127" s="797">
        <v>4984.6499999999996</v>
      </c>
      <c r="U127" s="132" t="s">
        <v>228</v>
      </c>
      <c r="V127" s="144">
        <f t="shared" si="7"/>
        <v>4815.5608483645465</v>
      </c>
      <c r="W127" s="145" t="s">
        <v>1107</v>
      </c>
    </row>
    <row r="128" spans="1:23" ht="10.5" customHeight="1">
      <c r="A128" s="803">
        <v>113</v>
      </c>
      <c r="B128" s="156" t="s">
        <v>1120</v>
      </c>
      <c r="C128" s="785"/>
      <c r="D128" s="785"/>
      <c r="E128" s="1019">
        <v>1986</v>
      </c>
      <c r="F128" s="141"/>
      <c r="G128" s="1019" t="s">
        <v>90</v>
      </c>
      <c r="H128" s="141">
        <v>5</v>
      </c>
      <c r="I128" s="141">
        <v>9</v>
      </c>
      <c r="J128" s="142">
        <v>7688.2</v>
      </c>
      <c r="K128" s="142">
        <v>6798.2</v>
      </c>
      <c r="L128" s="142">
        <v>6798.2</v>
      </c>
      <c r="M128" s="141">
        <v>340</v>
      </c>
      <c r="N128" s="143">
        <f>'Приложение 2'!E131</f>
        <v>854447</v>
      </c>
      <c r="O128" s="797">
        <v>0</v>
      </c>
      <c r="P128" s="797">
        <v>0</v>
      </c>
      <c r="Q128" s="797">
        <v>0</v>
      </c>
      <c r="R128" s="797">
        <f t="shared" si="9"/>
        <v>854447</v>
      </c>
      <c r="S128" s="797">
        <f t="shared" si="8"/>
        <v>125.68724074019593</v>
      </c>
      <c r="T128" s="797">
        <v>7502.06</v>
      </c>
      <c r="U128" s="132" t="s">
        <v>228</v>
      </c>
      <c r="V128" s="144">
        <f t="shared" si="7"/>
        <v>7376.3727592598043</v>
      </c>
      <c r="W128" s="145" t="s">
        <v>1107</v>
      </c>
    </row>
    <row r="129" spans="1:23" ht="10.5" customHeight="1">
      <c r="A129" s="803">
        <v>114</v>
      </c>
      <c r="B129" s="156" t="s">
        <v>1164</v>
      </c>
      <c r="C129" s="785"/>
      <c r="D129" s="785"/>
      <c r="E129" s="1019">
        <v>1996</v>
      </c>
      <c r="F129" s="141"/>
      <c r="G129" s="1019" t="s">
        <v>90</v>
      </c>
      <c r="H129" s="141">
        <v>1</v>
      </c>
      <c r="I129" s="141">
        <v>17</v>
      </c>
      <c r="J129" s="142">
        <v>6002.6</v>
      </c>
      <c r="K129" s="142">
        <v>4802.6000000000004</v>
      </c>
      <c r="L129" s="142">
        <v>4531.1000000000004</v>
      </c>
      <c r="M129" s="141">
        <v>175</v>
      </c>
      <c r="N129" s="797">
        <f>'Приложение 2'!E132</f>
        <v>357000</v>
      </c>
      <c r="O129" s="797">
        <v>0</v>
      </c>
      <c r="P129" s="797">
        <v>0</v>
      </c>
      <c r="Q129" s="797">
        <v>0</v>
      </c>
      <c r="R129" s="797">
        <f t="shared" ref="R129:R130" si="10">N129</f>
        <v>357000</v>
      </c>
      <c r="S129" s="797">
        <f t="shared" si="8"/>
        <v>74.3347353516845</v>
      </c>
      <c r="T129" s="797">
        <v>2194.5</v>
      </c>
      <c r="U129" s="132" t="s">
        <v>228</v>
      </c>
      <c r="V129" s="144">
        <f t="shared" si="7"/>
        <v>2120.1652646483153</v>
      </c>
      <c r="W129" s="145" t="s">
        <v>1107</v>
      </c>
    </row>
    <row r="130" spans="1:23" ht="10.5" customHeight="1">
      <c r="A130" s="803">
        <v>115</v>
      </c>
      <c r="B130" s="785" t="s">
        <v>1190</v>
      </c>
      <c r="C130" s="796"/>
      <c r="D130" s="796"/>
      <c r="E130" s="1020">
        <v>1977</v>
      </c>
      <c r="F130" s="527"/>
      <c r="G130" s="1019" t="s">
        <v>90</v>
      </c>
      <c r="H130" s="141">
        <v>5</v>
      </c>
      <c r="I130" s="141">
        <v>4</v>
      </c>
      <c r="J130" s="142">
        <v>3558.4</v>
      </c>
      <c r="K130" s="142">
        <v>3283.4</v>
      </c>
      <c r="L130" s="142">
        <v>3193.7</v>
      </c>
      <c r="M130" s="141">
        <v>147</v>
      </c>
      <c r="N130" s="797">
        <f>'Приложение 2'!E133</f>
        <v>278275.90000000002</v>
      </c>
      <c r="O130" s="797">
        <v>0</v>
      </c>
      <c r="P130" s="797">
        <v>0</v>
      </c>
      <c r="Q130" s="797">
        <v>0</v>
      </c>
      <c r="R130" s="797">
        <f t="shared" si="10"/>
        <v>278275.90000000002</v>
      </c>
      <c r="S130" s="162">
        <f t="shared" si="8"/>
        <v>84.752360358165319</v>
      </c>
      <c r="T130" s="797">
        <v>4984.6499999999996</v>
      </c>
      <c r="U130" s="132" t="s">
        <v>228</v>
      </c>
      <c r="V130" s="144"/>
      <c r="W130" s="145" t="s">
        <v>1107</v>
      </c>
    </row>
    <row r="131" spans="1:23" ht="22.5" customHeight="1">
      <c r="A131" s="840" t="s">
        <v>109</v>
      </c>
      <c r="B131" s="841"/>
      <c r="C131" s="796"/>
      <c r="D131" s="796"/>
      <c r="E131" s="801" t="s">
        <v>391</v>
      </c>
      <c r="F131" s="801" t="s">
        <v>391</v>
      </c>
      <c r="G131" s="801" t="s">
        <v>391</v>
      </c>
      <c r="H131" s="801" t="s">
        <v>391</v>
      </c>
      <c r="I131" s="801" t="s">
        <v>391</v>
      </c>
      <c r="J131" s="252">
        <f>SUM(J16:J130)</f>
        <v>402560.65</v>
      </c>
      <c r="K131" s="252">
        <f t="shared" ref="K131:R131" si="11">SUM(K16:K130)</f>
        <v>358631.06000000006</v>
      </c>
      <c r="L131" s="252">
        <f t="shared" si="11"/>
        <v>338375.25999999989</v>
      </c>
      <c r="M131" s="516">
        <f t="shared" si="11"/>
        <v>15036</v>
      </c>
      <c r="N131" s="252">
        <f>SUM(N16:N130)</f>
        <v>322467366.57999992</v>
      </c>
      <c r="O131" s="252">
        <f t="shared" si="11"/>
        <v>0</v>
      </c>
      <c r="P131" s="252">
        <f t="shared" si="11"/>
        <v>0</v>
      </c>
      <c r="Q131" s="252">
        <f t="shared" si="11"/>
        <v>0</v>
      </c>
      <c r="R131" s="252">
        <f t="shared" si="11"/>
        <v>322467366.57999992</v>
      </c>
      <c r="S131" s="162">
        <f>N131/K131</f>
        <v>899.16184777748992</v>
      </c>
      <c r="T131" s="158"/>
      <c r="U131" s="177"/>
      <c r="V131" s="144">
        <f t="shared" si="7"/>
        <v>-899.16184777748992</v>
      </c>
      <c r="W131" s="145"/>
    </row>
    <row r="132" spans="1:23" s="159" customFormat="1" ht="9" customHeight="1">
      <c r="A132" s="837" t="s">
        <v>221</v>
      </c>
      <c r="B132" s="838"/>
      <c r="C132" s="838"/>
      <c r="D132" s="838"/>
      <c r="E132" s="838"/>
      <c r="F132" s="838"/>
      <c r="G132" s="838"/>
      <c r="H132" s="838"/>
      <c r="I132" s="838"/>
      <c r="J132" s="838"/>
      <c r="K132" s="838"/>
      <c r="L132" s="838"/>
      <c r="M132" s="838"/>
      <c r="N132" s="838"/>
      <c r="O132" s="838"/>
      <c r="P132" s="838"/>
      <c r="Q132" s="838"/>
      <c r="R132" s="838"/>
      <c r="S132" s="838"/>
      <c r="T132" s="838"/>
      <c r="U132" s="839"/>
      <c r="V132" s="144">
        <f t="shared" si="7"/>
        <v>0</v>
      </c>
      <c r="W132" s="145"/>
    </row>
    <row r="133" spans="1:23" s="159" customFormat="1" ht="9" customHeight="1">
      <c r="A133" s="803">
        <v>116</v>
      </c>
      <c r="B133" s="156" t="s">
        <v>223</v>
      </c>
      <c r="C133" s="784" t="s">
        <v>1008</v>
      </c>
      <c r="D133" s="784"/>
      <c r="E133" s="147">
        <v>1961</v>
      </c>
      <c r="F133" s="150"/>
      <c r="G133" s="141" t="s">
        <v>88</v>
      </c>
      <c r="H133" s="141">
        <v>3</v>
      </c>
      <c r="I133" s="141" t="s">
        <v>73</v>
      </c>
      <c r="J133" s="142">
        <v>1039.4000000000001</v>
      </c>
      <c r="K133" s="142">
        <v>965.6</v>
      </c>
      <c r="L133" s="142">
        <v>925.3</v>
      </c>
      <c r="M133" s="141">
        <v>35</v>
      </c>
      <c r="N133" s="160">
        <f>'Приложение 2'!E136</f>
        <v>2507870.84</v>
      </c>
      <c r="O133" s="797">
        <v>0</v>
      </c>
      <c r="P133" s="797">
        <v>0</v>
      </c>
      <c r="Q133" s="797">
        <v>0</v>
      </c>
      <c r="R133" s="797">
        <f t="shared" ref="R133:R140" si="12">N133</f>
        <v>2507870.84</v>
      </c>
      <c r="S133" s="797">
        <f t="shared" ref="S133:S142" si="13">N133/K133</f>
        <v>2597.2150372825186</v>
      </c>
      <c r="T133" s="797">
        <v>4984.6499999999996</v>
      </c>
      <c r="U133" s="132" t="s">
        <v>228</v>
      </c>
      <c r="V133" s="144">
        <f t="shared" si="7"/>
        <v>2387.4349627174811</v>
      </c>
      <c r="W133" s="145"/>
    </row>
    <row r="134" spans="1:23" s="159" customFormat="1" ht="9" customHeight="1">
      <c r="A134" s="803">
        <v>117</v>
      </c>
      <c r="B134" s="156" t="s">
        <v>1051</v>
      </c>
      <c r="C134" s="784" t="s">
        <v>1006</v>
      </c>
      <c r="D134" s="784"/>
      <c r="E134" s="147">
        <v>1966</v>
      </c>
      <c r="F134" s="150"/>
      <c r="G134" s="141" t="s">
        <v>88</v>
      </c>
      <c r="H134" s="141">
        <v>4</v>
      </c>
      <c r="I134" s="141">
        <v>4</v>
      </c>
      <c r="J134" s="142">
        <v>2760.6</v>
      </c>
      <c r="K134" s="142">
        <v>2564.1999999999998</v>
      </c>
      <c r="L134" s="142">
        <v>2300.5</v>
      </c>
      <c r="M134" s="141">
        <v>95</v>
      </c>
      <c r="N134" s="160">
        <f>'Приложение 2'!E137</f>
        <v>3992588.78</v>
      </c>
      <c r="O134" s="797">
        <v>0</v>
      </c>
      <c r="P134" s="797">
        <v>0</v>
      </c>
      <c r="Q134" s="797">
        <v>0</v>
      </c>
      <c r="R134" s="797">
        <f t="shared" si="12"/>
        <v>3992588.78</v>
      </c>
      <c r="S134" s="797">
        <f t="shared" si="13"/>
        <v>1557.0504562826613</v>
      </c>
      <c r="T134" s="797">
        <v>4503.95</v>
      </c>
      <c r="U134" s="132" t="s">
        <v>228</v>
      </c>
      <c r="V134" s="144">
        <f t="shared" si="7"/>
        <v>2946.8995437173385</v>
      </c>
      <c r="W134" s="145"/>
    </row>
    <row r="135" spans="1:23" s="159" customFormat="1" ht="9" customHeight="1">
      <c r="A135" s="803">
        <v>118</v>
      </c>
      <c r="B135" s="156" t="s">
        <v>367</v>
      </c>
      <c r="C135" s="784" t="s">
        <v>1006</v>
      </c>
      <c r="D135" s="784"/>
      <c r="E135" s="147">
        <v>1953</v>
      </c>
      <c r="F135" s="150"/>
      <c r="G135" s="141" t="s">
        <v>88</v>
      </c>
      <c r="H135" s="141">
        <v>4</v>
      </c>
      <c r="I135" s="141">
        <v>4</v>
      </c>
      <c r="J135" s="142">
        <v>3958.4</v>
      </c>
      <c r="K135" s="142">
        <v>3577.8</v>
      </c>
      <c r="L135" s="142">
        <v>2792.5</v>
      </c>
      <c r="M135" s="141">
        <v>113</v>
      </c>
      <c r="N135" s="160">
        <f>'Приложение 2'!E138</f>
        <v>4495198.79</v>
      </c>
      <c r="O135" s="797">
        <v>0</v>
      </c>
      <c r="P135" s="797">
        <v>0</v>
      </c>
      <c r="Q135" s="797">
        <v>0</v>
      </c>
      <c r="R135" s="797">
        <f t="shared" si="12"/>
        <v>4495198.79</v>
      </c>
      <c r="S135" s="797">
        <f t="shared" si="13"/>
        <v>1256.4142182346693</v>
      </c>
      <c r="T135" s="797">
        <v>4503.95</v>
      </c>
      <c r="U135" s="132" t="s">
        <v>228</v>
      </c>
      <c r="V135" s="144">
        <f t="shared" si="7"/>
        <v>3247.5357817653303</v>
      </c>
      <c r="W135" s="145">
        <f>N135-'[1]Приложение 1'!$N$133</f>
        <v>-400928.21999999974</v>
      </c>
    </row>
    <row r="136" spans="1:23" s="159" customFormat="1" ht="9" customHeight="1">
      <c r="A136" s="803">
        <v>119</v>
      </c>
      <c r="B136" s="156" t="s">
        <v>368</v>
      </c>
      <c r="C136" s="784" t="s">
        <v>1006</v>
      </c>
      <c r="D136" s="784"/>
      <c r="E136" s="147">
        <v>1917</v>
      </c>
      <c r="F136" s="150"/>
      <c r="G136" s="141" t="s">
        <v>88</v>
      </c>
      <c r="H136" s="141">
        <v>1</v>
      </c>
      <c r="I136" s="141">
        <v>4</v>
      </c>
      <c r="J136" s="142">
        <v>362.7</v>
      </c>
      <c r="K136" s="142">
        <v>340.1</v>
      </c>
      <c r="L136" s="142">
        <v>174.5</v>
      </c>
      <c r="M136" s="141">
        <v>10</v>
      </c>
      <c r="N136" s="160">
        <f>'Приложение 2'!E139</f>
        <v>1110243.6499999999</v>
      </c>
      <c r="O136" s="797">
        <v>0</v>
      </c>
      <c r="P136" s="797">
        <v>0</v>
      </c>
      <c r="Q136" s="797">
        <v>0</v>
      </c>
      <c r="R136" s="797">
        <f t="shared" si="12"/>
        <v>1110243.6499999999</v>
      </c>
      <c r="S136" s="797">
        <f t="shared" si="13"/>
        <v>3264.4623640105847</v>
      </c>
      <c r="T136" s="797">
        <v>4503.95</v>
      </c>
      <c r="U136" s="132" t="s">
        <v>228</v>
      </c>
      <c r="V136" s="144">
        <f t="shared" si="7"/>
        <v>1239.4876359894151</v>
      </c>
      <c r="W136" s="145"/>
    </row>
    <row r="137" spans="1:23" s="159" customFormat="1" ht="9" customHeight="1">
      <c r="A137" s="803">
        <v>120</v>
      </c>
      <c r="B137" s="156" t="s">
        <v>225</v>
      </c>
      <c r="C137" s="784" t="s">
        <v>1006</v>
      </c>
      <c r="D137" s="784"/>
      <c r="E137" s="147">
        <v>1961</v>
      </c>
      <c r="F137" s="150"/>
      <c r="G137" s="141" t="s">
        <v>88</v>
      </c>
      <c r="H137" s="141">
        <v>3</v>
      </c>
      <c r="I137" s="141">
        <v>3</v>
      </c>
      <c r="J137" s="142">
        <v>1630</v>
      </c>
      <c r="K137" s="142">
        <v>1519.1</v>
      </c>
      <c r="L137" s="142">
        <v>1400.7</v>
      </c>
      <c r="M137" s="141">
        <v>74</v>
      </c>
      <c r="N137" s="160">
        <f>'Приложение 2'!E140</f>
        <v>2935085.2</v>
      </c>
      <c r="O137" s="797">
        <v>0</v>
      </c>
      <c r="P137" s="797">
        <v>0</v>
      </c>
      <c r="Q137" s="797">
        <v>0</v>
      </c>
      <c r="R137" s="797">
        <f t="shared" si="12"/>
        <v>2935085.2</v>
      </c>
      <c r="S137" s="797">
        <f t="shared" si="13"/>
        <v>1932.1211243499442</v>
      </c>
      <c r="T137" s="797">
        <v>4503.95</v>
      </c>
      <c r="U137" s="132" t="s">
        <v>228</v>
      </c>
      <c r="V137" s="144">
        <f t="shared" si="7"/>
        <v>2571.8288756500556</v>
      </c>
      <c r="W137" s="145"/>
    </row>
    <row r="138" spans="1:23" s="159" customFormat="1" ht="9" customHeight="1">
      <c r="A138" s="803">
        <v>121</v>
      </c>
      <c r="B138" s="156" t="s">
        <v>224</v>
      </c>
      <c r="C138" s="784" t="s">
        <v>1006</v>
      </c>
      <c r="D138" s="784"/>
      <c r="E138" s="147">
        <v>1963</v>
      </c>
      <c r="F138" s="150"/>
      <c r="G138" s="141" t="s">
        <v>88</v>
      </c>
      <c r="H138" s="141">
        <v>4</v>
      </c>
      <c r="I138" s="141" t="s">
        <v>73</v>
      </c>
      <c r="J138" s="142">
        <v>1428.2</v>
      </c>
      <c r="K138" s="142">
        <v>1288.4000000000001</v>
      </c>
      <c r="L138" s="142">
        <v>1246.3</v>
      </c>
      <c r="M138" s="141">
        <v>65</v>
      </c>
      <c r="N138" s="160">
        <f>'Приложение 2'!E141</f>
        <v>1936321.92</v>
      </c>
      <c r="O138" s="797">
        <v>0</v>
      </c>
      <c r="P138" s="797">
        <v>0</v>
      </c>
      <c r="Q138" s="797">
        <v>0</v>
      </c>
      <c r="R138" s="797">
        <f t="shared" si="12"/>
        <v>1936321.92</v>
      </c>
      <c r="S138" s="797">
        <f t="shared" si="13"/>
        <v>1502.8887923005277</v>
      </c>
      <c r="T138" s="797">
        <v>4503.95</v>
      </c>
      <c r="U138" s="132" t="s">
        <v>228</v>
      </c>
      <c r="V138" s="144">
        <f t="shared" si="7"/>
        <v>3001.0612076994721</v>
      </c>
      <c r="W138" s="145"/>
    </row>
    <row r="139" spans="1:23" s="159" customFormat="1" ht="9" customHeight="1">
      <c r="A139" s="803">
        <v>122</v>
      </c>
      <c r="B139" s="156" t="s">
        <v>226</v>
      </c>
      <c r="C139" s="784" t="s">
        <v>1006</v>
      </c>
      <c r="D139" s="784"/>
      <c r="E139" s="147">
        <v>1949</v>
      </c>
      <c r="F139" s="150"/>
      <c r="G139" s="141" t="s">
        <v>88</v>
      </c>
      <c r="H139" s="141">
        <v>5</v>
      </c>
      <c r="I139" s="141">
        <v>4</v>
      </c>
      <c r="J139" s="142">
        <v>2758.78</v>
      </c>
      <c r="K139" s="142">
        <v>2457.1799999999998</v>
      </c>
      <c r="L139" s="142">
        <v>2371</v>
      </c>
      <c r="M139" s="141">
        <v>98</v>
      </c>
      <c r="N139" s="160">
        <f>'Приложение 2'!E142</f>
        <v>4038200</v>
      </c>
      <c r="O139" s="797">
        <v>0</v>
      </c>
      <c r="P139" s="797">
        <v>0</v>
      </c>
      <c r="Q139" s="797">
        <v>0</v>
      </c>
      <c r="R139" s="797">
        <f t="shared" si="12"/>
        <v>4038200</v>
      </c>
      <c r="S139" s="797">
        <f t="shared" si="13"/>
        <v>1643.4286458460513</v>
      </c>
      <c r="T139" s="797">
        <v>4503.95</v>
      </c>
      <c r="U139" s="132" t="s">
        <v>228</v>
      </c>
      <c r="V139" s="144">
        <f t="shared" si="7"/>
        <v>2860.5213541539488</v>
      </c>
      <c r="W139" s="145"/>
    </row>
    <row r="140" spans="1:23" s="159" customFormat="1" ht="9" customHeight="1">
      <c r="A140" s="803">
        <v>123</v>
      </c>
      <c r="B140" s="156" t="s">
        <v>369</v>
      </c>
      <c r="C140" s="784" t="s">
        <v>1006</v>
      </c>
      <c r="D140" s="784"/>
      <c r="E140" s="147">
        <v>1959</v>
      </c>
      <c r="F140" s="150"/>
      <c r="G140" s="141" t="s">
        <v>88</v>
      </c>
      <c r="H140" s="141">
        <v>3</v>
      </c>
      <c r="I140" s="141">
        <v>3</v>
      </c>
      <c r="J140" s="142">
        <v>1674.1</v>
      </c>
      <c r="K140" s="142">
        <v>1542.9</v>
      </c>
      <c r="L140" s="142">
        <v>1138</v>
      </c>
      <c r="M140" s="141">
        <v>63</v>
      </c>
      <c r="N140" s="160">
        <f>'Приложение 2'!E143</f>
        <v>2640715.48</v>
      </c>
      <c r="O140" s="797">
        <v>0</v>
      </c>
      <c r="P140" s="797">
        <v>0</v>
      </c>
      <c r="Q140" s="797">
        <v>0</v>
      </c>
      <c r="R140" s="797">
        <f t="shared" si="12"/>
        <v>2640715.48</v>
      </c>
      <c r="S140" s="797">
        <f t="shared" si="13"/>
        <v>1711.527305722989</v>
      </c>
      <c r="T140" s="797">
        <v>4503.95</v>
      </c>
      <c r="U140" s="132" t="s">
        <v>228</v>
      </c>
      <c r="V140" s="144">
        <f t="shared" si="7"/>
        <v>2792.422694277011</v>
      </c>
      <c r="W140" s="145"/>
    </row>
    <row r="141" spans="1:23" s="159" customFormat="1" ht="9" customHeight="1">
      <c r="A141" s="803">
        <v>124</v>
      </c>
      <c r="B141" s="156" t="s">
        <v>227</v>
      </c>
      <c r="C141" s="784" t="s">
        <v>1005</v>
      </c>
      <c r="D141" s="784"/>
      <c r="E141" s="147">
        <v>1963</v>
      </c>
      <c r="F141" s="150"/>
      <c r="G141" s="141" t="s">
        <v>88</v>
      </c>
      <c r="H141" s="141">
        <v>4</v>
      </c>
      <c r="I141" s="141">
        <v>3</v>
      </c>
      <c r="J141" s="142">
        <v>2581.4</v>
      </c>
      <c r="K141" s="142">
        <v>1665.2</v>
      </c>
      <c r="L141" s="142">
        <v>978.8</v>
      </c>
      <c r="M141" s="141">
        <v>227</v>
      </c>
      <c r="N141" s="160">
        <f>'Приложение 2'!E144</f>
        <v>2038732.54</v>
      </c>
      <c r="O141" s="797">
        <v>0</v>
      </c>
      <c r="P141" s="797">
        <v>0</v>
      </c>
      <c r="Q141" s="797">
        <v>0</v>
      </c>
      <c r="R141" s="797">
        <f t="shared" ref="R141:R142" si="14">N141</f>
        <v>2038732.54</v>
      </c>
      <c r="S141" s="797">
        <f t="shared" si="13"/>
        <v>1224.3169228921452</v>
      </c>
      <c r="T141" s="797">
        <v>4180</v>
      </c>
      <c r="U141" s="132" t="s">
        <v>228</v>
      </c>
      <c r="V141" s="144">
        <f t="shared" si="7"/>
        <v>2955.6830771078548</v>
      </c>
      <c r="W141" s="145"/>
    </row>
    <row r="142" spans="1:23" s="261" customFormat="1" ht="9" customHeight="1">
      <c r="A142" s="803">
        <v>125</v>
      </c>
      <c r="B142" s="156" t="s">
        <v>1121</v>
      </c>
      <c r="C142" s="784"/>
      <c r="D142" s="784"/>
      <c r="E142" s="147">
        <v>1987</v>
      </c>
      <c r="F142" s="150"/>
      <c r="G142" s="141" t="s">
        <v>88</v>
      </c>
      <c r="H142" s="141">
        <v>5</v>
      </c>
      <c r="I142" s="141">
        <v>4</v>
      </c>
      <c r="J142" s="1021">
        <v>2946.9</v>
      </c>
      <c r="K142" s="1021">
        <v>2617.5</v>
      </c>
      <c r="L142" s="1021">
        <v>2538.6</v>
      </c>
      <c r="M142" s="148">
        <v>135</v>
      </c>
      <c r="N142" s="160">
        <f>'Приложение 2'!E145</f>
        <v>97200</v>
      </c>
      <c r="O142" s="797">
        <v>0</v>
      </c>
      <c r="P142" s="797">
        <v>0</v>
      </c>
      <c r="Q142" s="797">
        <v>0</v>
      </c>
      <c r="R142" s="797">
        <f t="shared" si="14"/>
        <v>97200</v>
      </c>
      <c r="S142" s="797">
        <f t="shared" si="13"/>
        <v>37.134670487106014</v>
      </c>
      <c r="T142" s="797">
        <v>3929.2</v>
      </c>
      <c r="U142" s="132" t="s">
        <v>228</v>
      </c>
      <c r="V142" s="144">
        <f t="shared" si="7"/>
        <v>3892.0653295128936</v>
      </c>
      <c r="W142" s="145" t="s">
        <v>1107</v>
      </c>
    </row>
    <row r="143" spans="1:23" s="159" customFormat="1" ht="20.25" customHeight="1">
      <c r="A143" s="829" t="s">
        <v>222</v>
      </c>
      <c r="B143" s="830"/>
      <c r="C143" s="784"/>
      <c r="D143" s="784"/>
      <c r="E143" s="147" t="s">
        <v>391</v>
      </c>
      <c r="F143" s="141" t="s">
        <v>391</v>
      </c>
      <c r="G143" s="141" t="s">
        <v>391</v>
      </c>
      <c r="H143" s="141" t="s">
        <v>391</v>
      </c>
      <c r="I143" s="141" t="s">
        <v>391</v>
      </c>
      <c r="J143" s="160">
        <f t="shared" ref="J143:M143" si="15">SUM(J133:J142)</f>
        <v>21140.480000000003</v>
      </c>
      <c r="K143" s="160">
        <f t="shared" si="15"/>
        <v>18537.980000000003</v>
      </c>
      <c r="L143" s="160">
        <f t="shared" si="15"/>
        <v>15866.199999999999</v>
      </c>
      <c r="M143" s="517">
        <f t="shared" si="15"/>
        <v>915</v>
      </c>
      <c r="N143" s="160">
        <f>SUM(N133:N142)</f>
        <v>25792157.199999999</v>
      </c>
      <c r="O143" s="160">
        <f t="shared" ref="O143:R143" si="16">SUM(O133:O142)</f>
        <v>0</v>
      </c>
      <c r="P143" s="160">
        <f t="shared" si="16"/>
        <v>0</v>
      </c>
      <c r="Q143" s="160">
        <f t="shared" si="16"/>
        <v>0</v>
      </c>
      <c r="R143" s="160">
        <f t="shared" si="16"/>
        <v>25792157.199999999</v>
      </c>
      <c r="S143" s="797">
        <f>N143/K143</f>
        <v>1391.3143287456344</v>
      </c>
      <c r="T143" s="797"/>
      <c r="U143" s="132"/>
      <c r="V143" s="144">
        <f t="shared" si="7"/>
        <v>-1391.3143287456344</v>
      </c>
      <c r="W143" s="145"/>
    </row>
    <row r="144" spans="1:23" s="159" customFormat="1" ht="9" customHeight="1">
      <c r="A144" s="837" t="s">
        <v>232</v>
      </c>
      <c r="B144" s="838"/>
      <c r="C144" s="838"/>
      <c r="D144" s="838"/>
      <c r="E144" s="838"/>
      <c r="F144" s="838"/>
      <c r="G144" s="838"/>
      <c r="H144" s="838"/>
      <c r="I144" s="838"/>
      <c r="J144" s="838"/>
      <c r="K144" s="838"/>
      <c r="L144" s="838"/>
      <c r="M144" s="838"/>
      <c r="N144" s="838"/>
      <c r="O144" s="838"/>
      <c r="P144" s="838"/>
      <c r="Q144" s="838"/>
      <c r="R144" s="838"/>
      <c r="S144" s="838"/>
      <c r="T144" s="838"/>
      <c r="U144" s="839"/>
      <c r="V144" s="144">
        <f t="shared" si="7"/>
        <v>0</v>
      </c>
      <c r="W144" s="145"/>
    </row>
    <row r="145" spans="1:23" s="159" customFormat="1" ht="9" customHeight="1">
      <c r="A145" s="794">
        <v>126</v>
      </c>
      <c r="B145" s="156" t="s">
        <v>233</v>
      </c>
      <c r="C145" s="157" t="s">
        <v>1009</v>
      </c>
      <c r="D145" s="157"/>
      <c r="E145" s="141">
        <v>1977</v>
      </c>
      <c r="F145" s="794"/>
      <c r="G145" s="141" t="s">
        <v>88</v>
      </c>
      <c r="H145" s="141">
        <v>2</v>
      </c>
      <c r="I145" s="141">
        <v>3</v>
      </c>
      <c r="J145" s="142">
        <v>1170</v>
      </c>
      <c r="K145" s="142">
        <v>1120</v>
      </c>
      <c r="L145" s="142">
        <v>1120</v>
      </c>
      <c r="M145" s="141">
        <v>21</v>
      </c>
      <c r="N145" s="797">
        <f>'Приложение 2'!E148</f>
        <v>2225505.14</v>
      </c>
      <c r="O145" s="797">
        <v>0</v>
      </c>
      <c r="P145" s="797">
        <v>0</v>
      </c>
      <c r="Q145" s="797">
        <v>0</v>
      </c>
      <c r="R145" s="797">
        <f t="shared" ref="R145:R152" si="17">N145</f>
        <v>2225505.14</v>
      </c>
      <c r="S145" s="797">
        <f t="shared" ref="S145:S153" si="18">N145/K145</f>
        <v>1987.0581607142858</v>
      </c>
      <c r="T145" s="797">
        <v>3929.2</v>
      </c>
      <c r="U145" s="132" t="s">
        <v>228</v>
      </c>
      <c r="V145" s="144">
        <f t="shared" si="7"/>
        <v>1942.141839285714</v>
      </c>
      <c r="W145" s="145"/>
    </row>
    <row r="146" spans="1:23" s="159" customFormat="1" ht="9" customHeight="1">
      <c r="A146" s="794">
        <v>127</v>
      </c>
      <c r="B146" s="156" t="s">
        <v>234</v>
      </c>
      <c r="C146" s="157" t="s">
        <v>1006</v>
      </c>
      <c r="D146" s="157"/>
      <c r="E146" s="141">
        <v>1960</v>
      </c>
      <c r="F146" s="794"/>
      <c r="G146" s="141" t="s">
        <v>88</v>
      </c>
      <c r="H146" s="141">
        <v>2</v>
      </c>
      <c r="I146" s="141">
        <v>1</v>
      </c>
      <c r="J146" s="142">
        <v>387</v>
      </c>
      <c r="K146" s="142">
        <v>285.3</v>
      </c>
      <c r="L146" s="142">
        <v>208</v>
      </c>
      <c r="M146" s="141">
        <v>8</v>
      </c>
      <c r="N146" s="797">
        <f>'Приложение 2'!E149</f>
        <v>875434.37999999989</v>
      </c>
      <c r="O146" s="797">
        <v>0</v>
      </c>
      <c r="P146" s="797">
        <v>0</v>
      </c>
      <c r="Q146" s="797">
        <v>0</v>
      </c>
      <c r="R146" s="797">
        <f t="shared" si="17"/>
        <v>875434.37999999989</v>
      </c>
      <c r="S146" s="797">
        <f t="shared" si="18"/>
        <v>3068.4696109358565</v>
      </c>
      <c r="T146" s="797">
        <v>4503.95</v>
      </c>
      <c r="U146" s="132" t="s">
        <v>228</v>
      </c>
      <c r="V146" s="144">
        <f t="shared" ref="V146:V209" si="19">T146-S146</f>
        <v>1435.4803890641433</v>
      </c>
      <c r="W146" s="145"/>
    </row>
    <row r="147" spans="1:23" s="159" customFormat="1" ht="9" customHeight="1">
      <c r="A147" s="794">
        <v>128</v>
      </c>
      <c r="B147" s="156" t="s">
        <v>235</v>
      </c>
      <c r="C147" s="157" t="s">
        <v>1005</v>
      </c>
      <c r="D147" s="157"/>
      <c r="E147" s="141">
        <v>1984</v>
      </c>
      <c r="F147" s="794"/>
      <c r="G147" s="141" t="s">
        <v>88</v>
      </c>
      <c r="H147" s="141">
        <v>3</v>
      </c>
      <c r="I147" s="141">
        <v>2</v>
      </c>
      <c r="J147" s="142">
        <v>1389.6</v>
      </c>
      <c r="K147" s="142">
        <v>1281.0999999999999</v>
      </c>
      <c r="L147" s="142">
        <v>1233.3</v>
      </c>
      <c r="M147" s="141">
        <v>61</v>
      </c>
      <c r="N147" s="797">
        <f>'Приложение 2'!E150</f>
        <v>1540362.7000000002</v>
      </c>
      <c r="O147" s="797">
        <v>0</v>
      </c>
      <c r="P147" s="797">
        <v>0</v>
      </c>
      <c r="Q147" s="797">
        <v>0</v>
      </c>
      <c r="R147" s="797">
        <f t="shared" si="17"/>
        <v>1540362.7000000002</v>
      </c>
      <c r="S147" s="797">
        <f t="shared" si="18"/>
        <v>1202.3750683006792</v>
      </c>
      <c r="T147" s="797">
        <v>4180</v>
      </c>
      <c r="U147" s="132" t="s">
        <v>228</v>
      </c>
      <c r="V147" s="144">
        <f t="shared" si="19"/>
        <v>2977.6249316993208</v>
      </c>
      <c r="W147" s="145"/>
    </row>
    <row r="148" spans="1:23" s="159" customFormat="1" ht="9" customHeight="1">
      <c r="A148" s="794">
        <v>129</v>
      </c>
      <c r="B148" s="156" t="s">
        <v>240</v>
      </c>
      <c r="C148" s="157" t="s">
        <v>1005</v>
      </c>
      <c r="D148" s="157"/>
      <c r="E148" s="141">
        <v>1989</v>
      </c>
      <c r="F148" s="794"/>
      <c r="G148" s="141" t="s">
        <v>88</v>
      </c>
      <c r="H148" s="141">
        <v>3</v>
      </c>
      <c r="I148" s="141">
        <v>1</v>
      </c>
      <c r="J148" s="142">
        <v>611.20000000000005</v>
      </c>
      <c r="K148" s="142">
        <v>560.79999999999995</v>
      </c>
      <c r="L148" s="142">
        <v>519</v>
      </c>
      <c r="M148" s="141">
        <v>35</v>
      </c>
      <c r="N148" s="797">
        <f>'Приложение 2'!E151</f>
        <v>1269835.44</v>
      </c>
      <c r="O148" s="797">
        <v>0</v>
      </c>
      <c r="P148" s="797">
        <v>0</v>
      </c>
      <c r="Q148" s="797">
        <v>0</v>
      </c>
      <c r="R148" s="797">
        <f t="shared" si="17"/>
        <v>1269835.44</v>
      </c>
      <c r="S148" s="797">
        <f t="shared" si="18"/>
        <v>2264.3285306704706</v>
      </c>
      <c r="T148" s="797">
        <v>4503.95</v>
      </c>
      <c r="U148" s="132" t="s">
        <v>228</v>
      </c>
      <c r="V148" s="144">
        <f t="shared" si="19"/>
        <v>2239.6214693295292</v>
      </c>
      <c r="W148" s="145"/>
    </row>
    <row r="149" spans="1:23" s="159" customFormat="1" ht="9" customHeight="1">
      <c r="A149" s="794">
        <v>130</v>
      </c>
      <c r="B149" s="156" t="s">
        <v>241</v>
      </c>
      <c r="C149" s="157" t="s">
        <v>1005</v>
      </c>
      <c r="D149" s="157"/>
      <c r="E149" s="141">
        <v>1981</v>
      </c>
      <c r="F149" s="794"/>
      <c r="G149" s="141" t="s">
        <v>90</v>
      </c>
      <c r="H149" s="141">
        <v>5</v>
      </c>
      <c r="I149" s="141">
        <v>6</v>
      </c>
      <c r="J149" s="142">
        <v>4909.8999999999996</v>
      </c>
      <c r="K149" s="142">
        <v>4341.6000000000004</v>
      </c>
      <c r="L149" s="142">
        <v>4211.6000000000004</v>
      </c>
      <c r="M149" s="141">
        <v>182</v>
      </c>
      <c r="N149" s="797">
        <f>'Приложение 2'!E152</f>
        <v>3068817.76</v>
      </c>
      <c r="O149" s="797">
        <v>0</v>
      </c>
      <c r="P149" s="797">
        <v>0</v>
      </c>
      <c r="Q149" s="797">
        <v>0</v>
      </c>
      <c r="R149" s="797">
        <f t="shared" si="17"/>
        <v>3068817.76</v>
      </c>
      <c r="S149" s="797">
        <f t="shared" si="18"/>
        <v>706.840280081076</v>
      </c>
      <c r="T149" s="797">
        <v>4180</v>
      </c>
      <c r="U149" s="132" t="s">
        <v>228</v>
      </c>
      <c r="V149" s="144">
        <f t="shared" si="19"/>
        <v>3473.1597199189241</v>
      </c>
      <c r="W149" s="145"/>
    </row>
    <row r="150" spans="1:23" s="159" customFormat="1" ht="9" customHeight="1">
      <c r="A150" s="794">
        <v>131</v>
      </c>
      <c r="B150" s="156" t="s">
        <v>236</v>
      </c>
      <c r="C150" s="157" t="s">
        <v>1006</v>
      </c>
      <c r="D150" s="157"/>
      <c r="E150" s="141">
        <v>1939</v>
      </c>
      <c r="F150" s="794"/>
      <c r="G150" s="141" t="s">
        <v>88</v>
      </c>
      <c r="H150" s="141">
        <v>2</v>
      </c>
      <c r="I150" s="141">
        <v>3</v>
      </c>
      <c r="J150" s="142">
        <v>917.7</v>
      </c>
      <c r="K150" s="142">
        <v>822</v>
      </c>
      <c r="L150" s="142">
        <v>822</v>
      </c>
      <c r="M150" s="141">
        <v>36</v>
      </c>
      <c r="N150" s="797">
        <f>'Приложение 2'!E153</f>
        <v>2328273.7800000003</v>
      </c>
      <c r="O150" s="797">
        <v>0</v>
      </c>
      <c r="P150" s="797">
        <v>0</v>
      </c>
      <c r="Q150" s="797">
        <v>0</v>
      </c>
      <c r="R150" s="797">
        <f t="shared" si="17"/>
        <v>2328273.7800000003</v>
      </c>
      <c r="S150" s="797">
        <f t="shared" si="18"/>
        <v>2832.4498540145987</v>
      </c>
      <c r="T150" s="797">
        <v>4503.95</v>
      </c>
      <c r="U150" s="132" t="s">
        <v>228</v>
      </c>
      <c r="V150" s="144">
        <f t="shared" si="19"/>
        <v>1671.5001459854011</v>
      </c>
      <c r="W150" s="145"/>
    </row>
    <row r="151" spans="1:23" s="159" customFormat="1" ht="9" customHeight="1">
      <c r="A151" s="794">
        <v>132</v>
      </c>
      <c r="B151" s="156" t="s">
        <v>237</v>
      </c>
      <c r="C151" s="157" t="s">
        <v>1006</v>
      </c>
      <c r="D151" s="157"/>
      <c r="E151" s="141">
        <v>1979</v>
      </c>
      <c r="F151" s="794"/>
      <c r="G151" s="141" t="s">
        <v>88</v>
      </c>
      <c r="H151" s="141">
        <v>2</v>
      </c>
      <c r="I151" s="141">
        <v>3</v>
      </c>
      <c r="J151" s="142">
        <v>945.2</v>
      </c>
      <c r="K151" s="142">
        <v>857</v>
      </c>
      <c r="L151" s="142">
        <v>760.6</v>
      </c>
      <c r="M151" s="141">
        <v>34</v>
      </c>
      <c r="N151" s="797">
        <f>'Приложение 2'!E154</f>
        <v>2414462.52</v>
      </c>
      <c r="O151" s="797">
        <v>0</v>
      </c>
      <c r="P151" s="797">
        <v>0</v>
      </c>
      <c r="Q151" s="797">
        <v>0</v>
      </c>
      <c r="R151" s="797">
        <f t="shared" si="17"/>
        <v>2414462.52</v>
      </c>
      <c r="S151" s="797">
        <f t="shared" si="18"/>
        <v>2817.3424970828473</v>
      </c>
      <c r="T151" s="797">
        <v>4503.95</v>
      </c>
      <c r="U151" s="132" t="s">
        <v>228</v>
      </c>
      <c r="V151" s="144">
        <f t="shared" si="19"/>
        <v>1686.6075029171525</v>
      </c>
      <c r="W151" s="145"/>
    </row>
    <row r="152" spans="1:23" s="159" customFormat="1" ht="9" customHeight="1">
      <c r="A152" s="794">
        <v>133</v>
      </c>
      <c r="B152" s="156" t="s">
        <v>238</v>
      </c>
      <c r="C152" s="157" t="s">
        <v>1006</v>
      </c>
      <c r="D152" s="157"/>
      <c r="E152" s="141">
        <v>1928</v>
      </c>
      <c r="F152" s="794"/>
      <c r="G152" s="141" t="s">
        <v>88</v>
      </c>
      <c r="H152" s="141">
        <v>2</v>
      </c>
      <c r="I152" s="141">
        <v>1</v>
      </c>
      <c r="J152" s="142">
        <v>222</v>
      </c>
      <c r="K152" s="142">
        <v>207</v>
      </c>
      <c r="L152" s="142">
        <v>162.30000000000001</v>
      </c>
      <c r="M152" s="141">
        <v>9</v>
      </c>
      <c r="N152" s="797">
        <f>'Приложение 2'!E155</f>
        <v>789609.64</v>
      </c>
      <c r="O152" s="797">
        <v>0</v>
      </c>
      <c r="P152" s="797">
        <v>0</v>
      </c>
      <c r="Q152" s="797">
        <v>0</v>
      </c>
      <c r="R152" s="797">
        <f t="shared" si="17"/>
        <v>789609.64</v>
      </c>
      <c r="S152" s="797">
        <f t="shared" si="18"/>
        <v>3814.5393236714976</v>
      </c>
      <c r="T152" s="797">
        <v>4503.95</v>
      </c>
      <c r="U152" s="132" t="s">
        <v>228</v>
      </c>
      <c r="V152" s="144">
        <f t="shared" si="19"/>
        <v>689.41067632850218</v>
      </c>
      <c r="W152" s="145"/>
    </row>
    <row r="153" spans="1:23" s="159" customFormat="1" ht="9" customHeight="1">
      <c r="A153" s="794">
        <v>134</v>
      </c>
      <c r="B153" s="785" t="s">
        <v>1021</v>
      </c>
      <c r="C153" s="794" t="s">
        <v>107</v>
      </c>
      <c r="D153" s="794"/>
      <c r="E153" s="794" t="s">
        <v>107</v>
      </c>
      <c r="F153" s="794"/>
      <c r="G153" s="794" t="s">
        <v>88</v>
      </c>
      <c r="H153" s="794" t="s">
        <v>73</v>
      </c>
      <c r="I153" s="794" t="s">
        <v>73</v>
      </c>
      <c r="J153" s="797">
        <v>464.6</v>
      </c>
      <c r="K153" s="797">
        <f>365.9+38.5</f>
        <v>404.4</v>
      </c>
      <c r="L153" s="797">
        <v>111.8</v>
      </c>
      <c r="M153" s="130">
        <v>12</v>
      </c>
      <c r="N153" s="797">
        <f>'Приложение 2'!E156</f>
        <v>424035.08</v>
      </c>
      <c r="O153" s="797">
        <v>0</v>
      </c>
      <c r="P153" s="797">
        <v>0</v>
      </c>
      <c r="Q153" s="797">
        <v>0</v>
      </c>
      <c r="R153" s="797">
        <f>N153-O153-P153-Q153</f>
        <v>424035.08</v>
      </c>
      <c r="S153" s="797">
        <f t="shared" si="18"/>
        <v>1048.5536102868448</v>
      </c>
      <c r="T153" s="797">
        <v>4984.6499999999996</v>
      </c>
      <c r="U153" s="132" t="s">
        <v>228</v>
      </c>
      <c r="V153" s="144">
        <f t="shared" si="19"/>
        <v>3936.0963897131551</v>
      </c>
      <c r="W153" s="145"/>
    </row>
    <row r="154" spans="1:23" s="159" customFormat="1" ht="9" customHeight="1">
      <c r="A154" s="794">
        <v>135</v>
      </c>
      <c r="B154" s="785" t="s">
        <v>1106</v>
      </c>
      <c r="C154" s="805"/>
      <c r="D154" s="805"/>
      <c r="E154" s="805">
        <v>1988</v>
      </c>
      <c r="F154" s="794"/>
      <c r="G154" s="794" t="s">
        <v>88</v>
      </c>
      <c r="H154" s="794">
        <v>5</v>
      </c>
      <c r="I154" s="794">
        <v>6</v>
      </c>
      <c r="J154" s="797">
        <v>4551.5999999999995</v>
      </c>
      <c r="K154" s="797">
        <v>4081.7</v>
      </c>
      <c r="L154" s="797">
        <v>4081.7</v>
      </c>
      <c r="M154" s="130">
        <v>205</v>
      </c>
      <c r="N154" s="797">
        <f>'Приложение 2'!E157</f>
        <v>246468</v>
      </c>
      <c r="O154" s="797">
        <v>0</v>
      </c>
      <c r="P154" s="797">
        <v>0</v>
      </c>
      <c r="Q154" s="797">
        <v>0</v>
      </c>
      <c r="R154" s="797">
        <f>N154-O154-P154-Q154</f>
        <v>246468</v>
      </c>
      <c r="S154" s="797">
        <f t="shared" ref="S154:S155" si="20">N154/K154</f>
        <v>60.383663669549456</v>
      </c>
      <c r="T154" s="797">
        <v>4984.6499999999996</v>
      </c>
      <c r="U154" s="132" t="s">
        <v>228</v>
      </c>
      <c r="V154" s="144">
        <f t="shared" si="19"/>
        <v>4924.26633633045</v>
      </c>
      <c r="W154" s="145" t="s">
        <v>1107</v>
      </c>
    </row>
    <row r="155" spans="1:23" s="159" customFormat="1" ht="9" customHeight="1">
      <c r="A155" s="794">
        <v>136</v>
      </c>
      <c r="B155" s="785" t="s">
        <v>1116</v>
      </c>
      <c r="C155" s="805"/>
      <c r="D155" s="805"/>
      <c r="E155" s="805">
        <v>1974</v>
      </c>
      <c r="F155" s="794"/>
      <c r="G155" s="794" t="s">
        <v>88</v>
      </c>
      <c r="H155" s="794">
        <v>5</v>
      </c>
      <c r="I155" s="794">
        <v>6</v>
      </c>
      <c r="J155" s="797">
        <v>4899.7</v>
      </c>
      <c r="K155" s="797">
        <v>4502.8999999999996</v>
      </c>
      <c r="L155" s="797">
        <v>4502.8999999999996</v>
      </c>
      <c r="M155" s="130">
        <v>188</v>
      </c>
      <c r="N155" s="797">
        <f>'Приложение 2'!E158</f>
        <v>755106</v>
      </c>
      <c r="O155" s="797">
        <v>0</v>
      </c>
      <c r="P155" s="797">
        <v>0</v>
      </c>
      <c r="Q155" s="797">
        <v>0</v>
      </c>
      <c r="R155" s="797">
        <f>N155-O155-P155-Q155</f>
        <v>755106</v>
      </c>
      <c r="S155" s="797">
        <f t="shared" si="20"/>
        <v>167.69326434075819</v>
      </c>
      <c r="T155" s="797">
        <v>172.43</v>
      </c>
      <c r="U155" s="132" t="s">
        <v>228</v>
      </c>
      <c r="V155" s="144">
        <f t="shared" si="19"/>
        <v>4.7367356592418162</v>
      </c>
      <c r="W155" s="145" t="s">
        <v>1107</v>
      </c>
    </row>
    <row r="156" spans="1:23" s="159" customFormat="1" ht="22.5" customHeight="1">
      <c r="A156" s="829" t="s">
        <v>231</v>
      </c>
      <c r="B156" s="830"/>
      <c r="C156" s="784"/>
      <c r="D156" s="784"/>
      <c r="E156" s="147" t="s">
        <v>391</v>
      </c>
      <c r="F156" s="141" t="s">
        <v>391</v>
      </c>
      <c r="G156" s="141" t="s">
        <v>391</v>
      </c>
      <c r="H156" s="141" t="s">
        <v>391</v>
      </c>
      <c r="I156" s="141" t="s">
        <v>391</v>
      </c>
      <c r="J156" s="797">
        <f>SUM(J145:J155)</f>
        <v>20468.500000000004</v>
      </c>
      <c r="K156" s="797">
        <f t="shared" ref="K156:R156" si="21">SUM(K145:K155)</f>
        <v>18463.799999999996</v>
      </c>
      <c r="L156" s="797">
        <f t="shared" si="21"/>
        <v>17733.199999999997</v>
      </c>
      <c r="M156" s="131">
        <f t="shared" si="21"/>
        <v>791</v>
      </c>
      <c r="N156" s="797">
        <f>SUM(N145:N155)</f>
        <v>15937910.439999999</v>
      </c>
      <c r="O156" s="797">
        <f t="shared" si="21"/>
        <v>0</v>
      </c>
      <c r="P156" s="797">
        <f t="shared" si="21"/>
        <v>0</v>
      </c>
      <c r="Q156" s="797">
        <f t="shared" si="21"/>
        <v>0</v>
      </c>
      <c r="R156" s="797">
        <f t="shared" si="21"/>
        <v>15937910.439999999</v>
      </c>
      <c r="S156" s="797">
        <f>N156/K156</f>
        <v>863.19774044346252</v>
      </c>
      <c r="T156" s="794"/>
      <c r="U156" s="132"/>
      <c r="V156" s="144">
        <f t="shared" si="19"/>
        <v>-863.19774044346252</v>
      </c>
      <c r="W156" s="145"/>
    </row>
    <row r="157" spans="1:23" s="159" customFormat="1" ht="9" customHeight="1">
      <c r="A157" s="837" t="s">
        <v>242</v>
      </c>
      <c r="B157" s="838"/>
      <c r="C157" s="838"/>
      <c r="D157" s="838"/>
      <c r="E157" s="838"/>
      <c r="F157" s="838"/>
      <c r="G157" s="838"/>
      <c r="H157" s="838"/>
      <c r="I157" s="838"/>
      <c r="J157" s="838"/>
      <c r="K157" s="838"/>
      <c r="L157" s="838"/>
      <c r="M157" s="838"/>
      <c r="N157" s="838"/>
      <c r="O157" s="838"/>
      <c r="P157" s="838"/>
      <c r="Q157" s="838"/>
      <c r="R157" s="838"/>
      <c r="S157" s="838"/>
      <c r="T157" s="838"/>
      <c r="U157" s="839"/>
      <c r="V157" s="144">
        <f t="shared" si="19"/>
        <v>0</v>
      </c>
      <c r="W157" s="145"/>
    </row>
    <row r="158" spans="1:23" s="159" customFormat="1" ht="9" customHeight="1">
      <c r="A158" s="801">
        <v>137</v>
      </c>
      <c r="B158" s="161" t="s">
        <v>245</v>
      </c>
      <c r="C158" s="161" t="s">
        <v>1006</v>
      </c>
      <c r="D158" s="161"/>
      <c r="E158" s="794">
        <v>1975</v>
      </c>
      <c r="F158" s="794"/>
      <c r="G158" s="794" t="s">
        <v>88</v>
      </c>
      <c r="H158" s="794">
        <v>5</v>
      </c>
      <c r="I158" s="794">
        <v>3</v>
      </c>
      <c r="J158" s="797">
        <v>3533.9</v>
      </c>
      <c r="K158" s="797">
        <v>2842</v>
      </c>
      <c r="L158" s="797">
        <v>2842</v>
      </c>
      <c r="M158" s="794">
        <v>156</v>
      </c>
      <c r="N158" s="797">
        <f>'Приложение 2'!E161</f>
        <v>3057578.13</v>
      </c>
      <c r="O158" s="797">
        <v>0</v>
      </c>
      <c r="P158" s="797">
        <v>0</v>
      </c>
      <c r="Q158" s="797">
        <v>0</v>
      </c>
      <c r="R158" s="797">
        <f t="shared" ref="R158:R160" si="22">N158</f>
        <v>3057578.13</v>
      </c>
      <c r="S158" s="797">
        <f>N158/K158</f>
        <v>1075.8543736805066</v>
      </c>
      <c r="T158" s="797">
        <v>4503.95</v>
      </c>
      <c r="U158" s="132" t="s">
        <v>228</v>
      </c>
      <c r="V158" s="144">
        <f t="shared" si="19"/>
        <v>3428.095626319493</v>
      </c>
      <c r="W158" s="145"/>
    </row>
    <row r="159" spans="1:23" s="159" customFormat="1" ht="9" customHeight="1">
      <c r="A159" s="801">
        <v>138</v>
      </c>
      <c r="B159" s="161" t="s">
        <v>247</v>
      </c>
      <c r="C159" s="161" t="s">
        <v>1005</v>
      </c>
      <c r="D159" s="161"/>
      <c r="E159" s="794">
        <v>1972</v>
      </c>
      <c r="F159" s="794"/>
      <c r="G159" s="794" t="s">
        <v>88</v>
      </c>
      <c r="H159" s="794">
        <v>2</v>
      </c>
      <c r="I159" s="794">
        <v>3</v>
      </c>
      <c r="J159" s="797">
        <v>769.6</v>
      </c>
      <c r="K159" s="797">
        <v>737.6</v>
      </c>
      <c r="L159" s="797">
        <v>737.6</v>
      </c>
      <c r="M159" s="794">
        <v>33</v>
      </c>
      <c r="N159" s="797">
        <f>'Приложение 2'!E162</f>
        <v>2660095.4500000002</v>
      </c>
      <c r="O159" s="797">
        <v>0</v>
      </c>
      <c r="P159" s="797">
        <v>0</v>
      </c>
      <c r="Q159" s="797">
        <v>0</v>
      </c>
      <c r="R159" s="797">
        <f t="shared" si="22"/>
        <v>2660095.4500000002</v>
      </c>
      <c r="S159" s="797">
        <f>N159/K159</f>
        <v>3606.4200786334059</v>
      </c>
      <c r="T159" s="797">
        <v>4503.95</v>
      </c>
      <c r="U159" s="132" t="s">
        <v>228</v>
      </c>
      <c r="V159" s="144">
        <f t="shared" si="19"/>
        <v>897.52992136659395</v>
      </c>
      <c r="W159" s="145"/>
    </row>
    <row r="160" spans="1:23" s="159" customFormat="1" ht="9" customHeight="1">
      <c r="A160" s="801">
        <v>139</v>
      </c>
      <c r="B160" s="156" t="s">
        <v>248</v>
      </c>
      <c r="C160" s="156" t="s">
        <v>1008</v>
      </c>
      <c r="D160" s="156"/>
      <c r="E160" s="794">
        <v>1993</v>
      </c>
      <c r="F160" s="794"/>
      <c r="G160" s="794" t="s">
        <v>244</v>
      </c>
      <c r="H160" s="794">
        <v>3</v>
      </c>
      <c r="I160" s="794">
        <v>3</v>
      </c>
      <c r="J160" s="797">
        <v>1935.4</v>
      </c>
      <c r="K160" s="797">
        <v>1702.7</v>
      </c>
      <c r="L160" s="797">
        <v>1702.7</v>
      </c>
      <c r="M160" s="794">
        <v>78</v>
      </c>
      <c r="N160" s="797">
        <f>'Приложение 2'!E163</f>
        <v>1253515.82</v>
      </c>
      <c r="O160" s="797">
        <v>0</v>
      </c>
      <c r="P160" s="797">
        <v>0</v>
      </c>
      <c r="Q160" s="797">
        <v>0</v>
      </c>
      <c r="R160" s="797">
        <f t="shared" si="22"/>
        <v>1253515.82</v>
      </c>
      <c r="S160" s="797">
        <f>N160/K160</f>
        <v>736.19299935396725</v>
      </c>
      <c r="T160" s="797">
        <v>4984.6499999999996</v>
      </c>
      <c r="U160" s="132" t="s">
        <v>228</v>
      </c>
      <c r="V160" s="144">
        <f t="shared" si="19"/>
        <v>4248.4570006460326</v>
      </c>
      <c r="W160" s="145"/>
    </row>
    <row r="161" spans="1:23" s="159" customFormat="1" ht="20.25" customHeight="1">
      <c r="A161" s="829" t="s">
        <v>426</v>
      </c>
      <c r="B161" s="830"/>
      <c r="C161" s="784"/>
      <c r="D161" s="784"/>
      <c r="E161" s="794" t="s">
        <v>391</v>
      </c>
      <c r="F161" s="794" t="s">
        <v>391</v>
      </c>
      <c r="G161" s="794" t="s">
        <v>391</v>
      </c>
      <c r="H161" s="794" t="s">
        <v>391</v>
      </c>
      <c r="I161" s="794" t="s">
        <v>391</v>
      </c>
      <c r="J161" s="162">
        <f t="shared" ref="J161:R161" si="23">SUM(J158:J160)</f>
        <v>6238.9</v>
      </c>
      <c r="K161" s="162">
        <f t="shared" si="23"/>
        <v>5282.3</v>
      </c>
      <c r="L161" s="162">
        <f t="shared" si="23"/>
        <v>5282.3</v>
      </c>
      <c r="M161" s="130">
        <f t="shared" si="23"/>
        <v>267</v>
      </c>
      <c r="N161" s="162">
        <f t="shared" si="23"/>
        <v>6971189.4000000004</v>
      </c>
      <c r="O161" s="162">
        <f t="shared" si="23"/>
        <v>0</v>
      </c>
      <c r="P161" s="162">
        <f t="shared" si="23"/>
        <v>0</v>
      </c>
      <c r="Q161" s="162">
        <f t="shared" si="23"/>
        <v>0</v>
      </c>
      <c r="R161" s="162">
        <f t="shared" si="23"/>
        <v>6971189.4000000004</v>
      </c>
      <c r="S161" s="797">
        <f>N161/K161</f>
        <v>1319.7261420214679</v>
      </c>
      <c r="T161" s="797"/>
      <c r="U161" s="132"/>
      <c r="V161" s="144">
        <f t="shared" si="19"/>
        <v>-1319.7261420214679</v>
      </c>
      <c r="W161" s="145"/>
    </row>
    <row r="162" spans="1:23" s="159" customFormat="1" ht="9" customHeight="1">
      <c r="A162" s="837" t="s">
        <v>251</v>
      </c>
      <c r="B162" s="838"/>
      <c r="C162" s="838"/>
      <c r="D162" s="838"/>
      <c r="E162" s="838"/>
      <c r="F162" s="838"/>
      <c r="G162" s="838"/>
      <c r="H162" s="838"/>
      <c r="I162" s="838"/>
      <c r="J162" s="838"/>
      <c r="K162" s="838"/>
      <c r="L162" s="838"/>
      <c r="M162" s="838"/>
      <c r="N162" s="838"/>
      <c r="O162" s="838"/>
      <c r="P162" s="838"/>
      <c r="Q162" s="838"/>
      <c r="R162" s="838"/>
      <c r="S162" s="838"/>
      <c r="T162" s="838"/>
      <c r="U162" s="839"/>
      <c r="V162" s="144">
        <f t="shared" si="19"/>
        <v>0</v>
      </c>
      <c r="W162" s="145"/>
    </row>
    <row r="163" spans="1:23" s="159" customFormat="1" ht="9" customHeight="1">
      <c r="A163" s="794">
        <v>140</v>
      </c>
      <c r="B163" s="156" t="s">
        <v>253</v>
      </c>
      <c r="C163" s="785" t="s">
        <v>1006</v>
      </c>
      <c r="D163" s="785"/>
      <c r="E163" s="794">
        <v>1935</v>
      </c>
      <c r="F163" s="794"/>
      <c r="G163" s="794" t="s">
        <v>252</v>
      </c>
      <c r="H163" s="794">
        <v>2</v>
      </c>
      <c r="I163" s="794">
        <v>1</v>
      </c>
      <c r="J163" s="797">
        <v>358</v>
      </c>
      <c r="K163" s="797">
        <v>348</v>
      </c>
      <c r="L163" s="797">
        <v>295.86</v>
      </c>
      <c r="M163" s="130">
        <v>13</v>
      </c>
      <c r="N163" s="160">
        <f>'Приложение 2'!E166</f>
        <v>1028545.8</v>
      </c>
      <c r="O163" s="797">
        <v>0</v>
      </c>
      <c r="P163" s="797">
        <v>0</v>
      </c>
      <c r="Q163" s="797">
        <v>0</v>
      </c>
      <c r="R163" s="797">
        <f>N163</f>
        <v>1028545.8</v>
      </c>
      <c r="S163" s="797">
        <f t="shared" ref="S163:S168" si="24">N163/K163</f>
        <v>2955.591379310345</v>
      </c>
      <c r="T163" s="797">
        <v>4503.95</v>
      </c>
      <c r="U163" s="132" t="s">
        <v>228</v>
      </c>
      <c r="V163" s="144">
        <f t="shared" si="19"/>
        <v>1548.3586206896548</v>
      </c>
      <c r="W163" s="145"/>
    </row>
    <row r="164" spans="1:23" s="159" customFormat="1" ht="9" customHeight="1">
      <c r="A164" s="794">
        <v>141</v>
      </c>
      <c r="B164" s="156" t="s">
        <v>255</v>
      </c>
      <c r="C164" s="785" t="s">
        <v>1006</v>
      </c>
      <c r="D164" s="785"/>
      <c r="E164" s="794">
        <v>1952</v>
      </c>
      <c r="F164" s="794"/>
      <c r="G164" s="794" t="s">
        <v>252</v>
      </c>
      <c r="H164" s="794" t="s">
        <v>73</v>
      </c>
      <c r="I164" s="794" t="s">
        <v>72</v>
      </c>
      <c r="J164" s="797">
        <v>432.5</v>
      </c>
      <c r="K164" s="797">
        <v>408.3</v>
      </c>
      <c r="L164" s="797">
        <v>408.3</v>
      </c>
      <c r="M164" s="130">
        <v>9</v>
      </c>
      <c r="N164" s="160">
        <f>'Приложение 2'!E167</f>
        <v>1162411.06</v>
      </c>
      <c r="O164" s="797">
        <v>0</v>
      </c>
      <c r="P164" s="797">
        <v>0</v>
      </c>
      <c r="Q164" s="797">
        <v>0</v>
      </c>
      <c r="R164" s="797">
        <f>N164</f>
        <v>1162411.06</v>
      </c>
      <c r="S164" s="797">
        <f t="shared" si="24"/>
        <v>2846.9533676218466</v>
      </c>
      <c r="T164" s="797">
        <v>4503.95</v>
      </c>
      <c r="U164" s="132" t="s">
        <v>228</v>
      </c>
      <c r="V164" s="144">
        <f t="shared" si="19"/>
        <v>1656.9966323781532</v>
      </c>
      <c r="W164" s="145"/>
    </row>
    <row r="165" spans="1:23" s="159" customFormat="1" ht="9" customHeight="1">
      <c r="A165" s="794">
        <v>142</v>
      </c>
      <c r="B165" s="156" t="s">
        <v>254</v>
      </c>
      <c r="C165" s="785" t="s">
        <v>1006</v>
      </c>
      <c r="D165" s="785"/>
      <c r="E165" s="794">
        <v>1952</v>
      </c>
      <c r="F165" s="794"/>
      <c r="G165" s="794" t="s">
        <v>252</v>
      </c>
      <c r="H165" s="794" t="s">
        <v>73</v>
      </c>
      <c r="I165" s="794">
        <v>1</v>
      </c>
      <c r="J165" s="797">
        <v>454.6</v>
      </c>
      <c r="K165" s="797">
        <v>410</v>
      </c>
      <c r="L165" s="797">
        <v>398.2</v>
      </c>
      <c r="M165" s="130">
        <v>16</v>
      </c>
      <c r="N165" s="160">
        <f>'Приложение 2'!E168</f>
        <v>1179662.1200000001</v>
      </c>
      <c r="O165" s="797">
        <v>0</v>
      </c>
      <c r="P165" s="797">
        <v>0</v>
      </c>
      <c r="Q165" s="797">
        <v>0</v>
      </c>
      <c r="R165" s="797">
        <f>N165</f>
        <v>1179662.1200000001</v>
      </c>
      <c r="S165" s="797">
        <f t="shared" si="24"/>
        <v>2877.2246829268297</v>
      </c>
      <c r="T165" s="797">
        <v>4503.95</v>
      </c>
      <c r="U165" s="132" t="s">
        <v>228</v>
      </c>
      <c r="V165" s="144">
        <f t="shared" si="19"/>
        <v>1626.7253170731701</v>
      </c>
      <c r="W165" s="145"/>
    </row>
    <row r="166" spans="1:23" s="159" customFormat="1" ht="9" customHeight="1">
      <c r="A166" s="794">
        <v>143</v>
      </c>
      <c r="B166" s="156" t="s">
        <v>256</v>
      </c>
      <c r="C166" s="785" t="s">
        <v>1005</v>
      </c>
      <c r="D166" s="785"/>
      <c r="E166" s="794">
        <v>1977</v>
      </c>
      <c r="F166" s="794"/>
      <c r="G166" s="794" t="s">
        <v>88</v>
      </c>
      <c r="H166" s="794">
        <v>5</v>
      </c>
      <c r="I166" s="794">
        <v>4</v>
      </c>
      <c r="J166" s="797">
        <v>3632.3</v>
      </c>
      <c r="K166" s="797">
        <v>3317.3</v>
      </c>
      <c r="L166" s="797">
        <v>3153</v>
      </c>
      <c r="M166" s="130">
        <v>127</v>
      </c>
      <c r="N166" s="160">
        <f>'Приложение 2'!E169</f>
        <v>2435950.66</v>
      </c>
      <c r="O166" s="797">
        <v>0</v>
      </c>
      <c r="P166" s="797">
        <v>0</v>
      </c>
      <c r="Q166" s="797">
        <v>0</v>
      </c>
      <c r="R166" s="797">
        <f>N166</f>
        <v>2435950.66</v>
      </c>
      <c r="S166" s="797">
        <f t="shared" si="24"/>
        <v>734.31726404003257</v>
      </c>
      <c r="T166" s="797">
        <v>4180</v>
      </c>
      <c r="U166" s="132" t="s">
        <v>228</v>
      </c>
      <c r="V166" s="144">
        <f t="shared" si="19"/>
        <v>3445.6827359599674</v>
      </c>
      <c r="W166" s="145"/>
    </row>
    <row r="167" spans="1:23" s="159" customFormat="1" ht="9" customHeight="1">
      <c r="A167" s="794">
        <v>144</v>
      </c>
      <c r="B167" s="156" t="s">
        <v>257</v>
      </c>
      <c r="C167" s="785" t="s">
        <v>1005</v>
      </c>
      <c r="D167" s="785"/>
      <c r="E167" s="794">
        <v>1977</v>
      </c>
      <c r="F167" s="794"/>
      <c r="G167" s="794" t="s">
        <v>88</v>
      </c>
      <c r="H167" s="794">
        <v>5</v>
      </c>
      <c r="I167" s="794">
        <v>4</v>
      </c>
      <c r="J167" s="797">
        <v>2570.9</v>
      </c>
      <c r="K167" s="797">
        <v>2284.17</v>
      </c>
      <c r="L167" s="797">
        <v>2226.12</v>
      </c>
      <c r="M167" s="130">
        <v>87</v>
      </c>
      <c r="N167" s="160">
        <f>'Приложение 2'!E170</f>
        <v>1746502.2799999998</v>
      </c>
      <c r="O167" s="797">
        <v>0</v>
      </c>
      <c r="P167" s="797">
        <v>0</v>
      </c>
      <c r="Q167" s="797">
        <v>0</v>
      </c>
      <c r="R167" s="797">
        <f t="shared" ref="R167:R168" si="25">N167</f>
        <v>1746502.2799999998</v>
      </c>
      <c r="S167" s="797">
        <f t="shared" si="24"/>
        <v>764.61133803525991</v>
      </c>
      <c r="T167" s="797">
        <v>4180</v>
      </c>
      <c r="U167" s="132" t="s">
        <v>228</v>
      </c>
      <c r="V167" s="144">
        <f t="shared" si="19"/>
        <v>3415.3886619647401</v>
      </c>
      <c r="W167" s="145"/>
    </row>
    <row r="168" spans="1:23" s="159" customFormat="1" ht="9.75" customHeight="1">
      <c r="A168" s="794">
        <v>145</v>
      </c>
      <c r="B168" s="156" t="s">
        <v>258</v>
      </c>
      <c r="C168" s="785" t="s">
        <v>1005</v>
      </c>
      <c r="D168" s="785"/>
      <c r="E168" s="794">
        <v>1983</v>
      </c>
      <c r="F168" s="794"/>
      <c r="G168" s="794" t="s">
        <v>90</v>
      </c>
      <c r="H168" s="794">
        <v>5</v>
      </c>
      <c r="I168" s="794">
        <v>10</v>
      </c>
      <c r="J168" s="797">
        <v>8123.2</v>
      </c>
      <c r="K168" s="797">
        <v>7468.76</v>
      </c>
      <c r="L168" s="797">
        <v>7242.96</v>
      </c>
      <c r="M168" s="130">
        <v>290</v>
      </c>
      <c r="N168" s="160">
        <f>'Приложение 2'!E171</f>
        <v>4614935.6199999992</v>
      </c>
      <c r="O168" s="797">
        <v>0</v>
      </c>
      <c r="P168" s="797">
        <v>0</v>
      </c>
      <c r="Q168" s="797">
        <v>0</v>
      </c>
      <c r="R168" s="797">
        <f t="shared" si="25"/>
        <v>4614935.6199999992</v>
      </c>
      <c r="S168" s="797">
        <f t="shared" si="24"/>
        <v>617.89850256267425</v>
      </c>
      <c r="T168" s="797">
        <v>4180</v>
      </c>
      <c r="U168" s="132" t="s">
        <v>228</v>
      </c>
      <c r="V168" s="144">
        <f t="shared" si="19"/>
        <v>3562.1014974373256</v>
      </c>
      <c r="W168" s="145"/>
    </row>
    <row r="169" spans="1:23" s="159" customFormat="1" ht="21" customHeight="1">
      <c r="A169" s="829" t="s">
        <v>250</v>
      </c>
      <c r="B169" s="830"/>
      <c r="C169" s="163"/>
      <c r="D169" s="163"/>
      <c r="E169" s="799" t="s">
        <v>391</v>
      </c>
      <c r="F169" s="799" t="s">
        <v>391</v>
      </c>
      <c r="G169" s="799" t="s">
        <v>391</v>
      </c>
      <c r="H169" s="799" t="s">
        <v>391</v>
      </c>
      <c r="I169" s="799" t="s">
        <v>391</v>
      </c>
      <c r="J169" s="164">
        <f t="shared" ref="J169:R169" si="26">SUM(J163:J168)</f>
        <v>15571.5</v>
      </c>
      <c r="K169" s="164">
        <f t="shared" si="26"/>
        <v>14236.53</v>
      </c>
      <c r="L169" s="164">
        <f t="shared" si="26"/>
        <v>13724.44</v>
      </c>
      <c r="M169" s="130">
        <f t="shared" si="26"/>
        <v>542</v>
      </c>
      <c r="N169" s="164">
        <f t="shared" si="26"/>
        <v>12168007.539999999</v>
      </c>
      <c r="O169" s="164">
        <f t="shared" si="26"/>
        <v>0</v>
      </c>
      <c r="P169" s="164">
        <f t="shared" si="26"/>
        <v>0</v>
      </c>
      <c r="Q169" s="164">
        <f t="shared" si="26"/>
        <v>0</v>
      </c>
      <c r="R169" s="164">
        <f t="shared" si="26"/>
        <v>12168007.539999999</v>
      </c>
      <c r="S169" s="797">
        <f>N169/K169</f>
        <v>854.70318539700327</v>
      </c>
      <c r="T169" s="164"/>
      <c r="U169" s="165"/>
      <c r="V169" s="144">
        <f t="shared" si="19"/>
        <v>-854.70318539700327</v>
      </c>
      <c r="W169" s="145"/>
    </row>
    <row r="170" spans="1:23" s="159" customFormat="1" ht="9" customHeight="1">
      <c r="A170" s="833" t="s">
        <v>259</v>
      </c>
      <c r="B170" s="834"/>
      <c r="C170" s="834"/>
      <c r="D170" s="834"/>
      <c r="E170" s="834"/>
      <c r="F170" s="834"/>
      <c r="G170" s="834"/>
      <c r="H170" s="834"/>
      <c r="I170" s="834"/>
      <c r="J170" s="834"/>
      <c r="K170" s="834"/>
      <c r="L170" s="834"/>
      <c r="M170" s="834"/>
      <c r="N170" s="834"/>
      <c r="O170" s="834"/>
      <c r="P170" s="834"/>
      <c r="Q170" s="834"/>
      <c r="R170" s="834"/>
      <c r="S170" s="834"/>
      <c r="T170" s="834"/>
      <c r="U170" s="835"/>
      <c r="V170" s="144">
        <f t="shared" si="19"/>
        <v>0</v>
      </c>
      <c r="W170" s="145"/>
    </row>
    <row r="171" spans="1:23" s="159" customFormat="1" ht="9" customHeight="1">
      <c r="A171" s="166">
        <v>146</v>
      </c>
      <c r="B171" s="787" t="s">
        <v>260</v>
      </c>
      <c r="C171" s="166" t="s">
        <v>1006</v>
      </c>
      <c r="D171" s="166"/>
      <c r="E171" s="166">
        <v>1966</v>
      </c>
      <c r="F171" s="166"/>
      <c r="G171" s="166" t="s">
        <v>88</v>
      </c>
      <c r="H171" s="166">
        <v>4</v>
      </c>
      <c r="I171" s="166">
        <v>2</v>
      </c>
      <c r="J171" s="166">
        <v>2816.45</v>
      </c>
      <c r="K171" s="166">
        <v>2677.95</v>
      </c>
      <c r="L171" s="166">
        <v>2325.5500000000002</v>
      </c>
      <c r="M171" s="166">
        <v>82</v>
      </c>
      <c r="N171" s="167">
        <f>'Приложение 2'!E174</f>
        <v>3232697.2</v>
      </c>
      <c r="O171" s="797">
        <v>0</v>
      </c>
      <c r="P171" s="797">
        <v>0</v>
      </c>
      <c r="Q171" s="797">
        <v>0</v>
      </c>
      <c r="R171" s="167">
        <f>N171</f>
        <v>3232697.2</v>
      </c>
      <c r="S171" s="797">
        <f>N171/K171</f>
        <v>1207.1536809873226</v>
      </c>
      <c r="T171" s="797">
        <v>4503.95</v>
      </c>
      <c r="U171" s="132" t="s">
        <v>228</v>
      </c>
      <c r="V171" s="144">
        <f t="shared" si="19"/>
        <v>3296.7963190126775</v>
      </c>
      <c r="W171" s="145"/>
    </row>
    <row r="172" spans="1:23" s="159" customFormat="1" ht="9" customHeight="1">
      <c r="A172" s="166">
        <v>147</v>
      </c>
      <c r="B172" s="787" t="s">
        <v>408</v>
      </c>
      <c r="C172" s="166" t="s">
        <v>1005</v>
      </c>
      <c r="D172" s="166"/>
      <c r="E172" s="166">
        <v>1985</v>
      </c>
      <c r="F172" s="166"/>
      <c r="G172" s="166" t="s">
        <v>90</v>
      </c>
      <c r="H172" s="166">
        <v>5</v>
      </c>
      <c r="I172" s="166">
        <v>4</v>
      </c>
      <c r="J172" s="166">
        <v>3379.29</v>
      </c>
      <c r="K172" s="166">
        <v>3320.29</v>
      </c>
      <c r="L172" s="166">
        <v>2743.74</v>
      </c>
      <c r="M172" s="166">
        <v>140</v>
      </c>
      <c r="N172" s="167">
        <f>'Приложение 2'!E175</f>
        <v>2718987.2</v>
      </c>
      <c r="O172" s="797">
        <v>0</v>
      </c>
      <c r="P172" s="797">
        <v>0</v>
      </c>
      <c r="Q172" s="797">
        <v>0</v>
      </c>
      <c r="R172" s="167">
        <f t="shared" ref="R172" si="27">N172</f>
        <v>2718987.2</v>
      </c>
      <c r="S172" s="797">
        <f>N172/K172</f>
        <v>818.90051772586139</v>
      </c>
      <c r="T172" s="797">
        <v>4180</v>
      </c>
      <c r="U172" s="132" t="s">
        <v>228</v>
      </c>
      <c r="V172" s="144">
        <f t="shared" si="19"/>
        <v>3361.0994822741386</v>
      </c>
      <c r="W172" s="145"/>
    </row>
    <row r="173" spans="1:23" s="159" customFormat="1" ht="20.25" customHeight="1">
      <c r="A173" s="831" t="s">
        <v>261</v>
      </c>
      <c r="B173" s="832"/>
      <c r="C173" s="787"/>
      <c r="D173" s="787"/>
      <c r="E173" s="794" t="s">
        <v>391</v>
      </c>
      <c r="F173" s="794" t="s">
        <v>391</v>
      </c>
      <c r="G173" s="794" t="s">
        <v>391</v>
      </c>
      <c r="H173" s="794" t="s">
        <v>391</v>
      </c>
      <c r="I173" s="794" t="s">
        <v>391</v>
      </c>
      <c r="J173" s="167">
        <f t="shared" ref="J173:R173" si="28">SUM(J171:J172)</f>
        <v>6195.74</v>
      </c>
      <c r="K173" s="167">
        <f t="shared" si="28"/>
        <v>5998.24</v>
      </c>
      <c r="L173" s="167">
        <f t="shared" si="28"/>
        <v>5069.29</v>
      </c>
      <c r="M173" s="130">
        <f t="shared" si="28"/>
        <v>222</v>
      </c>
      <c r="N173" s="167">
        <f t="shared" si="28"/>
        <v>5951684.4000000004</v>
      </c>
      <c r="O173" s="167">
        <f t="shared" si="28"/>
        <v>0</v>
      </c>
      <c r="P173" s="167">
        <f t="shared" si="28"/>
        <v>0</v>
      </c>
      <c r="Q173" s="167">
        <f t="shared" si="28"/>
        <v>0</v>
      </c>
      <c r="R173" s="167">
        <f t="shared" si="28"/>
        <v>5951684.4000000004</v>
      </c>
      <c r="S173" s="797">
        <f>N173/K173</f>
        <v>992.23845661394023</v>
      </c>
      <c r="T173" s="166"/>
      <c r="U173" s="168"/>
      <c r="V173" s="144">
        <f t="shared" si="19"/>
        <v>-992.23845661394023</v>
      </c>
      <c r="W173" s="145"/>
    </row>
    <row r="174" spans="1:23" s="159" customFormat="1" ht="11.25" customHeight="1">
      <c r="A174" s="837" t="s">
        <v>264</v>
      </c>
      <c r="B174" s="838"/>
      <c r="C174" s="838"/>
      <c r="D174" s="838"/>
      <c r="E174" s="838"/>
      <c r="F174" s="838"/>
      <c r="G174" s="838"/>
      <c r="H174" s="838"/>
      <c r="I174" s="838"/>
      <c r="J174" s="838"/>
      <c r="K174" s="838"/>
      <c r="L174" s="838"/>
      <c r="M174" s="838"/>
      <c r="N174" s="838"/>
      <c r="O174" s="838"/>
      <c r="P174" s="838"/>
      <c r="Q174" s="838"/>
      <c r="R174" s="838"/>
      <c r="S174" s="838"/>
      <c r="T174" s="838"/>
      <c r="U174" s="839"/>
      <c r="V174" s="144">
        <f t="shared" si="19"/>
        <v>0</v>
      </c>
      <c r="W174" s="145"/>
    </row>
    <row r="175" spans="1:23" ht="9" customHeight="1">
      <c r="A175" s="794">
        <v>148</v>
      </c>
      <c r="B175" s="156" t="s">
        <v>270</v>
      </c>
      <c r="C175" s="785" t="s">
        <v>1006</v>
      </c>
      <c r="D175" s="785"/>
      <c r="E175" s="794">
        <v>1974</v>
      </c>
      <c r="F175" s="794"/>
      <c r="G175" s="794" t="s">
        <v>88</v>
      </c>
      <c r="H175" s="794" t="s">
        <v>73</v>
      </c>
      <c r="I175" s="794">
        <v>2</v>
      </c>
      <c r="J175" s="797">
        <v>591.5</v>
      </c>
      <c r="K175" s="797">
        <v>556.70000000000005</v>
      </c>
      <c r="L175" s="797">
        <v>556.70000000000005</v>
      </c>
      <c r="M175" s="794">
        <v>22</v>
      </c>
      <c r="N175" s="160">
        <f>'Приложение 2'!E178</f>
        <v>1455569.4</v>
      </c>
      <c r="O175" s="797">
        <v>0</v>
      </c>
      <c r="P175" s="797">
        <v>0</v>
      </c>
      <c r="Q175" s="797">
        <v>0</v>
      </c>
      <c r="R175" s="797">
        <f>N175</f>
        <v>1455569.4</v>
      </c>
      <c r="S175" s="797">
        <f>N175/K175</f>
        <v>2614.6387641458591</v>
      </c>
      <c r="T175" s="797">
        <v>4503.95</v>
      </c>
      <c r="U175" s="132" t="s">
        <v>228</v>
      </c>
      <c r="V175" s="144">
        <f t="shared" si="19"/>
        <v>1889.3112358541407</v>
      </c>
      <c r="W175" s="145"/>
    </row>
    <row r="176" spans="1:23" ht="9" customHeight="1">
      <c r="A176" s="794">
        <v>149</v>
      </c>
      <c r="B176" s="169" t="s">
        <v>268</v>
      </c>
      <c r="C176" s="784" t="s">
        <v>1006</v>
      </c>
      <c r="D176" s="784"/>
      <c r="E176" s="794">
        <v>1962</v>
      </c>
      <c r="F176" s="794"/>
      <c r="G176" s="794" t="s">
        <v>88</v>
      </c>
      <c r="H176" s="794">
        <v>2</v>
      </c>
      <c r="I176" s="794">
        <v>1</v>
      </c>
      <c r="J176" s="797">
        <v>304.74</v>
      </c>
      <c r="K176" s="797">
        <v>275.39999999999998</v>
      </c>
      <c r="L176" s="797">
        <v>275.39999999999998</v>
      </c>
      <c r="M176" s="794">
        <v>15</v>
      </c>
      <c r="N176" s="160">
        <f>'Приложение 2'!E179</f>
        <v>804949.72</v>
      </c>
      <c r="O176" s="797">
        <v>0</v>
      </c>
      <c r="P176" s="797">
        <v>0</v>
      </c>
      <c r="Q176" s="797">
        <v>0</v>
      </c>
      <c r="R176" s="797">
        <f t="shared" ref="R176:R178" si="29">N176</f>
        <v>804949.72</v>
      </c>
      <c r="S176" s="797">
        <f t="shared" ref="S176:S178" si="30">N176/K176</f>
        <v>2922.838489469862</v>
      </c>
      <c r="T176" s="797">
        <v>4503.95</v>
      </c>
      <c r="U176" s="132" t="s">
        <v>228</v>
      </c>
      <c r="V176" s="144">
        <f t="shared" si="19"/>
        <v>1581.1115105301378</v>
      </c>
      <c r="W176" s="145"/>
    </row>
    <row r="177" spans="1:23" ht="9" customHeight="1">
      <c r="A177" s="794">
        <v>150</v>
      </c>
      <c r="B177" s="169" t="s">
        <v>265</v>
      </c>
      <c r="C177" s="784" t="s">
        <v>1006</v>
      </c>
      <c r="D177" s="784"/>
      <c r="E177" s="794">
        <v>1962</v>
      </c>
      <c r="F177" s="794"/>
      <c r="G177" s="794" t="s">
        <v>88</v>
      </c>
      <c r="H177" s="794">
        <v>2</v>
      </c>
      <c r="I177" s="794">
        <v>2</v>
      </c>
      <c r="J177" s="797">
        <v>503.2</v>
      </c>
      <c r="K177" s="797">
        <v>467.4</v>
      </c>
      <c r="L177" s="797">
        <v>467.4</v>
      </c>
      <c r="M177" s="794">
        <v>16</v>
      </c>
      <c r="N177" s="160">
        <f>'Приложение 2'!E180</f>
        <v>1522380.2</v>
      </c>
      <c r="O177" s="797">
        <v>0</v>
      </c>
      <c r="P177" s="797">
        <v>0</v>
      </c>
      <c r="Q177" s="797">
        <v>0</v>
      </c>
      <c r="R177" s="797">
        <f t="shared" si="29"/>
        <v>1522380.2</v>
      </c>
      <c r="S177" s="797">
        <f t="shared" si="30"/>
        <v>3257.124946512623</v>
      </c>
      <c r="T177" s="797">
        <v>4503.95</v>
      </c>
      <c r="U177" s="132" t="s">
        <v>228</v>
      </c>
      <c r="V177" s="144">
        <f t="shared" si="19"/>
        <v>1246.8250534873769</v>
      </c>
      <c r="W177" s="145"/>
    </row>
    <row r="178" spans="1:23" ht="9" customHeight="1">
      <c r="A178" s="794">
        <v>151</v>
      </c>
      <c r="B178" s="169" t="s">
        <v>267</v>
      </c>
      <c r="C178" s="784" t="s">
        <v>1006</v>
      </c>
      <c r="D178" s="784"/>
      <c r="E178" s="794">
        <v>1962</v>
      </c>
      <c r="F178" s="794"/>
      <c r="G178" s="794" t="s">
        <v>88</v>
      </c>
      <c r="H178" s="794">
        <v>2</v>
      </c>
      <c r="I178" s="794">
        <v>1</v>
      </c>
      <c r="J178" s="797">
        <v>262.7</v>
      </c>
      <c r="K178" s="797">
        <v>256.97000000000003</v>
      </c>
      <c r="L178" s="797">
        <v>256.97000000000003</v>
      </c>
      <c r="M178" s="794">
        <v>13</v>
      </c>
      <c r="N178" s="160">
        <f>'Приложение 2'!E181</f>
        <v>917488.63</v>
      </c>
      <c r="O178" s="797">
        <v>0</v>
      </c>
      <c r="P178" s="797">
        <v>0</v>
      </c>
      <c r="Q178" s="797">
        <v>0</v>
      </c>
      <c r="R178" s="797">
        <f t="shared" si="29"/>
        <v>917488.63</v>
      </c>
      <c r="S178" s="797">
        <f t="shared" si="30"/>
        <v>3570.4114488072532</v>
      </c>
      <c r="T178" s="797">
        <v>4503.95</v>
      </c>
      <c r="U178" s="132" t="s">
        <v>228</v>
      </c>
      <c r="V178" s="144">
        <f t="shared" si="19"/>
        <v>933.53855119274658</v>
      </c>
      <c r="W178" s="145"/>
    </row>
    <row r="179" spans="1:23" ht="30" customHeight="1">
      <c r="A179" s="829" t="s">
        <v>441</v>
      </c>
      <c r="B179" s="830"/>
      <c r="C179" s="784"/>
      <c r="D179" s="784"/>
      <c r="E179" s="794" t="s">
        <v>391</v>
      </c>
      <c r="F179" s="794" t="s">
        <v>391</v>
      </c>
      <c r="G179" s="794" t="s">
        <v>391</v>
      </c>
      <c r="H179" s="794" t="s">
        <v>391</v>
      </c>
      <c r="I179" s="794" t="s">
        <v>391</v>
      </c>
      <c r="J179" s="797">
        <f t="shared" ref="J179:R179" si="31">SUM(J175:J178)</f>
        <v>1662.14</v>
      </c>
      <c r="K179" s="797">
        <f t="shared" si="31"/>
        <v>1556.47</v>
      </c>
      <c r="L179" s="797">
        <f t="shared" si="31"/>
        <v>1556.47</v>
      </c>
      <c r="M179" s="130">
        <f t="shared" si="31"/>
        <v>66</v>
      </c>
      <c r="N179" s="797">
        <f t="shared" si="31"/>
        <v>4700387.95</v>
      </c>
      <c r="O179" s="797">
        <f t="shared" si="31"/>
        <v>0</v>
      </c>
      <c r="P179" s="797">
        <f t="shared" si="31"/>
        <v>0</v>
      </c>
      <c r="Q179" s="797">
        <f t="shared" si="31"/>
        <v>0</v>
      </c>
      <c r="R179" s="797">
        <f t="shared" si="31"/>
        <v>4700387.95</v>
      </c>
      <c r="S179" s="797">
        <f>N179/K179</f>
        <v>3019.9026964862801</v>
      </c>
      <c r="T179" s="797"/>
      <c r="U179" s="132"/>
      <c r="V179" s="144">
        <f t="shared" si="19"/>
        <v>-3019.9026964862801</v>
      </c>
      <c r="W179" s="145"/>
    </row>
    <row r="180" spans="1:23" ht="9" customHeight="1">
      <c r="A180" s="837" t="s">
        <v>440</v>
      </c>
      <c r="B180" s="838"/>
      <c r="C180" s="838"/>
      <c r="D180" s="838"/>
      <c r="E180" s="838"/>
      <c r="F180" s="838"/>
      <c r="G180" s="838"/>
      <c r="H180" s="838"/>
      <c r="I180" s="838"/>
      <c r="J180" s="838"/>
      <c r="K180" s="838"/>
      <c r="L180" s="838"/>
      <c r="M180" s="838"/>
      <c r="N180" s="838"/>
      <c r="O180" s="838"/>
      <c r="P180" s="838"/>
      <c r="Q180" s="838"/>
      <c r="R180" s="838"/>
      <c r="S180" s="838"/>
      <c r="T180" s="838"/>
      <c r="U180" s="839"/>
      <c r="V180" s="144">
        <f t="shared" si="19"/>
        <v>0</v>
      </c>
      <c r="W180" s="145"/>
    </row>
    <row r="181" spans="1:23" ht="9" customHeight="1">
      <c r="A181" s="794">
        <v>152</v>
      </c>
      <c r="B181" s="156" t="s">
        <v>269</v>
      </c>
      <c r="C181" s="785" t="s">
        <v>1006</v>
      </c>
      <c r="D181" s="785"/>
      <c r="E181" s="794">
        <v>1950</v>
      </c>
      <c r="F181" s="794"/>
      <c r="G181" s="794" t="s">
        <v>88</v>
      </c>
      <c r="H181" s="794">
        <v>2</v>
      </c>
      <c r="I181" s="794">
        <v>2</v>
      </c>
      <c r="J181" s="797">
        <v>427.5</v>
      </c>
      <c r="K181" s="797">
        <v>400.3</v>
      </c>
      <c r="L181" s="797">
        <v>264</v>
      </c>
      <c r="M181" s="794">
        <v>26</v>
      </c>
      <c r="N181" s="160">
        <f>'Приложение 2'!E184</f>
        <v>1376215.27</v>
      </c>
      <c r="O181" s="797">
        <v>0</v>
      </c>
      <c r="P181" s="797">
        <v>0</v>
      </c>
      <c r="Q181" s="797">
        <v>0</v>
      </c>
      <c r="R181" s="797">
        <f>N181</f>
        <v>1376215.27</v>
      </c>
      <c r="S181" s="797">
        <f>N181/K181</f>
        <v>3437.9597052210843</v>
      </c>
      <c r="T181" s="797">
        <v>4503.95</v>
      </c>
      <c r="U181" s="132" t="s">
        <v>228</v>
      </c>
      <c r="V181" s="144">
        <f t="shared" si="19"/>
        <v>1065.9902947789155</v>
      </c>
      <c r="W181" s="145"/>
    </row>
    <row r="182" spans="1:23" ht="32.25" customHeight="1">
      <c r="A182" s="829" t="s">
        <v>439</v>
      </c>
      <c r="B182" s="830"/>
      <c r="C182" s="784"/>
      <c r="D182" s="784"/>
      <c r="E182" s="794" t="s">
        <v>391</v>
      </c>
      <c r="F182" s="794" t="s">
        <v>391</v>
      </c>
      <c r="G182" s="794" t="s">
        <v>391</v>
      </c>
      <c r="H182" s="794" t="s">
        <v>391</v>
      </c>
      <c r="I182" s="794" t="s">
        <v>391</v>
      </c>
      <c r="J182" s="797">
        <f>J181</f>
        <v>427.5</v>
      </c>
      <c r="K182" s="797">
        <f>K181</f>
        <v>400.3</v>
      </c>
      <c r="L182" s="797">
        <f>L181</f>
        <v>264</v>
      </c>
      <c r="M182" s="794">
        <f>M181</f>
        <v>26</v>
      </c>
      <c r="N182" s="797">
        <f>N181</f>
        <v>1376215.27</v>
      </c>
      <c r="O182" s="797">
        <v>0</v>
      </c>
      <c r="P182" s="797">
        <v>0</v>
      </c>
      <c r="Q182" s="797">
        <v>0</v>
      </c>
      <c r="R182" s="797">
        <f>R181</f>
        <v>1376215.27</v>
      </c>
      <c r="S182" s="797">
        <f>N182/K182</f>
        <v>3437.9597052210843</v>
      </c>
      <c r="T182" s="797"/>
      <c r="U182" s="132"/>
      <c r="V182" s="144">
        <f t="shared" si="19"/>
        <v>-3437.9597052210843</v>
      </c>
      <c r="W182" s="145"/>
    </row>
    <row r="183" spans="1:23" ht="12" customHeight="1">
      <c r="A183" s="821" t="s">
        <v>395</v>
      </c>
      <c r="B183" s="821"/>
      <c r="C183" s="821"/>
      <c r="D183" s="821"/>
      <c r="E183" s="821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821"/>
      <c r="U183" s="821"/>
      <c r="V183" s="144">
        <f t="shared" si="19"/>
        <v>0</v>
      </c>
      <c r="W183" s="145"/>
    </row>
    <row r="184" spans="1:23" ht="9" customHeight="1">
      <c r="A184" s="794">
        <v>153</v>
      </c>
      <c r="B184" s="156" t="s">
        <v>272</v>
      </c>
      <c r="C184" s="785" t="s">
        <v>1005</v>
      </c>
      <c r="D184" s="785"/>
      <c r="E184" s="794">
        <v>1979</v>
      </c>
      <c r="F184" s="794"/>
      <c r="G184" s="794" t="s">
        <v>88</v>
      </c>
      <c r="H184" s="794">
        <v>3</v>
      </c>
      <c r="I184" s="794">
        <v>3</v>
      </c>
      <c r="J184" s="797">
        <v>2583.8000000000002</v>
      </c>
      <c r="K184" s="797">
        <v>1834.5</v>
      </c>
      <c r="L184" s="797">
        <v>1518.2</v>
      </c>
      <c r="M184" s="130">
        <v>89</v>
      </c>
      <c r="N184" s="797">
        <f>'Приложение 2'!E187</f>
        <v>3249956.74</v>
      </c>
      <c r="O184" s="797">
        <v>0</v>
      </c>
      <c r="P184" s="797">
        <v>0</v>
      </c>
      <c r="Q184" s="797">
        <v>0</v>
      </c>
      <c r="R184" s="797">
        <f>N184-Q184</f>
        <v>3249956.74</v>
      </c>
      <c r="S184" s="797">
        <f t="shared" ref="S184:S190" si="32">N184/K184</f>
        <v>1771.5763096211504</v>
      </c>
      <c r="T184" s="797">
        <v>4180</v>
      </c>
      <c r="U184" s="132" t="s">
        <v>228</v>
      </c>
      <c r="V184" s="144">
        <f t="shared" si="19"/>
        <v>2408.4236903788496</v>
      </c>
      <c r="W184" s="145"/>
    </row>
    <row r="185" spans="1:23" ht="9" customHeight="1">
      <c r="A185" s="794">
        <v>154</v>
      </c>
      <c r="B185" s="156" t="s">
        <v>273</v>
      </c>
      <c r="C185" s="785" t="s">
        <v>1006</v>
      </c>
      <c r="D185" s="785"/>
      <c r="E185" s="794">
        <v>1964</v>
      </c>
      <c r="F185" s="794"/>
      <c r="G185" s="794" t="s">
        <v>88</v>
      </c>
      <c r="H185" s="794">
        <v>2</v>
      </c>
      <c r="I185" s="794">
        <v>3</v>
      </c>
      <c r="J185" s="797">
        <v>582.20000000000005</v>
      </c>
      <c r="K185" s="797">
        <v>503.4</v>
      </c>
      <c r="L185" s="797">
        <v>428</v>
      </c>
      <c r="M185" s="130">
        <v>24</v>
      </c>
      <c r="N185" s="797">
        <f>'Приложение 2'!E188</f>
        <v>1695759.88</v>
      </c>
      <c r="O185" s="797">
        <v>0</v>
      </c>
      <c r="P185" s="797">
        <v>0</v>
      </c>
      <c r="Q185" s="797">
        <v>0</v>
      </c>
      <c r="R185" s="797">
        <f t="shared" ref="R185:R190" si="33">N185-Q185</f>
        <v>1695759.88</v>
      </c>
      <c r="S185" s="797">
        <f t="shared" si="32"/>
        <v>3368.6131903059195</v>
      </c>
      <c r="T185" s="797">
        <v>4503.95</v>
      </c>
      <c r="U185" s="132" t="s">
        <v>228</v>
      </c>
      <c r="V185" s="144">
        <f t="shared" si="19"/>
        <v>1135.3368096940803</v>
      </c>
      <c r="W185" s="145"/>
    </row>
    <row r="186" spans="1:23" ht="9" customHeight="1">
      <c r="A186" s="794">
        <v>155</v>
      </c>
      <c r="B186" s="156" t="s">
        <v>274</v>
      </c>
      <c r="C186" s="785" t="s">
        <v>1005</v>
      </c>
      <c r="D186" s="785"/>
      <c r="E186" s="794">
        <v>1985</v>
      </c>
      <c r="F186" s="794"/>
      <c r="G186" s="794" t="s">
        <v>90</v>
      </c>
      <c r="H186" s="794">
        <v>4</v>
      </c>
      <c r="I186" s="794">
        <v>2</v>
      </c>
      <c r="J186" s="797">
        <v>945.6</v>
      </c>
      <c r="K186" s="797">
        <v>849.3</v>
      </c>
      <c r="L186" s="797">
        <v>777.9</v>
      </c>
      <c r="M186" s="130">
        <v>51</v>
      </c>
      <c r="N186" s="797">
        <f>'Приложение 2'!E189</f>
        <v>1470901.88</v>
      </c>
      <c r="O186" s="797">
        <v>0</v>
      </c>
      <c r="P186" s="797">
        <v>0</v>
      </c>
      <c r="Q186" s="797">
        <v>0</v>
      </c>
      <c r="R186" s="797">
        <f t="shared" si="33"/>
        <v>1470901.88</v>
      </c>
      <c r="S186" s="797">
        <f t="shared" si="32"/>
        <v>1731.8990698222065</v>
      </c>
      <c r="T186" s="797">
        <f>IF('Приложение 2'!J189="скатная",3605.25,4180)</f>
        <v>4180</v>
      </c>
      <c r="U186" s="132" t="s">
        <v>228</v>
      </c>
      <c r="V186" s="144">
        <f t="shared" si="19"/>
        <v>2448.1009301777935</v>
      </c>
      <c r="W186" s="145"/>
    </row>
    <row r="187" spans="1:23" ht="9" customHeight="1">
      <c r="A187" s="794">
        <v>156</v>
      </c>
      <c r="B187" s="156" t="s">
        <v>275</v>
      </c>
      <c r="C187" s="785" t="s">
        <v>1005</v>
      </c>
      <c r="D187" s="785"/>
      <c r="E187" s="794">
        <v>1992</v>
      </c>
      <c r="F187" s="794"/>
      <c r="G187" s="794" t="s">
        <v>90</v>
      </c>
      <c r="H187" s="794">
        <v>3</v>
      </c>
      <c r="I187" s="794">
        <v>2</v>
      </c>
      <c r="J187" s="797">
        <v>936.1</v>
      </c>
      <c r="K187" s="797">
        <v>864.6</v>
      </c>
      <c r="L187" s="797">
        <v>813.38</v>
      </c>
      <c r="M187" s="130">
        <v>41</v>
      </c>
      <c r="N187" s="797">
        <f>'Приложение 2'!E190</f>
        <v>1316234.7</v>
      </c>
      <c r="O187" s="797">
        <v>0</v>
      </c>
      <c r="P187" s="797">
        <v>0</v>
      </c>
      <c r="Q187" s="797">
        <v>0</v>
      </c>
      <c r="R187" s="797">
        <f t="shared" si="33"/>
        <v>1316234.7</v>
      </c>
      <c r="S187" s="797">
        <f t="shared" si="32"/>
        <v>1522.3625954198471</v>
      </c>
      <c r="T187" s="797">
        <v>4180</v>
      </c>
      <c r="U187" s="132" t="s">
        <v>228</v>
      </c>
      <c r="V187" s="144">
        <f t="shared" si="19"/>
        <v>2657.6374045801531</v>
      </c>
      <c r="W187" s="145"/>
    </row>
    <row r="188" spans="1:23" ht="9" customHeight="1">
      <c r="A188" s="794">
        <v>157</v>
      </c>
      <c r="B188" s="156" t="s">
        <v>276</v>
      </c>
      <c r="C188" s="785" t="s">
        <v>1005</v>
      </c>
      <c r="D188" s="785"/>
      <c r="E188" s="794">
        <v>1991</v>
      </c>
      <c r="F188" s="794"/>
      <c r="G188" s="794" t="s">
        <v>88</v>
      </c>
      <c r="H188" s="794">
        <v>4</v>
      </c>
      <c r="I188" s="794">
        <v>1</v>
      </c>
      <c r="J188" s="797">
        <v>605.5</v>
      </c>
      <c r="K188" s="797">
        <v>557.4</v>
      </c>
      <c r="L188" s="797">
        <v>490.9</v>
      </c>
      <c r="M188" s="130">
        <v>18</v>
      </c>
      <c r="N188" s="797">
        <f>'Приложение 2'!E191</f>
        <v>763718</v>
      </c>
      <c r="O188" s="797">
        <v>0</v>
      </c>
      <c r="P188" s="797">
        <v>0</v>
      </c>
      <c r="Q188" s="797">
        <v>0</v>
      </c>
      <c r="R188" s="797">
        <f t="shared" si="33"/>
        <v>763718</v>
      </c>
      <c r="S188" s="797">
        <f t="shared" si="32"/>
        <v>1370.1435235019735</v>
      </c>
      <c r="T188" s="797">
        <v>4180</v>
      </c>
      <c r="U188" s="132" t="s">
        <v>228</v>
      </c>
      <c r="V188" s="144">
        <f t="shared" si="19"/>
        <v>2809.8564764980265</v>
      </c>
      <c r="W188" s="145"/>
    </row>
    <row r="189" spans="1:23" ht="9" customHeight="1">
      <c r="A189" s="794">
        <v>158</v>
      </c>
      <c r="B189" s="156" t="s">
        <v>277</v>
      </c>
      <c r="C189" s="785" t="s">
        <v>1005</v>
      </c>
      <c r="D189" s="785"/>
      <c r="E189" s="794">
        <v>1983</v>
      </c>
      <c r="F189" s="794"/>
      <c r="G189" s="794" t="s">
        <v>88</v>
      </c>
      <c r="H189" s="794">
        <v>4</v>
      </c>
      <c r="I189" s="794">
        <v>1</v>
      </c>
      <c r="J189" s="797">
        <v>615.5</v>
      </c>
      <c r="K189" s="797">
        <v>568.29999999999995</v>
      </c>
      <c r="L189" s="797">
        <v>416.3</v>
      </c>
      <c r="M189" s="130">
        <v>24</v>
      </c>
      <c r="N189" s="797">
        <f>'Приложение 2'!E192</f>
        <v>819383.91</v>
      </c>
      <c r="O189" s="797">
        <v>0</v>
      </c>
      <c r="P189" s="797">
        <v>0</v>
      </c>
      <c r="Q189" s="797">
        <v>0</v>
      </c>
      <c r="R189" s="797">
        <f t="shared" si="33"/>
        <v>819383.91</v>
      </c>
      <c r="S189" s="797">
        <f t="shared" si="32"/>
        <v>1441.8157839169455</v>
      </c>
      <c r="T189" s="797">
        <v>4180</v>
      </c>
      <c r="U189" s="132" t="s">
        <v>228</v>
      </c>
      <c r="V189" s="144">
        <f t="shared" si="19"/>
        <v>2738.1842160830547</v>
      </c>
      <c r="W189" s="145"/>
    </row>
    <row r="190" spans="1:23" ht="9" customHeight="1">
      <c r="A190" s="794">
        <v>159</v>
      </c>
      <c r="B190" s="156" t="s">
        <v>278</v>
      </c>
      <c r="C190" s="785" t="s">
        <v>1006</v>
      </c>
      <c r="D190" s="785"/>
      <c r="E190" s="794">
        <v>1976</v>
      </c>
      <c r="F190" s="794"/>
      <c r="G190" s="794" t="s">
        <v>88</v>
      </c>
      <c r="H190" s="794">
        <v>2</v>
      </c>
      <c r="I190" s="794">
        <v>2</v>
      </c>
      <c r="J190" s="797">
        <v>643.20000000000005</v>
      </c>
      <c r="K190" s="797">
        <v>601.70000000000005</v>
      </c>
      <c r="L190" s="797">
        <v>544.15</v>
      </c>
      <c r="M190" s="130">
        <v>27</v>
      </c>
      <c r="N190" s="797">
        <f>'Приложение 2'!E193</f>
        <v>1665435.7</v>
      </c>
      <c r="O190" s="797">
        <v>0</v>
      </c>
      <c r="P190" s="797">
        <v>0</v>
      </c>
      <c r="Q190" s="797">
        <v>0</v>
      </c>
      <c r="R190" s="797">
        <f t="shared" si="33"/>
        <v>1665435.7</v>
      </c>
      <c r="S190" s="797">
        <f t="shared" si="32"/>
        <v>2767.8838291507391</v>
      </c>
      <c r="T190" s="797">
        <v>4503.95</v>
      </c>
      <c r="U190" s="132" t="s">
        <v>228</v>
      </c>
      <c r="V190" s="144">
        <f t="shared" si="19"/>
        <v>1736.0661708492607</v>
      </c>
      <c r="W190" s="145"/>
    </row>
    <row r="191" spans="1:23" ht="9" customHeight="1">
      <c r="A191" s="794">
        <v>160</v>
      </c>
      <c r="B191" s="156" t="s">
        <v>279</v>
      </c>
      <c r="C191" s="785" t="s">
        <v>1006</v>
      </c>
      <c r="D191" s="785"/>
      <c r="E191" s="794">
        <v>1964</v>
      </c>
      <c r="F191" s="794"/>
      <c r="G191" s="794" t="s">
        <v>88</v>
      </c>
      <c r="H191" s="794">
        <v>3</v>
      </c>
      <c r="I191" s="794">
        <v>2</v>
      </c>
      <c r="J191" s="797">
        <v>1014</v>
      </c>
      <c r="K191" s="797">
        <v>966.7</v>
      </c>
      <c r="L191" s="797">
        <v>935.7</v>
      </c>
      <c r="M191" s="130">
        <v>51</v>
      </c>
      <c r="N191" s="797">
        <f>'Приложение 2'!E194</f>
        <v>1784649.94</v>
      </c>
      <c r="O191" s="797">
        <v>0</v>
      </c>
      <c r="P191" s="797">
        <v>0</v>
      </c>
      <c r="Q191" s="797">
        <v>0</v>
      </c>
      <c r="R191" s="797">
        <f t="shared" ref="R191:R198" si="34">N191-Q191</f>
        <v>1784649.94</v>
      </c>
      <c r="S191" s="797">
        <f t="shared" ref="S191:S198" si="35">N191/K191</f>
        <v>1846.1259335884968</v>
      </c>
      <c r="T191" s="797">
        <v>4503.95</v>
      </c>
      <c r="U191" s="132" t="s">
        <v>228</v>
      </c>
      <c r="V191" s="144">
        <f t="shared" si="19"/>
        <v>2657.8240664115028</v>
      </c>
      <c r="W191" s="145"/>
    </row>
    <row r="192" spans="1:23" ht="9" customHeight="1">
      <c r="A192" s="794">
        <v>161</v>
      </c>
      <c r="B192" s="156" t="s">
        <v>280</v>
      </c>
      <c r="C192" s="785" t="s">
        <v>1005</v>
      </c>
      <c r="D192" s="785"/>
      <c r="E192" s="794">
        <v>1977</v>
      </c>
      <c r="F192" s="794"/>
      <c r="G192" s="794" t="s">
        <v>90</v>
      </c>
      <c r="H192" s="794">
        <v>2</v>
      </c>
      <c r="I192" s="794">
        <v>2</v>
      </c>
      <c r="J192" s="797">
        <v>1266.9000000000001</v>
      </c>
      <c r="K192" s="797">
        <v>741.9</v>
      </c>
      <c r="L192" s="797">
        <v>741.9</v>
      </c>
      <c r="M192" s="130">
        <v>35</v>
      </c>
      <c r="N192" s="797">
        <f>'Приложение 2'!E195</f>
        <v>1623962.44</v>
      </c>
      <c r="O192" s="797">
        <v>0</v>
      </c>
      <c r="P192" s="797">
        <v>0</v>
      </c>
      <c r="Q192" s="797">
        <v>0</v>
      </c>
      <c r="R192" s="797">
        <f t="shared" si="34"/>
        <v>1623962.44</v>
      </c>
      <c r="S192" s="797">
        <f t="shared" si="35"/>
        <v>2188.9236285213642</v>
      </c>
      <c r="T192" s="797">
        <v>4180</v>
      </c>
      <c r="U192" s="132" t="s">
        <v>228</v>
      </c>
      <c r="V192" s="144">
        <f t="shared" si="19"/>
        <v>1991.0763714786358</v>
      </c>
      <c r="W192" s="145"/>
    </row>
    <row r="193" spans="1:23" ht="9" customHeight="1">
      <c r="A193" s="794">
        <v>162</v>
      </c>
      <c r="B193" s="156" t="s">
        <v>370</v>
      </c>
      <c r="C193" s="785" t="s">
        <v>1006</v>
      </c>
      <c r="D193" s="785"/>
      <c r="E193" s="794">
        <v>1980</v>
      </c>
      <c r="F193" s="794"/>
      <c r="G193" s="794" t="s">
        <v>88</v>
      </c>
      <c r="H193" s="794">
        <v>2</v>
      </c>
      <c r="I193" s="794">
        <v>3</v>
      </c>
      <c r="J193" s="797">
        <v>1333.2</v>
      </c>
      <c r="K193" s="797">
        <v>914.8</v>
      </c>
      <c r="L193" s="797">
        <v>507.3</v>
      </c>
      <c r="M193" s="130">
        <v>48</v>
      </c>
      <c r="N193" s="797">
        <f>'Приложение 2'!E196</f>
        <v>2069920.05</v>
      </c>
      <c r="O193" s="797">
        <v>0</v>
      </c>
      <c r="P193" s="797">
        <v>0</v>
      </c>
      <c r="Q193" s="797">
        <v>0</v>
      </c>
      <c r="R193" s="797">
        <f t="shared" si="34"/>
        <v>2069920.05</v>
      </c>
      <c r="S193" s="797">
        <f t="shared" si="35"/>
        <v>2262.7022846523832</v>
      </c>
      <c r="T193" s="797">
        <v>4503.95</v>
      </c>
      <c r="U193" s="132" t="s">
        <v>228</v>
      </c>
      <c r="V193" s="144">
        <f t="shared" si="19"/>
        <v>2241.2477153476166</v>
      </c>
      <c r="W193" s="145"/>
    </row>
    <row r="194" spans="1:23" ht="9" customHeight="1">
      <c r="A194" s="794">
        <v>163</v>
      </c>
      <c r="B194" s="156" t="s">
        <v>281</v>
      </c>
      <c r="C194" s="785" t="s">
        <v>1005</v>
      </c>
      <c r="D194" s="785"/>
      <c r="E194" s="794">
        <v>1987</v>
      </c>
      <c r="F194" s="794"/>
      <c r="G194" s="794" t="s">
        <v>88</v>
      </c>
      <c r="H194" s="794">
        <v>3</v>
      </c>
      <c r="I194" s="794">
        <v>1</v>
      </c>
      <c r="J194" s="797">
        <v>1066.7</v>
      </c>
      <c r="K194" s="797">
        <v>914.6</v>
      </c>
      <c r="L194" s="797">
        <v>914.6</v>
      </c>
      <c r="M194" s="130">
        <v>35</v>
      </c>
      <c r="N194" s="797">
        <f>'Приложение 2'!E197</f>
        <v>1871195.32</v>
      </c>
      <c r="O194" s="797">
        <v>0</v>
      </c>
      <c r="P194" s="797">
        <v>0</v>
      </c>
      <c r="Q194" s="797">
        <v>0</v>
      </c>
      <c r="R194" s="797">
        <f t="shared" si="34"/>
        <v>1871195.32</v>
      </c>
      <c r="S194" s="797">
        <f t="shared" si="35"/>
        <v>2045.9165974196371</v>
      </c>
      <c r="T194" s="797">
        <v>4180</v>
      </c>
      <c r="U194" s="132" t="s">
        <v>228</v>
      </c>
      <c r="V194" s="144">
        <f t="shared" si="19"/>
        <v>2134.0834025803629</v>
      </c>
      <c r="W194" s="145"/>
    </row>
    <row r="195" spans="1:23" ht="9" customHeight="1">
      <c r="A195" s="794">
        <v>164</v>
      </c>
      <c r="B195" s="156" t="s">
        <v>282</v>
      </c>
      <c r="C195" s="785" t="s">
        <v>1006</v>
      </c>
      <c r="D195" s="785"/>
      <c r="E195" s="794">
        <v>1975</v>
      </c>
      <c r="F195" s="794"/>
      <c r="G195" s="794" t="s">
        <v>88</v>
      </c>
      <c r="H195" s="794">
        <v>2</v>
      </c>
      <c r="I195" s="794">
        <v>2</v>
      </c>
      <c r="J195" s="797">
        <v>818.9</v>
      </c>
      <c r="K195" s="797">
        <v>739.89</v>
      </c>
      <c r="L195" s="797">
        <v>619.91</v>
      </c>
      <c r="M195" s="130">
        <v>36</v>
      </c>
      <c r="N195" s="797">
        <f>'Приложение 2'!E198</f>
        <v>1858393.84</v>
      </c>
      <c r="O195" s="797">
        <v>0</v>
      </c>
      <c r="P195" s="797">
        <v>0</v>
      </c>
      <c r="Q195" s="797">
        <v>0</v>
      </c>
      <c r="R195" s="797">
        <f t="shared" si="34"/>
        <v>1858393.84</v>
      </c>
      <c r="S195" s="797">
        <f t="shared" si="35"/>
        <v>2511.71639027423</v>
      </c>
      <c r="T195" s="797">
        <f>IF('Приложение 2'!J190="скатная",3605.25,4180)</f>
        <v>4180</v>
      </c>
      <c r="U195" s="132" t="s">
        <v>228</v>
      </c>
      <c r="V195" s="144">
        <f t="shared" si="19"/>
        <v>1668.28360972577</v>
      </c>
      <c r="W195" s="145"/>
    </row>
    <row r="196" spans="1:23" ht="9" customHeight="1">
      <c r="A196" s="794">
        <v>165</v>
      </c>
      <c r="B196" s="156" t="s">
        <v>283</v>
      </c>
      <c r="C196" s="785" t="s">
        <v>1006</v>
      </c>
      <c r="D196" s="785"/>
      <c r="E196" s="794">
        <v>1976</v>
      </c>
      <c r="F196" s="794"/>
      <c r="G196" s="794" t="s">
        <v>88</v>
      </c>
      <c r="H196" s="794">
        <v>2</v>
      </c>
      <c r="I196" s="794">
        <v>3</v>
      </c>
      <c r="J196" s="797">
        <v>1010.1</v>
      </c>
      <c r="K196" s="797">
        <v>902.16</v>
      </c>
      <c r="L196" s="797">
        <v>779.96</v>
      </c>
      <c r="M196" s="130">
        <v>50</v>
      </c>
      <c r="N196" s="797">
        <f>'Приложение 2'!E199</f>
        <v>1992782.87</v>
      </c>
      <c r="O196" s="797">
        <v>0</v>
      </c>
      <c r="P196" s="797">
        <v>0</v>
      </c>
      <c r="Q196" s="797">
        <v>0</v>
      </c>
      <c r="R196" s="797">
        <f t="shared" si="34"/>
        <v>1992782.87</v>
      </c>
      <c r="S196" s="797">
        <f t="shared" si="35"/>
        <v>2208.9018245100651</v>
      </c>
      <c r="T196" s="797">
        <v>4503.95</v>
      </c>
      <c r="U196" s="132" t="s">
        <v>228</v>
      </c>
      <c r="V196" s="144">
        <f t="shared" si="19"/>
        <v>2295.0481754899347</v>
      </c>
      <c r="W196" s="145"/>
    </row>
    <row r="197" spans="1:23" ht="9" customHeight="1">
      <c r="A197" s="794">
        <v>166</v>
      </c>
      <c r="B197" s="156" t="s">
        <v>284</v>
      </c>
      <c r="C197" s="785" t="s">
        <v>1006</v>
      </c>
      <c r="D197" s="785"/>
      <c r="E197" s="794">
        <v>1977</v>
      </c>
      <c r="F197" s="794"/>
      <c r="G197" s="794" t="s">
        <v>88</v>
      </c>
      <c r="H197" s="794">
        <v>2</v>
      </c>
      <c r="I197" s="794">
        <v>1</v>
      </c>
      <c r="J197" s="797">
        <v>421.1</v>
      </c>
      <c r="K197" s="797">
        <v>381.1</v>
      </c>
      <c r="L197" s="797">
        <v>381.1</v>
      </c>
      <c r="M197" s="130">
        <v>11</v>
      </c>
      <c r="N197" s="797">
        <f>'Приложение 2'!E200</f>
        <v>1018363.49</v>
      </c>
      <c r="O197" s="797">
        <v>0</v>
      </c>
      <c r="P197" s="797">
        <v>0</v>
      </c>
      <c r="Q197" s="797">
        <v>0</v>
      </c>
      <c r="R197" s="797">
        <f t="shared" si="34"/>
        <v>1018363.49</v>
      </c>
      <c r="S197" s="797">
        <f t="shared" si="35"/>
        <v>2672.1686958803461</v>
      </c>
      <c r="T197" s="797">
        <v>4503.95</v>
      </c>
      <c r="U197" s="132" t="s">
        <v>228</v>
      </c>
      <c r="V197" s="144">
        <f t="shared" si="19"/>
        <v>1831.7813041196537</v>
      </c>
      <c r="W197" s="145"/>
    </row>
    <row r="198" spans="1:23" ht="9" customHeight="1">
      <c r="A198" s="794">
        <v>167</v>
      </c>
      <c r="B198" s="156" t="s">
        <v>285</v>
      </c>
      <c r="C198" s="785" t="s">
        <v>1006</v>
      </c>
      <c r="D198" s="785"/>
      <c r="E198" s="794">
        <v>1971</v>
      </c>
      <c r="F198" s="794"/>
      <c r="G198" s="794" t="s">
        <v>88</v>
      </c>
      <c r="H198" s="794">
        <v>2</v>
      </c>
      <c r="I198" s="794">
        <v>1</v>
      </c>
      <c r="J198" s="797">
        <v>301.2</v>
      </c>
      <c r="K198" s="797">
        <v>258</v>
      </c>
      <c r="L198" s="797">
        <v>258</v>
      </c>
      <c r="M198" s="130">
        <v>17</v>
      </c>
      <c r="N198" s="797">
        <f>'Приложение 2'!E201</f>
        <v>658998.68000000005</v>
      </c>
      <c r="O198" s="797">
        <v>0</v>
      </c>
      <c r="P198" s="797">
        <v>0</v>
      </c>
      <c r="Q198" s="797">
        <v>0</v>
      </c>
      <c r="R198" s="797">
        <f t="shared" si="34"/>
        <v>658998.68000000005</v>
      </c>
      <c r="S198" s="797">
        <f t="shared" si="35"/>
        <v>2554.2584496124032</v>
      </c>
      <c r="T198" s="797">
        <v>4503.95</v>
      </c>
      <c r="U198" s="132" t="s">
        <v>228</v>
      </c>
      <c r="V198" s="144">
        <f t="shared" si="19"/>
        <v>1949.6915503875966</v>
      </c>
      <c r="W198" s="145"/>
    </row>
    <row r="199" spans="1:23" ht="22.5" customHeight="1">
      <c r="A199" s="822" t="s">
        <v>271</v>
      </c>
      <c r="B199" s="822"/>
      <c r="C199" s="785"/>
      <c r="D199" s="785"/>
      <c r="E199" s="141" t="s">
        <v>391</v>
      </c>
      <c r="F199" s="141" t="s">
        <v>391</v>
      </c>
      <c r="G199" s="141" t="s">
        <v>391</v>
      </c>
      <c r="H199" s="141" t="s">
        <v>391</v>
      </c>
      <c r="I199" s="141" t="s">
        <v>391</v>
      </c>
      <c r="J199" s="797">
        <f t="shared" ref="J199:R199" si="36">SUM(J184:J198)</f>
        <v>14144.000000000004</v>
      </c>
      <c r="K199" s="797">
        <f t="shared" si="36"/>
        <v>11598.349999999999</v>
      </c>
      <c r="L199" s="797">
        <f t="shared" si="36"/>
        <v>10127.300000000001</v>
      </c>
      <c r="M199" s="130">
        <f t="shared" si="36"/>
        <v>557</v>
      </c>
      <c r="N199" s="797">
        <f t="shared" si="36"/>
        <v>23859657.439999998</v>
      </c>
      <c r="O199" s="797">
        <f t="shared" si="36"/>
        <v>0</v>
      </c>
      <c r="P199" s="797">
        <f t="shared" si="36"/>
        <v>0</v>
      </c>
      <c r="Q199" s="797">
        <f t="shared" si="36"/>
        <v>0</v>
      </c>
      <c r="R199" s="797">
        <f t="shared" si="36"/>
        <v>23859657.439999998</v>
      </c>
      <c r="S199" s="797">
        <f>N199/K199</f>
        <v>2057.1596339134448</v>
      </c>
      <c r="T199" s="794"/>
      <c r="U199" s="132"/>
      <c r="V199" s="144">
        <f t="shared" si="19"/>
        <v>-2057.1596339134448</v>
      </c>
      <c r="W199" s="145"/>
    </row>
    <row r="200" spans="1:23" ht="12.75" customHeight="1">
      <c r="A200" s="833" t="s">
        <v>445</v>
      </c>
      <c r="B200" s="834"/>
      <c r="C200" s="834"/>
      <c r="D200" s="834"/>
      <c r="E200" s="834"/>
      <c r="F200" s="834"/>
      <c r="G200" s="834"/>
      <c r="H200" s="834"/>
      <c r="I200" s="834"/>
      <c r="J200" s="834"/>
      <c r="K200" s="834"/>
      <c r="L200" s="834"/>
      <c r="M200" s="834"/>
      <c r="N200" s="834"/>
      <c r="O200" s="834"/>
      <c r="P200" s="834"/>
      <c r="Q200" s="834"/>
      <c r="R200" s="834"/>
      <c r="S200" s="834"/>
      <c r="T200" s="834"/>
      <c r="U200" s="835"/>
      <c r="V200" s="144">
        <f t="shared" si="19"/>
        <v>0</v>
      </c>
      <c r="W200" s="145"/>
    </row>
    <row r="201" spans="1:23" ht="9" customHeight="1">
      <c r="A201" s="166">
        <v>168</v>
      </c>
      <c r="B201" s="170" t="s">
        <v>286</v>
      </c>
      <c r="C201" s="787" t="s">
        <v>1006</v>
      </c>
      <c r="D201" s="787"/>
      <c r="E201" s="166">
        <v>1979</v>
      </c>
      <c r="F201" s="166"/>
      <c r="G201" s="166" t="s">
        <v>88</v>
      </c>
      <c r="H201" s="166">
        <v>2</v>
      </c>
      <c r="I201" s="166">
        <v>3</v>
      </c>
      <c r="J201" s="167">
        <v>983.1</v>
      </c>
      <c r="K201" s="167">
        <v>867</v>
      </c>
      <c r="L201" s="167">
        <v>867</v>
      </c>
      <c r="M201" s="166">
        <v>49</v>
      </c>
      <c r="N201" s="167">
        <f>'Приложение 2'!E204</f>
        <v>2215999.62</v>
      </c>
      <c r="O201" s="167">
        <v>0</v>
      </c>
      <c r="P201" s="167">
        <v>0</v>
      </c>
      <c r="Q201" s="167">
        <v>0</v>
      </c>
      <c r="R201" s="167">
        <f>N201-Q201</f>
        <v>2215999.62</v>
      </c>
      <c r="S201" s="797">
        <f>N201/K201</f>
        <v>2555.9395847750866</v>
      </c>
      <c r="T201" s="797">
        <v>4503.95</v>
      </c>
      <c r="U201" s="132" t="s">
        <v>228</v>
      </c>
      <c r="V201" s="144">
        <f t="shared" si="19"/>
        <v>1948.0104152249132</v>
      </c>
      <c r="W201" s="145"/>
    </row>
    <row r="202" spans="1:23" ht="9" customHeight="1">
      <c r="A202" s="166">
        <v>169</v>
      </c>
      <c r="B202" s="170" t="s">
        <v>287</v>
      </c>
      <c r="C202" s="787" t="s">
        <v>1005</v>
      </c>
      <c r="D202" s="787"/>
      <c r="E202" s="166">
        <v>1975</v>
      </c>
      <c r="F202" s="166"/>
      <c r="G202" s="166" t="s">
        <v>88</v>
      </c>
      <c r="H202" s="166" t="s">
        <v>73</v>
      </c>
      <c r="I202" s="166">
        <v>2</v>
      </c>
      <c r="J202" s="167">
        <v>659.2</v>
      </c>
      <c r="K202" s="167">
        <v>580.20000000000005</v>
      </c>
      <c r="L202" s="167">
        <v>580.20000000000005</v>
      </c>
      <c r="M202" s="166">
        <v>24</v>
      </c>
      <c r="N202" s="167">
        <f>'Приложение 2'!E205</f>
        <v>1494546.33</v>
      </c>
      <c r="O202" s="167">
        <v>0</v>
      </c>
      <c r="P202" s="167">
        <v>0</v>
      </c>
      <c r="Q202" s="167">
        <v>0</v>
      </c>
      <c r="R202" s="167">
        <f>N202-Q202</f>
        <v>1494546.33</v>
      </c>
      <c r="S202" s="797">
        <f t="shared" ref="S202" si="37">N202/K202</f>
        <v>2575.9157704239915</v>
      </c>
      <c r="T202" s="797">
        <v>4180</v>
      </c>
      <c r="U202" s="132" t="s">
        <v>228</v>
      </c>
      <c r="V202" s="144">
        <f t="shared" si="19"/>
        <v>1604.0842295760085</v>
      </c>
      <c r="W202" s="145"/>
    </row>
    <row r="203" spans="1:23" ht="24.75" customHeight="1">
      <c r="A203" s="831" t="s">
        <v>446</v>
      </c>
      <c r="B203" s="832"/>
      <c r="C203" s="793"/>
      <c r="D203" s="793"/>
      <c r="E203" s="166" t="s">
        <v>391</v>
      </c>
      <c r="F203" s="166" t="s">
        <v>391</v>
      </c>
      <c r="G203" s="166" t="s">
        <v>391</v>
      </c>
      <c r="H203" s="166" t="s">
        <v>391</v>
      </c>
      <c r="I203" s="166" t="s">
        <v>391</v>
      </c>
      <c r="J203" s="167">
        <f t="shared" ref="J203:R203" si="38">SUM(J201:J202)</f>
        <v>1642.3000000000002</v>
      </c>
      <c r="K203" s="167">
        <f t="shared" si="38"/>
        <v>1447.2</v>
      </c>
      <c r="L203" s="167">
        <f t="shared" si="38"/>
        <v>1447.2</v>
      </c>
      <c r="M203" s="130">
        <f t="shared" si="38"/>
        <v>73</v>
      </c>
      <c r="N203" s="167">
        <f t="shared" si="38"/>
        <v>3710545.95</v>
      </c>
      <c r="O203" s="167">
        <f t="shared" si="38"/>
        <v>0</v>
      </c>
      <c r="P203" s="167">
        <f t="shared" si="38"/>
        <v>0</v>
      </c>
      <c r="Q203" s="167">
        <f t="shared" si="38"/>
        <v>0</v>
      </c>
      <c r="R203" s="167">
        <f t="shared" si="38"/>
        <v>3710545.95</v>
      </c>
      <c r="S203" s="797">
        <f>N203/K203</f>
        <v>2563.9482794361525</v>
      </c>
      <c r="T203" s="797"/>
      <c r="U203" s="166"/>
      <c r="V203" s="144">
        <f t="shared" si="19"/>
        <v>-2563.9482794361525</v>
      </c>
      <c r="W203" s="145"/>
    </row>
    <row r="204" spans="1:23" s="171" customFormat="1" ht="12" customHeight="1">
      <c r="A204" s="823" t="s">
        <v>397</v>
      </c>
      <c r="B204" s="823"/>
      <c r="C204" s="823"/>
      <c r="D204" s="823"/>
      <c r="E204" s="823"/>
      <c r="F204" s="823"/>
      <c r="G204" s="823"/>
      <c r="H204" s="823"/>
      <c r="I204" s="823"/>
      <c r="J204" s="823"/>
      <c r="K204" s="823"/>
      <c r="L204" s="823"/>
      <c r="M204" s="823"/>
      <c r="N204" s="823"/>
      <c r="O204" s="823"/>
      <c r="P204" s="823"/>
      <c r="Q204" s="823"/>
      <c r="R204" s="823"/>
      <c r="S204" s="823"/>
      <c r="T204" s="823"/>
      <c r="U204" s="823"/>
      <c r="V204" s="144">
        <f t="shared" si="19"/>
        <v>0</v>
      </c>
      <c r="W204" s="145"/>
    </row>
    <row r="205" spans="1:23" s="171" customFormat="1" ht="9" customHeight="1">
      <c r="A205" s="166">
        <v>170</v>
      </c>
      <c r="B205" s="787" t="s">
        <v>292</v>
      </c>
      <c r="C205" s="166" t="s">
        <v>1006</v>
      </c>
      <c r="D205" s="166"/>
      <c r="E205" s="166">
        <v>1968</v>
      </c>
      <c r="F205" s="166"/>
      <c r="G205" s="166" t="s">
        <v>88</v>
      </c>
      <c r="H205" s="166">
        <v>2</v>
      </c>
      <c r="I205" s="166">
        <v>2</v>
      </c>
      <c r="J205" s="167">
        <v>828.7</v>
      </c>
      <c r="K205" s="167">
        <v>747.1</v>
      </c>
      <c r="L205" s="167">
        <v>747.1</v>
      </c>
      <c r="M205" s="166">
        <v>65</v>
      </c>
      <c r="N205" s="167">
        <f>'Приложение 2'!E208</f>
        <v>1919938.68</v>
      </c>
      <c r="O205" s="167">
        <v>0</v>
      </c>
      <c r="P205" s="167">
        <v>0</v>
      </c>
      <c r="Q205" s="167">
        <v>0</v>
      </c>
      <c r="R205" s="167">
        <f>N205-Q205</f>
        <v>1919938.68</v>
      </c>
      <c r="S205" s="797">
        <f t="shared" ref="S205" si="39">N205/K205</f>
        <v>2569.8550127158346</v>
      </c>
      <c r="T205" s="797">
        <v>4503.95</v>
      </c>
      <c r="U205" s="132" t="s">
        <v>228</v>
      </c>
      <c r="V205" s="144">
        <f t="shared" si="19"/>
        <v>1934.0949872841652</v>
      </c>
      <c r="W205" s="145"/>
    </row>
    <row r="206" spans="1:23" ht="21.75" customHeight="1">
      <c r="A206" s="865" t="s">
        <v>398</v>
      </c>
      <c r="B206" s="865"/>
      <c r="C206" s="172"/>
      <c r="D206" s="172"/>
      <c r="E206" s="172" t="s">
        <v>391</v>
      </c>
      <c r="F206" s="172" t="s">
        <v>391</v>
      </c>
      <c r="G206" s="172" t="s">
        <v>391</v>
      </c>
      <c r="H206" s="172" t="s">
        <v>391</v>
      </c>
      <c r="I206" s="172" t="s">
        <v>391</v>
      </c>
      <c r="J206" s="173">
        <f t="shared" ref="J206:P206" si="40">SUM(J205:J205)</f>
        <v>828.7</v>
      </c>
      <c r="K206" s="173">
        <f t="shared" si="40"/>
        <v>747.1</v>
      </c>
      <c r="L206" s="173">
        <f t="shared" si="40"/>
        <v>747.1</v>
      </c>
      <c r="M206" s="130">
        <f t="shared" si="40"/>
        <v>65</v>
      </c>
      <c r="N206" s="173">
        <f t="shared" si="40"/>
        <v>1919938.68</v>
      </c>
      <c r="O206" s="173">
        <f t="shared" si="40"/>
        <v>0</v>
      </c>
      <c r="P206" s="173">
        <f t="shared" si="40"/>
        <v>0</v>
      </c>
      <c r="Q206" s="173">
        <f>SUM(Q205:Q205)</f>
        <v>0</v>
      </c>
      <c r="R206" s="173">
        <f>SUM(R205:R205)</f>
        <v>1919938.68</v>
      </c>
      <c r="S206" s="162">
        <f>N206/K206</f>
        <v>2569.8550127158346</v>
      </c>
      <c r="T206" s="162"/>
      <c r="U206" s="172"/>
      <c r="V206" s="144">
        <f t="shared" si="19"/>
        <v>-2569.8550127158346</v>
      </c>
      <c r="W206" s="145"/>
    </row>
    <row r="207" spans="1:23" ht="14.25" customHeight="1">
      <c r="A207" s="837" t="s">
        <v>442</v>
      </c>
      <c r="B207" s="838"/>
      <c r="C207" s="838"/>
      <c r="D207" s="838"/>
      <c r="E207" s="838"/>
      <c r="F207" s="838"/>
      <c r="G207" s="838"/>
      <c r="H207" s="838"/>
      <c r="I207" s="838"/>
      <c r="J207" s="838"/>
      <c r="K207" s="838"/>
      <c r="L207" s="838"/>
      <c r="M207" s="838"/>
      <c r="N207" s="838"/>
      <c r="O207" s="838"/>
      <c r="P207" s="838"/>
      <c r="Q207" s="838"/>
      <c r="R207" s="838"/>
      <c r="S207" s="838"/>
      <c r="T207" s="838"/>
      <c r="U207" s="839"/>
      <c r="V207" s="144">
        <f t="shared" si="19"/>
        <v>0</v>
      </c>
      <c r="W207" s="145"/>
    </row>
    <row r="208" spans="1:23" ht="9" customHeight="1">
      <c r="A208" s="794">
        <v>171</v>
      </c>
      <c r="B208" s="156" t="s">
        <v>289</v>
      </c>
      <c r="C208" s="785" t="s">
        <v>1012</v>
      </c>
      <c r="D208" s="785"/>
      <c r="E208" s="794">
        <v>1983</v>
      </c>
      <c r="F208" s="794"/>
      <c r="G208" s="794" t="s">
        <v>88</v>
      </c>
      <c r="H208" s="794">
        <v>3</v>
      </c>
      <c r="I208" s="794">
        <v>3</v>
      </c>
      <c r="J208" s="797">
        <v>1670.6</v>
      </c>
      <c r="K208" s="797">
        <v>1223.42</v>
      </c>
      <c r="L208" s="797">
        <v>404.3</v>
      </c>
      <c r="M208" s="794">
        <v>43</v>
      </c>
      <c r="N208" s="160">
        <f>'Приложение 2'!E210</f>
        <v>2556075.09</v>
      </c>
      <c r="O208" s="797">
        <v>0</v>
      </c>
      <c r="P208" s="797">
        <v>0</v>
      </c>
      <c r="Q208" s="797">
        <v>0</v>
      </c>
      <c r="R208" s="797">
        <f>N208</f>
        <v>2556075.09</v>
      </c>
      <c r="S208" s="797">
        <f t="shared" ref="S208" si="41">N208/K208</f>
        <v>2089.2866636151116</v>
      </c>
      <c r="T208" s="797">
        <v>5307.56</v>
      </c>
      <c r="U208" s="132" t="s">
        <v>228</v>
      </c>
      <c r="V208" s="144">
        <f t="shared" si="19"/>
        <v>3218.2733363848888</v>
      </c>
      <c r="W208" s="145"/>
    </row>
    <row r="209" spans="1:23" ht="29.25" customHeight="1">
      <c r="A209" s="829" t="s">
        <v>443</v>
      </c>
      <c r="B209" s="830"/>
      <c r="C209" s="784"/>
      <c r="D209" s="784"/>
      <c r="E209" s="794" t="s">
        <v>391</v>
      </c>
      <c r="F209" s="794" t="s">
        <v>391</v>
      </c>
      <c r="G209" s="794" t="s">
        <v>391</v>
      </c>
      <c r="H209" s="794" t="s">
        <v>391</v>
      </c>
      <c r="I209" s="794" t="s">
        <v>391</v>
      </c>
      <c r="J209" s="797">
        <f t="shared" ref="J209:R209" si="42">SUM(J208:J208)</f>
        <v>1670.6</v>
      </c>
      <c r="K209" s="797">
        <f t="shared" si="42"/>
        <v>1223.42</v>
      </c>
      <c r="L209" s="797">
        <f t="shared" si="42"/>
        <v>404.3</v>
      </c>
      <c r="M209" s="130">
        <f t="shared" si="42"/>
        <v>43</v>
      </c>
      <c r="N209" s="797">
        <f t="shared" si="42"/>
        <v>2556075.09</v>
      </c>
      <c r="O209" s="797">
        <f t="shared" si="42"/>
        <v>0</v>
      </c>
      <c r="P209" s="797">
        <f t="shared" si="42"/>
        <v>0</v>
      </c>
      <c r="Q209" s="797">
        <f t="shared" si="42"/>
        <v>0</v>
      </c>
      <c r="R209" s="797">
        <f t="shared" si="42"/>
        <v>2556075.09</v>
      </c>
      <c r="S209" s="797">
        <f>N209/K209</f>
        <v>2089.2866636151116</v>
      </c>
      <c r="T209" s="797"/>
      <c r="U209" s="132"/>
      <c r="V209" s="144">
        <f t="shared" si="19"/>
        <v>-2089.2866636151116</v>
      </c>
      <c r="W209" s="145"/>
    </row>
    <row r="210" spans="1:23" ht="9" customHeight="1">
      <c r="A210" s="833" t="s">
        <v>435</v>
      </c>
      <c r="B210" s="834"/>
      <c r="C210" s="834"/>
      <c r="D210" s="834"/>
      <c r="E210" s="834"/>
      <c r="F210" s="834"/>
      <c r="G210" s="834"/>
      <c r="H210" s="834"/>
      <c r="I210" s="834"/>
      <c r="J210" s="834"/>
      <c r="K210" s="834"/>
      <c r="L210" s="834"/>
      <c r="M210" s="834"/>
      <c r="N210" s="834"/>
      <c r="O210" s="834"/>
      <c r="P210" s="834"/>
      <c r="Q210" s="834"/>
      <c r="R210" s="834"/>
      <c r="S210" s="834"/>
      <c r="T210" s="834"/>
      <c r="U210" s="835"/>
      <c r="V210" s="144">
        <f t="shared" ref="V210:V273" si="43">T210-S210</f>
        <v>0</v>
      </c>
      <c r="W210" s="145"/>
    </row>
    <row r="211" spans="1:23" ht="9" customHeight="1">
      <c r="A211" s="166">
        <v>172</v>
      </c>
      <c r="B211" s="156" t="s">
        <v>293</v>
      </c>
      <c r="C211" s="785" t="s">
        <v>1006</v>
      </c>
      <c r="D211" s="785"/>
      <c r="E211" s="794">
        <v>1963</v>
      </c>
      <c r="F211" s="794"/>
      <c r="G211" s="794" t="s">
        <v>88</v>
      </c>
      <c r="H211" s="794" t="s">
        <v>73</v>
      </c>
      <c r="I211" s="794">
        <v>3</v>
      </c>
      <c r="J211" s="797">
        <v>555.5</v>
      </c>
      <c r="K211" s="797">
        <v>495</v>
      </c>
      <c r="L211" s="797">
        <v>444.2</v>
      </c>
      <c r="M211" s="794">
        <v>28</v>
      </c>
      <c r="N211" s="167">
        <f>'Приложение 2'!E214</f>
        <v>1578614.91</v>
      </c>
      <c r="O211" s="797">
        <v>0</v>
      </c>
      <c r="P211" s="797">
        <v>0</v>
      </c>
      <c r="Q211" s="797">
        <v>0</v>
      </c>
      <c r="R211" s="797">
        <f>N211</f>
        <v>1578614.91</v>
      </c>
      <c r="S211" s="797">
        <f>N211/K211</f>
        <v>3189.1210303030302</v>
      </c>
      <c r="T211" s="797">
        <v>4503.95</v>
      </c>
      <c r="U211" s="132" t="s">
        <v>228</v>
      </c>
      <c r="V211" s="144">
        <f t="shared" si="43"/>
        <v>1314.8289696969696</v>
      </c>
      <c r="W211" s="145"/>
    </row>
    <row r="212" spans="1:23" ht="9" customHeight="1">
      <c r="A212" s="166">
        <v>173</v>
      </c>
      <c r="B212" s="156" t="s">
        <v>294</v>
      </c>
      <c r="C212" s="785" t="s">
        <v>1006</v>
      </c>
      <c r="D212" s="785"/>
      <c r="E212" s="794">
        <v>1971</v>
      </c>
      <c r="F212" s="794"/>
      <c r="G212" s="794" t="s">
        <v>88</v>
      </c>
      <c r="H212" s="794" t="s">
        <v>73</v>
      </c>
      <c r="I212" s="794" t="s">
        <v>73</v>
      </c>
      <c r="J212" s="797">
        <v>542.6</v>
      </c>
      <c r="K212" s="797">
        <v>480.3</v>
      </c>
      <c r="L212" s="797">
        <v>480.3</v>
      </c>
      <c r="M212" s="794">
        <v>18</v>
      </c>
      <c r="N212" s="167">
        <f>'Приложение 2'!E215</f>
        <v>1431961.9</v>
      </c>
      <c r="O212" s="797">
        <v>0</v>
      </c>
      <c r="P212" s="797">
        <v>0</v>
      </c>
      <c r="Q212" s="797">
        <v>0</v>
      </c>
      <c r="R212" s="797">
        <f>N212</f>
        <v>1431961.9</v>
      </c>
      <c r="S212" s="797">
        <f>N212/K212</f>
        <v>2981.3905892150738</v>
      </c>
      <c r="T212" s="797">
        <v>4503.95</v>
      </c>
      <c r="U212" s="174" t="s">
        <v>228</v>
      </c>
      <c r="V212" s="144">
        <f t="shared" si="43"/>
        <v>1522.5594107849261</v>
      </c>
      <c r="W212" s="145"/>
    </row>
    <row r="213" spans="1:23" ht="30.75" customHeight="1">
      <c r="A213" s="829" t="s">
        <v>436</v>
      </c>
      <c r="B213" s="830"/>
      <c r="C213" s="784"/>
      <c r="D213" s="784"/>
      <c r="E213" s="166" t="s">
        <v>391</v>
      </c>
      <c r="F213" s="166" t="s">
        <v>391</v>
      </c>
      <c r="G213" s="166" t="s">
        <v>391</v>
      </c>
      <c r="H213" s="166" t="s">
        <v>391</v>
      </c>
      <c r="I213" s="166" t="s">
        <v>391</v>
      </c>
      <c r="J213" s="167">
        <f t="shared" ref="J213:R213" si="44">SUM(J211:J212)</f>
        <v>1098.0999999999999</v>
      </c>
      <c r="K213" s="167">
        <f t="shared" si="44"/>
        <v>975.3</v>
      </c>
      <c r="L213" s="167">
        <f t="shared" si="44"/>
        <v>924.5</v>
      </c>
      <c r="M213" s="130">
        <f t="shared" si="44"/>
        <v>46</v>
      </c>
      <c r="N213" s="167">
        <f t="shared" si="44"/>
        <v>3010576.8099999996</v>
      </c>
      <c r="O213" s="167">
        <f t="shared" si="44"/>
        <v>0</v>
      </c>
      <c r="P213" s="167">
        <f t="shared" si="44"/>
        <v>0</v>
      </c>
      <c r="Q213" s="167">
        <f t="shared" si="44"/>
        <v>0</v>
      </c>
      <c r="R213" s="167">
        <f t="shared" si="44"/>
        <v>3010576.8099999996</v>
      </c>
      <c r="S213" s="797">
        <f>N213/K213</f>
        <v>3086.8212960114834</v>
      </c>
      <c r="T213" s="797"/>
      <c r="U213" s="166"/>
      <c r="V213" s="144">
        <f t="shared" si="43"/>
        <v>-3086.8212960114834</v>
      </c>
      <c r="W213" s="145"/>
    </row>
    <row r="214" spans="1:23" ht="9" customHeight="1">
      <c r="A214" s="837" t="s">
        <v>1085</v>
      </c>
      <c r="B214" s="838"/>
      <c r="C214" s="838"/>
      <c r="D214" s="838"/>
      <c r="E214" s="838"/>
      <c r="F214" s="838"/>
      <c r="G214" s="838"/>
      <c r="H214" s="838"/>
      <c r="I214" s="838"/>
      <c r="J214" s="838"/>
      <c r="K214" s="838"/>
      <c r="L214" s="838"/>
      <c r="M214" s="838"/>
      <c r="N214" s="838"/>
      <c r="O214" s="838"/>
      <c r="P214" s="838"/>
      <c r="Q214" s="838"/>
      <c r="R214" s="838"/>
      <c r="S214" s="838"/>
      <c r="T214" s="838"/>
      <c r="U214" s="839"/>
      <c r="V214" s="144">
        <f t="shared" si="43"/>
        <v>0</v>
      </c>
      <c r="W214" s="145"/>
    </row>
    <row r="215" spans="1:23" ht="9" customHeight="1">
      <c r="A215" s="794">
        <v>174</v>
      </c>
      <c r="B215" s="156" t="s">
        <v>373</v>
      </c>
      <c r="C215" s="785" t="s">
        <v>1005</v>
      </c>
      <c r="D215" s="785"/>
      <c r="E215" s="794">
        <v>1980</v>
      </c>
      <c r="F215" s="794"/>
      <c r="G215" s="794" t="s">
        <v>90</v>
      </c>
      <c r="H215" s="794">
        <v>5</v>
      </c>
      <c r="I215" s="794">
        <v>1</v>
      </c>
      <c r="J215" s="797">
        <v>2513.1</v>
      </c>
      <c r="K215" s="797">
        <v>2135.1</v>
      </c>
      <c r="L215" s="797">
        <v>2135.1</v>
      </c>
      <c r="M215" s="794">
        <v>123</v>
      </c>
      <c r="N215" s="797">
        <f>'Приложение 2'!E218</f>
        <v>1594069.23</v>
      </c>
      <c r="O215" s="797">
        <v>0</v>
      </c>
      <c r="P215" s="797">
        <v>0</v>
      </c>
      <c r="Q215" s="797">
        <v>0</v>
      </c>
      <c r="R215" s="797">
        <f>N215</f>
        <v>1594069.23</v>
      </c>
      <c r="S215" s="797">
        <f>N215/K215</f>
        <v>746.6016720528313</v>
      </c>
      <c r="T215" s="797">
        <v>4180</v>
      </c>
      <c r="U215" s="174" t="s">
        <v>228</v>
      </c>
      <c r="V215" s="144">
        <f t="shared" si="43"/>
        <v>3433.3983279471686</v>
      </c>
      <c r="W215" s="145"/>
    </row>
    <row r="216" spans="1:23" ht="31.5" customHeight="1">
      <c r="A216" s="866" t="s">
        <v>1086</v>
      </c>
      <c r="B216" s="867"/>
      <c r="C216" s="792"/>
      <c r="D216" s="792"/>
      <c r="E216" s="800" t="s">
        <v>391</v>
      </c>
      <c r="F216" s="800" t="s">
        <v>391</v>
      </c>
      <c r="G216" s="800" t="s">
        <v>391</v>
      </c>
      <c r="H216" s="800" t="s">
        <v>391</v>
      </c>
      <c r="I216" s="800" t="s">
        <v>391</v>
      </c>
      <c r="J216" s="175">
        <f t="shared" ref="J216:R216" si="45">SUM(J215:J215)</f>
        <v>2513.1</v>
      </c>
      <c r="K216" s="175">
        <f t="shared" si="45"/>
        <v>2135.1</v>
      </c>
      <c r="L216" s="175">
        <f t="shared" si="45"/>
        <v>2135.1</v>
      </c>
      <c r="M216" s="130">
        <f t="shared" si="45"/>
        <v>123</v>
      </c>
      <c r="N216" s="175">
        <f t="shared" si="45"/>
        <v>1594069.23</v>
      </c>
      <c r="O216" s="175">
        <f t="shared" si="45"/>
        <v>0</v>
      </c>
      <c r="P216" s="175">
        <f t="shared" si="45"/>
        <v>0</v>
      </c>
      <c r="Q216" s="175">
        <f t="shared" si="45"/>
        <v>0</v>
      </c>
      <c r="R216" s="175">
        <f t="shared" si="45"/>
        <v>1594069.23</v>
      </c>
      <c r="S216" s="175">
        <f>N216/K216</f>
        <v>746.6016720528313</v>
      </c>
      <c r="T216" s="175"/>
      <c r="U216" s="176"/>
      <c r="V216" s="144">
        <f t="shared" si="43"/>
        <v>-746.6016720528313</v>
      </c>
      <c r="W216" s="145"/>
    </row>
    <row r="217" spans="1:23" s="159" customFormat="1" ht="9" customHeight="1">
      <c r="A217" s="821" t="s">
        <v>409</v>
      </c>
      <c r="B217" s="821"/>
      <c r="C217" s="821"/>
      <c r="D217" s="821"/>
      <c r="E217" s="821"/>
      <c r="F217" s="821"/>
      <c r="G217" s="821"/>
      <c r="H217" s="821"/>
      <c r="I217" s="821"/>
      <c r="J217" s="821"/>
      <c r="K217" s="821"/>
      <c r="L217" s="821"/>
      <c r="M217" s="821"/>
      <c r="N217" s="821"/>
      <c r="O217" s="821"/>
      <c r="P217" s="821"/>
      <c r="Q217" s="821"/>
      <c r="R217" s="821"/>
      <c r="S217" s="821"/>
      <c r="T217" s="821"/>
      <c r="U217" s="821"/>
      <c r="V217" s="144">
        <f t="shared" si="43"/>
        <v>0</v>
      </c>
      <c r="W217" s="145"/>
    </row>
    <row r="218" spans="1:23" s="159" customFormat="1" ht="9" customHeight="1">
      <c r="A218" s="785">
        <v>175</v>
      </c>
      <c r="B218" s="156" t="s">
        <v>319</v>
      </c>
      <c r="C218" s="785" t="s">
        <v>1006</v>
      </c>
      <c r="D218" s="785"/>
      <c r="E218" s="794">
        <v>1964</v>
      </c>
      <c r="F218" s="794"/>
      <c r="G218" s="794" t="s">
        <v>88</v>
      </c>
      <c r="H218" s="794">
        <v>2</v>
      </c>
      <c r="I218" s="794">
        <v>2</v>
      </c>
      <c r="J218" s="149">
        <v>419.5</v>
      </c>
      <c r="K218" s="149">
        <v>399.3</v>
      </c>
      <c r="L218" s="149">
        <v>399.3</v>
      </c>
      <c r="M218" s="794">
        <v>21</v>
      </c>
      <c r="N218" s="797">
        <f>'Приложение 2'!E221</f>
        <v>915711.45</v>
      </c>
      <c r="O218" s="797">
        <v>0</v>
      </c>
      <c r="P218" s="797">
        <v>0</v>
      </c>
      <c r="Q218" s="797">
        <v>0</v>
      </c>
      <c r="R218" s="797">
        <f>N218</f>
        <v>915711.45</v>
      </c>
      <c r="S218" s="797">
        <f>N218/K218</f>
        <v>2293.2918858001499</v>
      </c>
      <c r="T218" s="797">
        <v>4503.95</v>
      </c>
      <c r="U218" s="174" t="s">
        <v>228</v>
      </c>
      <c r="V218" s="144">
        <f t="shared" si="43"/>
        <v>2210.6581141998499</v>
      </c>
      <c r="W218" s="145">
        <v>915711.45000000007</v>
      </c>
    </row>
    <row r="219" spans="1:23" s="159" customFormat="1" ht="25.5" customHeight="1">
      <c r="A219" s="864" t="s">
        <v>410</v>
      </c>
      <c r="B219" s="864"/>
      <c r="C219" s="796"/>
      <c r="D219" s="796"/>
      <c r="E219" s="801" t="s">
        <v>391</v>
      </c>
      <c r="F219" s="801" t="s">
        <v>391</v>
      </c>
      <c r="G219" s="801" t="s">
        <v>391</v>
      </c>
      <c r="H219" s="801" t="s">
        <v>391</v>
      </c>
      <c r="I219" s="801" t="s">
        <v>391</v>
      </c>
      <c r="J219" s="162">
        <f t="shared" ref="J219:R219" si="46">SUM(J218:J218)</f>
        <v>419.5</v>
      </c>
      <c r="K219" s="162">
        <f t="shared" si="46"/>
        <v>399.3</v>
      </c>
      <c r="L219" s="162">
        <f t="shared" si="46"/>
        <v>399.3</v>
      </c>
      <c r="M219" s="130">
        <f t="shared" si="46"/>
        <v>21</v>
      </c>
      <c r="N219" s="162">
        <f t="shared" si="46"/>
        <v>915711.45</v>
      </c>
      <c r="O219" s="162">
        <f t="shared" si="46"/>
        <v>0</v>
      </c>
      <c r="P219" s="162">
        <f t="shared" si="46"/>
        <v>0</v>
      </c>
      <c r="Q219" s="162">
        <f t="shared" si="46"/>
        <v>0</v>
      </c>
      <c r="R219" s="162">
        <f t="shared" si="46"/>
        <v>915711.45</v>
      </c>
      <c r="S219" s="162">
        <f>N219/K219</f>
        <v>2293.2918858001499</v>
      </c>
      <c r="T219" s="162"/>
      <c r="U219" s="177"/>
      <c r="V219" s="144">
        <f t="shared" si="43"/>
        <v>-2293.2918858001499</v>
      </c>
      <c r="W219" s="145">
        <f>W218/K218</f>
        <v>2293.2918858001503</v>
      </c>
    </row>
    <row r="220" spans="1:23" s="159" customFormat="1" ht="9" customHeight="1">
      <c r="A220" s="821" t="s">
        <v>305</v>
      </c>
      <c r="B220" s="821"/>
      <c r="C220" s="821"/>
      <c r="D220" s="821"/>
      <c r="E220" s="821"/>
      <c r="F220" s="821"/>
      <c r="G220" s="821"/>
      <c r="H220" s="821"/>
      <c r="I220" s="821"/>
      <c r="J220" s="821"/>
      <c r="K220" s="821"/>
      <c r="L220" s="821"/>
      <c r="M220" s="821"/>
      <c r="N220" s="821"/>
      <c r="O220" s="821"/>
      <c r="P220" s="821"/>
      <c r="Q220" s="821"/>
      <c r="R220" s="821"/>
      <c r="S220" s="821"/>
      <c r="T220" s="821"/>
      <c r="U220" s="821"/>
      <c r="V220" s="144">
        <f t="shared" si="43"/>
        <v>0</v>
      </c>
      <c r="W220" s="145"/>
    </row>
    <row r="221" spans="1:23" s="159" customFormat="1" ht="9" customHeight="1">
      <c r="A221" s="794">
        <v>176</v>
      </c>
      <c r="B221" s="156" t="s">
        <v>317</v>
      </c>
      <c r="C221" s="785" t="s">
        <v>1006</v>
      </c>
      <c r="D221" s="785"/>
      <c r="E221" s="794">
        <v>1965</v>
      </c>
      <c r="F221" s="794"/>
      <c r="G221" s="794" t="s">
        <v>88</v>
      </c>
      <c r="H221" s="794" t="s">
        <v>73</v>
      </c>
      <c r="I221" s="794" t="s">
        <v>73</v>
      </c>
      <c r="J221" s="797">
        <v>505.1</v>
      </c>
      <c r="K221" s="797">
        <v>475.1</v>
      </c>
      <c r="L221" s="797">
        <v>433.2</v>
      </c>
      <c r="M221" s="130">
        <v>17</v>
      </c>
      <c r="N221" s="797">
        <f>'Приложение 2'!E224</f>
        <v>1758941.64</v>
      </c>
      <c r="O221" s="797">
        <v>0</v>
      </c>
      <c r="P221" s="797">
        <v>0</v>
      </c>
      <c r="Q221" s="797">
        <v>0</v>
      </c>
      <c r="R221" s="797">
        <f>N221</f>
        <v>1758941.64</v>
      </c>
      <c r="S221" s="797">
        <f>N221/K221</f>
        <v>3702.2556093454004</v>
      </c>
      <c r="T221" s="797">
        <v>4503.95</v>
      </c>
      <c r="U221" s="174" t="s">
        <v>228</v>
      </c>
      <c r="V221" s="144">
        <f t="shared" si="43"/>
        <v>801.69439065459937</v>
      </c>
      <c r="W221" s="145"/>
    </row>
    <row r="222" spans="1:23" s="159" customFormat="1" ht="21.75" customHeight="1">
      <c r="A222" s="822" t="s">
        <v>300</v>
      </c>
      <c r="B222" s="822"/>
      <c r="C222" s="785"/>
      <c r="D222" s="785"/>
      <c r="E222" s="794" t="s">
        <v>391</v>
      </c>
      <c r="F222" s="794" t="s">
        <v>391</v>
      </c>
      <c r="G222" s="794" t="s">
        <v>391</v>
      </c>
      <c r="H222" s="794" t="s">
        <v>391</v>
      </c>
      <c r="I222" s="794" t="s">
        <v>391</v>
      </c>
      <c r="J222" s="797">
        <f t="shared" ref="J222:R222" si="47">SUM(J221:J221)</f>
        <v>505.1</v>
      </c>
      <c r="K222" s="797">
        <f t="shared" si="47"/>
        <v>475.1</v>
      </c>
      <c r="L222" s="797">
        <f t="shared" si="47"/>
        <v>433.2</v>
      </c>
      <c r="M222" s="130">
        <f t="shared" si="47"/>
        <v>17</v>
      </c>
      <c r="N222" s="797">
        <f t="shared" si="47"/>
        <v>1758941.64</v>
      </c>
      <c r="O222" s="797">
        <f t="shared" si="47"/>
        <v>0</v>
      </c>
      <c r="P222" s="797">
        <f t="shared" si="47"/>
        <v>0</v>
      </c>
      <c r="Q222" s="797">
        <f t="shared" si="47"/>
        <v>0</v>
      </c>
      <c r="R222" s="797">
        <f t="shared" si="47"/>
        <v>1758941.64</v>
      </c>
      <c r="S222" s="797">
        <f>N222/K222</f>
        <v>3702.2556093454004</v>
      </c>
      <c r="T222" s="794"/>
      <c r="U222" s="132"/>
      <c r="V222" s="144">
        <f t="shared" si="43"/>
        <v>-3702.2556093454004</v>
      </c>
      <c r="W222" s="145"/>
    </row>
    <row r="223" spans="1:23" s="159" customFormat="1" ht="9" customHeight="1">
      <c r="A223" s="821" t="s">
        <v>295</v>
      </c>
      <c r="B223" s="821"/>
      <c r="C223" s="821"/>
      <c r="D223" s="821"/>
      <c r="E223" s="821"/>
      <c r="F223" s="821"/>
      <c r="G223" s="821"/>
      <c r="H223" s="821"/>
      <c r="I223" s="821"/>
      <c r="J223" s="821"/>
      <c r="K223" s="821"/>
      <c r="L223" s="821"/>
      <c r="M223" s="821"/>
      <c r="N223" s="821"/>
      <c r="O223" s="821"/>
      <c r="P223" s="821"/>
      <c r="Q223" s="821"/>
      <c r="R223" s="821"/>
      <c r="S223" s="821"/>
      <c r="T223" s="821"/>
      <c r="U223" s="821"/>
      <c r="V223" s="144">
        <f t="shared" si="43"/>
        <v>0</v>
      </c>
      <c r="W223" s="145"/>
    </row>
    <row r="224" spans="1:23" s="159" customFormat="1" ht="9" customHeight="1">
      <c r="A224" s="794">
        <v>177</v>
      </c>
      <c r="B224" s="785" t="s">
        <v>306</v>
      </c>
      <c r="C224" s="794" t="s">
        <v>1005</v>
      </c>
      <c r="D224" s="794"/>
      <c r="E224" s="794">
        <v>1978</v>
      </c>
      <c r="F224" s="794"/>
      <c r="G224" s="794" t="s">
        <v>321</v>
      </c>
      <c r="H224" s="794">
        <v>5</v>
      </c>
      <c r="I224" s="794">
        <v>4</v>
      </c>
      <c r="J224" s="797">
        <v>3689.7</v>
      </c>
      <c r="K224" s="797">
        <v>3413.7</v>
      </c>
      <c r="L224" s="797">
        <v>3244.1</v>
      </c>
      <c r="M224" s="794">
        <v>124</v>
      </c>
      <c r="N224" s="797">
        <f>'Приложение 2'!E227</f>
        <v>3446471.72</v>
      </c>
      <c r="O224" s="797">
        <v>0</v>
      </c>
      <c r="P224" s="797">
        <v>0</v>
      </c>
      <c r="Q224" s="797">
        <v>0</v>
      </c>
      <c r="R224" s="797">
        <f>N224</f>
        <v>3446471.72</v>
      </c>
      <c r="S224" s="797">
        <f t="shared" ref="S224:S234" si="48">N224/K224</f>
        <v>1009.6000585874565</v>
      </c>
      <c r="T224" s="797">
        <v>4180</v>
      </c>
      <c r="U224" s="132" t="s">
        <v>228</v>
      </c>
      <c r="V224" s="144">
        <f t="shared" si="43"/>
        <v>3170.3999414125437</v>
      </c>
      <c r="W224" s="145"/>
    </row>
    <row r="225" spans="1:23" s="159" customFormat="1" ht="9" customHeight="1">
      <c r="A225" s="794">
        <v>178</v>
      </c>
      <c r="B225" s="785" t="s">
        <v>307</v>
      </c>
      <c r="C225" s="794" t="s">
        <v>1005</v>
      </c>
      <c r="D225" s="794"/>
      <c r="E225" s="794">
        <v>1979</v>
      </c>
      <c r="F225" s="794"/>
      <c r="G225" s="794" t="s">
        <v>90</v>
      </c>
      <c r="H225" s="794">
        <v>5</v>
      </c>
      <c r="I225" s="794">
        <v>4</v>
      </c>
      <c r="J225" s="797">
        <v>3645.1</v>
      </c>
      <c r="K225" s="797">
        <v>3295.9</v>
      </c>
      <c r="L225" s="797">
        <v>3295.9</v>
      </c>
      <c r="M225" s="794">
        <v>124</v>
      </c>
      <c r="N225" s="797">
        <f>'Приложение 2'!E228</f>
        <v>3201832.16</v>
      </c>
      <c r="O225" s="797">
        <v>0</v>
      </c>
      <c r="P225" s="797">
        <v>0</v>
      </c>
      <c r="Q225" s="797">
        <v>0</v>
      </c>
      <c r="R225" s="797">
        <f t="shared" ref="R225:R233" si="49">N225</f>
        <v>3201832.16</v>
      </c>
      <c r="S225" s="797">
        <f t="shared" si="48"/>
        <v>971.45913407566979</v>
      </c>
      <c r="T225" s="797">
        <v>4180</v>
      </c>
      <c r="U225" s="132" t="s">
        <v>228</v>
      </c>
      <c r="V225" s="144">
        <f t="shared" si="43"/>
        <v>3208.5408659243303</v>
      </c>
      <c r="W225" s="145"/>
    </row>
    <row r="226" spans="1:23" s="159" customFormat="1" ht="9" customHeight="1">
      <c r="A226" s="794">
        <v>179</v>
      </c>
      <c r="B226" s="785" t="s">
        <v>308</v>
      </c>
      <c r="C226" s="794" t="s">
        <v>1005</v>
      </c>
      <c r="D226" s="794"/>
      <c r="E226" s="794">
        <v>1979</v>
      </c>
      <c r="F226" s="794"/>
      <c r="G226" s="794" t="s">
        <v>90</v>
      </c>
      <c r="H226" s="794">
        <v>5</v>
      </c>
      <c r="I226" s="794">
        <v>8</v>
      </c>
      <c r="J226" s="797">
        <v>6296.7</v>
      </c>
      <c r="K226" s="797">
        <v>5543.1</v>
      </c>
      <c r="L226" s="797">
        <v>5543.1</v>
      </c>
      <c r="M226" s="794">
        <v>247</v>
      </c>
      <c r="N226" s="797">
        <f>'Приложение 2'!E229</f>
        <v>5707054.2199999997</v>
      </c>
      <c r="O226" s="797">
        <v>0</v>
      </c>
      <c r="P226" s="797">
        <v>0</v>
      </c>
      <c r="Q226" s="797">
        <v>0</v>
      </c>
      <c r="R226" s="797">
        <f t="shared" si="49"/>
        <v>5707054.2199999997</v>
      </c>
      <c r="S226" s="797">
        <f t="shared" si="48"/>
        <v>1029.5780736411032</v>
      </c>
      <c r="T226" s="797">
        <v>4180</v>
      </c>
      <c r="U226" s="132" t="s">
        <v>228</v>
      </c>
      <c r="V226" s="144">
        <f t="shared" si="43"/>
        <v>3150.4219263588966</v>
      </c>
      <c r="W226" s="145"/>
    </row>
    <row r="227" spans="1:23" s="159" customFormat="1" ht="9" customHeight="1">
      <c r="A227" s="794">
        <v>180</v>
      </c>
      <c r="B227" s="785" t="s">
        <v>312</v>
      </c>
      <c r="C227" s="794" t="s">
        <v>1005</v>
      </c>
      <c r="D227" s="794"/>
      <c r="E227" s="794">
        <v>1988</v>
      </c>
      <c r="F227" s="794"/>
      <c r="G227" s="794" t="s">
        <v>88</v>
      </c>
      <c r="H227" s="794">
        <v>5</v>
      </c>
      <c r="I227" s="794">
        <v>2</v>
      </c>
      <c r="J227" s="797">
        <v>1683.3</v>
      </c>
      <c r="K227" s="797">
        <v>1495.1</v>
      </c>
      <c r="L227" s="797">
        <v>1495.1</v>
      </c>
      <c r="M227" s="794">
        <v>64</v>
      </c>
      <c r="N227" s="797">
        <f>'Приложение 2'!E230</f>
        <v>791403.92</v>
      </c>
      <c r="O227" s="797">
        <v>0</v>
      </c>
      <c r="P227" s="797">
        <v>0</v>
      </c>
      <c r="Q227" s="797">
        <v>0</v>
      </c>
      <c r="R227" s="797">
        <f t="shared" si="49"/>
        <v>791403.92</v>
      </c>
      <c r="S227" s="797">
        <f t="shared" si="48"/>
        <v>529.33176376162135</v>
      </c>
      <c r="T227" s="797">
        <v>4180</v>
      </c>
      <c r="U227" s="132" t="s">
        <v>228</v>
      </c>
      <c r="V227" s="144">
        <f t="shared" si="43"/>
        <v>3650.6682362383785</v>
      </c>
      <c r="W227" s="145"/>
    </row>
    <row r="228" spans="1:23" s="159" customFormat="1" ht="9" customHeight="1">
      <c r="A228" s="794">
        <v>181</v>
      </c>
      <c r="B228" s="785" t="s">
        <v>309</v>
      </c>
      <c r="C228" s="794" t="s">
        <v>1005</v>
      </c>
      <c r="D228" s="794"/>
      <c r="E228" s="794">
        <v>1983</v>
      </c>
      <c r="F228" s="794"/>
      <c r="G228" s="794" t="s">
        <v>88</v>
      </c>
      <c r="H228" s="794">
        <v>5</v>
      </c>
      <c r="I228" s="794">
        <v>2</v>
      </c>
      <c r="J228" s="797">
        <v>1467.3</v>
      </c>
      <c r="K228" s="797">
        <v>1317.5</v>
      </c>
      <c r="L228" s="797">
        <v>1317.5</v>
      </c>
      <c r="M228" s="794">
        <v>63</v>
      </c>
      <c r="N228" s="797">
        <f>'Приложение 2'!E231</f>
        <v>750571.93</v>
      </c>
      <c r="O228" s="797">
        <v>0</v>
      </c>
      <c r="P228" s="797">
        <v>0</v>
      </c>
      <c r="Q228" s="797">
        <v>0</v>
      </c>
      <c r="R228" s="797">
        <f t="shared" si="49"/>
        <v>750571.93</v>
      </c>
      <c r="S228" s="797">
        <f t="shared" si="48"/>
        <v>569.69406451612906</v>
      </c>
      <c r="T228" s="797">
        <v>4180</v>
      </c>
      <c r="U228" s="132" t="s">
        <v>228</v>
      </c>
      <c r="V228" s="144">
        <f t="shared" si="43"/>
        <v>3610.3059354838711</v>
      </c>
      <c r="W228" s="145"/>
    </row>
    <row r="229" spans="1:23" s="159" customFormat="1" ht="9" customHeight="1">
      <c r="A229" s="794">
        <v>182</v>
      </c>
      <c r="B229" s="785" t="s">
        <v>310</v>
      </c>
      <c r="C229" s="794" t="s">
        <v>1005</v>
      </c>
      <c r="D229" s="794"/>
      <c r="E229" s="794">
        <v>1984</v>
      </c>
      <c r="F229" s="794"/>
      <c r="G229" s="794" t="s">
        <v>88</v>
      </c>
      <c r="H229" s="794" t="s">
        <v>76</v>
      </c>
      <c r="I229" s="794">
        <v>1</v>
      </c>
      <c r="J229" s="797">
        <v>3955</v>
      </c>
      <c r="K229" s="797">
        <v>2488.5</v>
      </c>
      <c r="L229" s="797">
        <v>2070.5</v>
      </c>
      <c r="M229" s="130">
        <v>179</v>
      </c>
      <c r="N229" s="797">
        <f>'Приложение 2'!E232</f>
        <v>1714578.77</v>
      </c>
      <c r="O229" s="797">
        <v>0</v>
      </c>
      <c r="P229" s="797">
        <v>0</v>
      </c>
      <c r="Q229" s="797">
        <v>0</v>
      </c>
      <c r="R229" s="797">
        <f t="shared" si="49"/>
        <v>1714578.77</v>
      </c>
      <c r="S229" s="797">
        <f t="shared" si="48"/>
        <v>689.00091219610204</v>
      </c>
      <c r="T229" s="797">
        <v>4180</v>
      </c>
      <c r="U229" s="132" t="s">
        <v>228</v>
      </c>
      <c r="V229" s="144">
        <f t="shared" si="43"/>
        <v>3490.999087803898</v>
      </c>
      <c r="W229" s="145"/>
    </row>
    <row r="230" spans="1:23" s="159" customFormat="1" ht="9" customHeight="1">
      <c r="A230" s="794">
        <v>183</v>
      </c>
      <c r="B230" s="785" t="s">
        <v>311</v>
      </c>
      <c r="C230" s="794" t="s">
        <v>1006</v>
      </c>
      <c r="D230" s="794"/>
      <c r="E230" s="794">
        <v>1986</v>
      </c>
      <c r="F230" s="794"/>
      <c r="G230" s="794" t="s">
        <v>90</v>
      </c>
      <c r="H230" s="794" t="s">
        <v>73</v>
      </c>
      <c r="I230" s="794">
        <v>2</v>
      </c>
      <c r="J230" s="797">
        <v>658.1</v>
      </c>
      <c r="K230" s="797">
        <v>576.6</v>
      </c>
      <c r="L230" s="797">
        <v>481.2</v>
      </c>
      <c r="M230" s="130">
        <v>23</v>
      </c>
      <c r="N230" s="797">
        <f>'Приложение 2'!E233</f>
        <v>1645012.38</v>
      </c>
      <c r="O230" s="797">
        <v>0</v>
      </c>
      <c r="P230" s="797">
        <v>0</v>
      </c>
      <c r="Q230" s="797">
        <v>0</v>
      </c>
      <c r="R230" s="797">
        <f t="shared" si="49"/>
        <v>1645012.38</v>
      </c>
      <c r="S230" s="797">
        <f t="shared" si="48"/>
        <v>2852.9524453694066</v>
      </c>
      <c r="T230" s="797">
        <v>4503.95</v>
      </c>
      <c r="U230" s="132" t="s">
        <v>228</v>
      </c>
      <c r="V230" s="144">
        <f t="shared" si="43"/>
        <v>1650.9975546305932</v>
      </c>
      <c r="W230" s="145"/>
    </row>
    <row r="231" spans="1:23" s="159" customFormat="1" ht="9" customHeight="1">
      <c r="A231" s="794">
        <v>184</v>
      </c>
      <c r="B231" s="785" t="s">
        <v>313</v>
      </c>
      <c r="C231" s="794" t="s">
        <v>1005</v>
      </c>
      <c r="D231" s="794"/>
      <c r="E231" s="794">
        <v>1971</v>
      </c>
      <c r="F231" s="794"/>
      <c r="G231" s="794" t="s">
        <v>88</v>
      </c>
      <c r="H231" s="794">
        <v>5</v>
      </c>
      <c r="I231" s="794">
        <v>1</v>
      </c>
      <c r="J231" s="797">
        <v>4089.2</v>
      </c>
      <c r="K231" s="797">
        <v>2773.4</v>
      </c>
      <c r="L231" s="797">
        <v>2609.1999999999998</v>
      </c>
      <c r="M231" s="794">
        <v>147</v>
      </c>
      <c r="N231" s="797">
        <f>'Приложение 2'!E234</f>
        <v>3680213.29</v>
      </c>
      <c r="O231" s="797">
        <v>0</v>
      </c>
      <c r="P231" s="797">
        <v>0</v>
      </c>
      <c r="Q231" s="797">
        <v>0</v>
      </c>
      <c r="R231" s="797">
        <f t="shared" si="49"/>
        <v>3680213.29</v>
      </c>
      <c r="S231" s="797">
        <f t="shared" si="48"/>
        <v>1326.9680861036993</v>
      </c>
      <c r="T231" s="797">
        <v>4180</v>
      </c>
      <c r="U231" s="132" t="s">
        <v>228</v>
      </c>
      <c r="V231" s="144">
        <f t="shared" si="43"/>
        <v>2853.0319138963005</v>
      </c>
      <c r="W231" s="145"/>
    </row>
    <row r="232" spans="1:23" s="159" customFormat="1" ht="9" customHeight="1">
      <c r="A232" s="794">
        <v>185</v>
      </c>
      <c r="B232" s="785" t="s">
        <v>314</v>
      </c>
      <c r="C232" s="794" t="s">
        <v>1005</v>
      </c>
      <c r="D232" s="794"/>
      <c r="E232" s="794">
        <v>1973</v>
      </c>
      <c r="F232" s="794"/>
      <c r="G232" s="794" t="s">
        <v>88</v>
      </c>
      <c r="H232" s="794">
        <v>5</v>
      </c>
      <c r="I232" s="794">
        <v>1</v>
      </c>
      <c r="J232" s="797">
        <v>4616.3999999999996</v>
      </c>
      <c r="K232" s="797">
        <v>2573.3000000000002</v>
      </c>
      <c r="L232" s="797">
        <v>2538.9</v>
      </c>
      <c r="M232" s="794">
        <v>138</v>
      </c>
      <c r="N232" s="797">
        <f>'Приложение 2'!E235</f>
        <v>1931806.2100000002</v>
      </c>
      <c r="O232" s="797">
        <v>0</v>
      </c>
      <c r="P232" s="797">
        <v>0</v>
      </c>
      <c r="Q232" s="797">
        <v>0</v>
      </c>
      <c r="R232" s="797">
        <f t="shared" si="49"/>
        <v>1931806.2100000002</v>
      </c>
      <c r="S232" s="797">
        <f t="shared" si="48"/>
        <v>750.7116193214938</v>
      </c>
      <c r="T232" s="797">
        <v>4180</v>
      </c>
      <c r="U232" s="132" t="s">
        <v>228</v>
      </c>
      <c r="V232" s="144">
        <f t="shared" si="43"/>
        <v>3429.2883806785062</v>
      </c>
      <c r="W232" s="145"/>
    </row>
    <row r="233" spans="1:23" s="159" customFormat="1" ht="9" customHeight="1">
      <c r="A233" s="794">
        <v>186</v>
      </c>
      <c r="B233" s="785" t="s">
        <v>315</v>
      </c>
      <c r="C233" s="794" t="s">
        <v>1006</v>
      </c>
      <c r="D233" s="794"/>
      <c r="E233" s="794">
        <v>1958</v>
      </c>
      <c r="F233" s="794"/>
      <c r="G233" s="794" t="s">
        <v>322</v>
      </c>
      <c r="H233" s="794">
        <v>2</v>
      </c>
      <c r="I233" s="794">
        <v>1</v>
      </c>
      <c r="J233" s="797">
        <v>456.58</v>
      </c>
      <c r="K233" s="797">
        <v>420.9</v>
      </c>
      <c r="L233" s="797">
        <v>420.9</v>
      </c>
      <c r="M233" s="794">
        <v>23</v>
      </c>
      <c r="N233" s="797">
        <f>'Приложение 2'!E236</f>
        <v>1205166.82</v>
      </c>
      <c r="O233" s="797">
        <v>0</v>
      </c>
      <c r="P233" s="797">
        <v>0</v>
      </c>
      <c r="Q233" s="797">
        <v>0</v>
      </c>
      <c r="R233" s="797">
        <f t="shared" si="49"/>
        <v>1205166.82</v>
      </c>
      <c r="S233" s="797">
        <f t="shared" si="48"/>
        <v>2863.3091470658119</v>
      </c>
      <c r="T233" s="797">
        <v>4503.95</v>
      </c>
      <c r="U233" s="132" t="s">
        <v>228</v>
      </c>
      <c r="V233" s="144">
        <f t="shared" si="43"/>
        <v>1640.6408529341879</v>
      </c>
      <c r="W233" s="145"/>
    </row>
    <row r="234" spans="1:23" s="159" customFormat="1" ht="9" customHeight="1">
      <c r="A234" s="794">
        <v>187</v>
      </c>
      <c r="B234" s="785" t="s">
        <v>316</v>
      </c>
      <c r="C234" s="794" t="s">
        <v>1006</v>
      </c>
      <c r="D234" s="794"/>
      <c r="E234" s="794">
        <v>1952</v>
      </c>
      <c r="F234" s="794"/>
      <c r="G234" s="794" t="s">
        <v>322</v>
      </c>
      <c r="H234" s="794">
        <v>2</v>
      </c>
      <c r="I234" s="794">
        <v>1</v>
      </c>
      <c r="J234" s="797">
        <v>243</v>
      </c>
      <c r="K234" s="797">
        <v>233</v>
      </c>
      <c r="L234" s="797">
        <v>113.1</v>
      </c>
      <c r="M234" s="794">
        <v>5</v>
      </c>
      <c r="N234" s="797">
        <f>'Приложение 2'!E237</f>
        <v>670524.4</v>
      </c>
      <c r="O234" s="797">
        <v>0</v>
      </c>
      <c r="P234" s="797">
        <v>0</v>
      </c>
      <c r="Q234" s="797">
        <v>0</v>
      </c>
      <c r="R234" s="797">
        <f>N234</f>
        <v>670524.4</v>
      </c>
      <c r="S234" s="797">
        <f t="shared" si="48"/>
        <v>2877.7871244635194</v>
      </c>
      <c r="T234" s="797">
        <v>4503.95</v>
      </c>
      <c r="U234" s="132" t="s">
        <v>228</v>
      </c>
      <c r="V234" s="144">
        <f t="shared" si="43"/>
        <v>1626.1628755364804</v>
      </c>
      <c r="W234" s="145"/>
    </row>
    <row r="235" spans="1:23" s="159" customFormat="1" ht="21.75" customHeight="1">
      <c r="A235" s="829" t="s">
        <v>301</v>
      </c>
      <c r="B235" s="830"/>
      <c r="C235" s="794"/>
      <c r="D235" s="794"/>
      <c r="E235" s="794" t="s">
        <v>391</v>
      </c>
      <c r="F235" s="794" t="s">
        <v>391</v>
      </c>
      <c r="G235" s="794" t="s">
        <v>391</v>
      </c>
      <c r="H235" s="794" t="s">
        <v>391</v>
      </c>
      <c r="I235" s="794" t="s">
        <v>391</v>
      </c>
      <c r="J235" s="797">
        <f t="shared" ref="J235:R235" si="50">SUM(J224:J234)</f>
        <v>30800.379999999997</v>
      </c>
      <c r="K235" s="797">
        <f t="shared" si="50"/>
        <v>24131.000000000004</v>
      </c>
      <c r="L235" s="797">
        <f t="shared" si="50"/>
        <v>23129.500000000004</v>
      </c>
      <c r="M235" s="130">
        <f t="shared" si="50"/>
        <v>1137</v>
      </c>
      <c r="N235" s="797">
        <f t="shared" si="50"/>
        <v>24744635.82</v>
      </c>
      <c r="O235" s="797">
        <f t="shared" si="50"/>
        <v>0</v>
      </c>
      <c r="P235" s="797">
        <f t="shared" si="50"/>
        <v>0</v>
      </c>
      <c r="Q235" s="797">
        <f t="shared" si="50"/>
        <v>0</v>
      </c>
      <c r="R235" s="797">
        <f t="shared" si="50"/>
        <v>24744635.82</v>
      </c>
      <c r="S235" s="797">
        <f>N235/K235</f>
        <v>1025.4293572582983</v>
      </c>
      <c r="T235" s="797"/>
      <c r="U235" s="132"/>
      <c r="V235" s="144">
        <f t="shared" si="43"/>
        <v>-1025.4293572582983</v>
      </c>
      <c r="W235" s="145"/>
    </row>
    <row r="236" spans="1:23" s="159" customFormat="1" ht="9" customHeight="1">
      <c r="A236" s="821" t="s">
        <v>296</v>
      </c>
      <c r="B236" s="821"/>
      <c r="C236" s="821"/>
      <c r="D236" s="821"/>
      <c r="E236" s="821"/>
      <c r="F236" s="821"/>
      <c r="G236" s="821"/>
      <c r="H236" s="821"/>
      <c r="I236" s="821"/>
      <c r="J236" s="821"/>
      <c r="K236" s="821"/>
      <c r="L236" s="821"/>
      <c r="M236" s="821"/>
      <c r="N236" s="821"/>
      <c r="O236" s="821"/>
      <c r="P236" s="821"/>
      <c r="Q236" s="821"/>
      <c r="R236" s="821"/>
      <c r="S236" s="821"/>
      <c r="T236" s="821"/>
      <c r="U236" s="821"/>
      <c r="V236" s="144">
        <f t="shared" si="43"/>
        <v>0</v>
      </c>
      <c r="W236" s="145"/>
    </row>
    <row r="237" spans="1:23" s="159" customFormat="1" ht="9" customHeight="1">
      <c r="A237" s="794">
        <v>188</v>
      </c>
      <c r="B237" s="156" t="s">
        <v>323</v>
      </c>
      <c r="C237" s="157" t="s">
        <v>1006</v>
      </c>
      <c r="D237" s="157"/>
      <c r="E237" s="794">
        <v>1955</v>
      </c>
      <c r="F237" s="794"/>
      <c r="G237" s="794" t="s">
        <v>88</v>
      </c>
      <c r="H237" s="794">
        <v>2</v>
      </c>
      <c r="I237" s="794">
        <v>2</v>
      </c>
      <c r="J237" s="797">
        <v>404.5</v>
      </c>
      <c r="K237" s="797">
        <v>363.1</v>
      </c>
      <c r="L237" s="797">
        <v>41.4</v>
      </c>
      <c r="M237" s="130">
        <v>17</v>
      </c>
      <c r="N237" s="797">
        <f>'Приложение 2'!E240</f>
        <v>1214177.33</v>
      </c>
      <c r="O237" s="797">
        <v>0</v>
      </c>
      <c r="P237" s="797">
        <v>0</v>
      </c>
      <c r="Q237" s="797">
        <v>0</v>
      </c>
      <c r="R237" s="797">
        <f>N237</f>
        <v>1214177.33</v>
      </c>
      <c r="S237" s="797">
        <f>N237/K237</f>
        <v>3343.9199394106308</v>
      </c>
      <c r="T237" s="797">
        <v>4503.95</v>
      </c>
      <c r="U237" s="132" t="s">
        <v>228</v>
      </c>
      <c r="V237" s="144">
        <f t="shared" si="43"/>
        <v>1160.030060589369</v>
      </c>
      <c r="W237" s="145"/>
    </row>
    <row r="238" spans="1:23" s="159" customFormat="1" ht="9" customHeight="1">
      <c r="A238" s="794">
        <v>189</v>
      </c>
      <c r="B238" s="156" t="s">
        <v>324</v>
      </c>
      <c r="C238" s="157" t="s">
        <v>1006</v>
      </c>
      <c r="D238" s="157"/>
      <c r="E238" s="794">
        <v>1965</v>
      </c>
      <c r="F238" s="794"/>
      <c r="G238" s="794" t="s">
        <v>88</v>
      </c>
      <c r="H238" s="794">
        <v>2</v>
      </c>
      <c r="I238" s="794">
        <v>3</v>
      </c>
      <c r="J238" s="802">
        <v>600</v>
      </c>
      <c r="K238" s="802">
        <v>538.20000000000005</v>
      </c>
      <c r="L238" s="797">
        <v>61.8</v>
      </c>
      <c r="M238" s="130">
        <v>34</v>
      </c>
      <c r="N238" s="797">
        <f>'Приложение 2'!E241</f>
        <v>1726678.51</v>
      </c>
      <c r="O238" s="797">
        <v>0</v>
      </c>
      <c r="P238" s="797">
        <v>0</v>
      </c>
      <c r="Q238" s="797">
        <v>0</v>
      </c>
      <c r="R238" s="797">
        <f>N238</f>
        <v>1726678.51</v>
      </c>
      <c r="S238" s="797">
        <f>N238/K238</f>
        <v>3208.2469528056481</v>
      </c>
      <c r="T238" s="797">
        <v>4503.95</v>
      </c>
      <c r="U238" s="132" t="s">
        <v>228</v>
      </c>
      <c r="V238" s="144">
        <f t="shared" si="43"/>
        <v>1295.7030471943517</v>
      </c>
      <c r="W238" s="145"/>
    </row>
    <row r="239" spans="1:23" s="159" customFormat="1" ht="22.5" customHeight="1">
      <c r="A239" s="822" t="s">
        <v>302</v>
      </c>
      <c r="B239" s="822"/>
      <c r="C239" s="785"/>
      <c r="D239" s="785"/>
      <c r="E239" s="794" t="s">
        <v>391</v>
      </c>
      <c r="F239" s="794" t="s">
        <v>391</v>
      </c>
      <c r="G239" s="794" t="s">
        <v>391</v>
      </c>
      <c r="H239" s="794" t="s">
        <v>391</v>
      </c>
      <c r="I239" s="794" t="s">
        <v>391</v>
      </c>
      <c r="J239" s="797">
        <f t="shared" ref="J239:R239" si="51">SUM(J237:J238)</f>
        <v>1004.5</v>
      </c>
      <c r="K239" s="797">
        <f t="shared" si="51"/>
        <v>901.30000000000007</v>
      </c>
      <c r="L239" s="797">
        <f t="shared" si="51"/>
        <v>103.19999999999999</v>
      </c>
      <c r="M239" s="130">
        <f t="shared" si="51"/>
        <v>51</v>
      </c>
      <c r="N239" s="797">
        <f t="shared" si="51"/>
        <v>2940855.84</v>
      </c>
      <c r="O239" s="797">
        <f t="shared" si="51"/>
        <v>0</v>
      </c>
      <c r="P239" s="797">
        <f t="shared" si="51"/>
        <v>0</v>
      </c>
      <c r="Q239" s="797">
        <f t="shared" si="51"/>
        <v>0</v>
      </c>
      <c r="R239" s="797">
        <f t="shared" si="51"/>
        <v>2940855.84</v>
      </c>
      <c r="S239" s="797">
        <f>N239/K239</f>
        <v>3262.9045156995448</v>
      </c>
      <c r="T239" s="797"/>
      <c r="U239" s="132"/>
      <c r="V239" s="144">
        <f t="shared" si="43"/>
        <v>-3262.9045156995448</v>
      </c>
      <c r="W239" s="145"/>
    </row>
    <row r="240" spans="1:23" s="159" customFormat="1" ht="9" customHeight="1">
      <c r="A240" s="821" t="s">
        <v>297</v>
      </c>
      <c r="B240" s="821"/>
      <c r="C240" s="821"/>
      <c r="D240" s="821"/>
      <c r="E240" s="821"/>
      <c r="F240" s="821"/>
      <c r="G240" s="821"/>
      <c r="H240" s="821"/>
      <c r="I240" s="821"/>
      <c r="J240" s="821"/>
      <c r="K240" s="821"/>
      <c r="L240" s="821"/>
      <c r="M240" s="821"/>
      <c r="N240" s="821"/>
      <c r="O240" s="821"/>
      <c r="P240" s="821"/>
      <c r="Q240" s="821"/>
      <c r="R240" s="821"/>
      <c r="S240" s="821"/>
      <c r="T240" s="821"/>
      <c r="U240" s="821"/>
      <c r="V240" s="144">
        <f t="shared" si="43"/>
        <v>0</v>
      </c>
      <c r="W240" s="145"/>
    </row>
    <row r="241" spans="1:23" s="159" customFormat="1" ht="9" customHeight="1">
      <c r="A241" s="794">
        <v>190</v>
      </c>
      <c r="B241" s="156" t="s">
        <v>320</v>
      </c>
      <c r="C241" s="785" t="s">
        <v>1006</v>
      </c>
      <c r="D241" s="785"/>
      <c r="E241" s="794">
        <v>1973</v>
      </c>
      <c r="F241" s="794"/>
      <c r="G241" s="794" t="s">
        <v>88</v>
      </c>
      <c r="H241" s="794">
        <v>2</v>
      </c>
      <c r="I241" s="794">
        <v>3</v>
      </c>
      <c r="J241" s="797">
        <v>1528.8</v>
      </c>
      <c r="K241" s="797">
        <v>932.4</v>
      </c>
      <c r="L241" s="797">
        <v>932.4</v>
      </c>
      <c r="M241" s="130">
        <v>50</v>
      </c>
      <c r="N241" s="797">
        <f>'Приложение 2'!E244</f>
        <v>2023990.89</v>
      </c>
      <c r="O241" s="797">
        <v>0</v>
      </c>
      <c r="P241" s="797">
        <v>0</v>
      </c>
      <c r="Q241" s="797">
        <v>0</v>
      </c>
      <c r="R241" s="797">
        <f>N241</f>
        <v>2023990.89</v>
      </c>
      <c r="S241" s="797">
        <f>N241/K241</f>
        <v>2170.7324002574001</v>
      </c>
      <c r="T241" s="797">
        <v>4503.95</v>
      </c>
      <c r="U241" s="132" t="s">
        <v>228</v>
      </c>
      <c r="V241" s="144">
        <f t="shared" si="43"/>
        <v>2333.2175997425998</v>
      </c>
      <c r="W241" s="145"/>
    </row>
    <row r="242" spans="1:23" s="159" customFormat="1" ht="22.5" customHeight="1">
      <c r="A242" s="822" t="s">
        <v>303</v>
      </c>
      <c r="B242" s="822"/>
      <c r="C242" s="785"/>
      <c r="D242" s="785"/>
      <c r="E242" s="794" t="s">
        <v>391</v>
      </c>
      <c r="F242" s="794" t="s">
        <v>391</v>
      </c>
      <c r="G242" s="794" t="s">
        <v>391</v>
      </c>
      <c r="H242" s="794" t="s">
        <v>391</v>
      </c>
      <c r="I242" s="794" t="s">
        <v>391</v>
      </c>
      <c r="J242" s="797">
        <f>J241</f>
        <v>1528.8</v>
      </c>
      <c r="K242" s="797">
        <f>K241</f>
        <v>932.4</v>
      </c>
      <c r="L242" s="797">
        <f>L241</f>
        <v>932.4</v>
      </c>
      <c r="M242" s="130">
        <f>M241</f>
        <v>50</v>
      </c>
      <c r="N242" s="797">
        <f>N241</f>
        <v>2023990.89</v>
      </c>
      <c r="O242" s="797">
        <v>0</v>
      </c>
      <c r="P242" s="797">
        <v>0</v>
      </c>
      <c r="Q242" s="797">
        <v>0</v>
      </c>
      <c r="R242" s="797">
        <f>R241</f>
        <v>2023990.89</v>
      </c>
      <c r="S242" s="797">
        <f>N242/K242</f>
        <v>2170.7324002574001</v>
      </c>
      <c r="T242" s="794"/>
      <c r="U242" s="132"/>
      <c r="V242" s="144">
        <f t="shared" si="43"/>
        <v>-2170.7324002574001</v>
      </c>
      <c r="W242" s="145"/>
    </row>
    <row r="243" spans="1:23" s="159" customFormat="1" ht="9" customHeight="1">
      <c r="A243" s="821" t="s">
        <v>298</v>
      </c>
      <c r="B243" s="821"/>
      <c r="C243" s="821"/>
      <c r="D243" s="821"/>
      <c r="E243" s="821"/>
      <c r="F243" s="821"/>
      <c r="G243" s="821"/>
      <c r="H243" s="821"/>
      <c r="I243" s="821"/>
      <c r="J243" s="821"/>
      <c r="K243" s="821"/>
      <c r="L243" s="821"/>
      <c r="M243" s="821"/>
      <c r="N243" s="821"/>
      <c r="O243" s="821"/>
      <c r="P243" s="821"/>
      <c r="Q243" s="821"/>
      <c r="R243" s="821"/>
      <c r="S243" s="821"/>
      <c r="T243" s="821"/>
      <c r="U243" s="821"/>
      <c r="V243" s="144">
        <f t="shared" si="43"/>
        <v>0</v>
      </c>
      <c r="W243" s="145"/>
    </row>
    <row r="244" spans="1:23" s="159" customFormat="1" ht="9" customHeight="1">
      <c r="A244" s="794">
        <v>191</v>
      </c>
      <c r="B244" s="785" t="s">
        <v>318</v>
      </c>
      <c r="C244" s="794" t="s">
        <v>1006</v>
      </c>
      <c r="D244" s="794"/>
      <c r="E244" s="794">
        <v>1973</v>
      </c>
      <c r="F244" s="794"/>
      <c r="G244" s="794" t="s">
        <v>88</v>
      </c>
      <c r="H244" s="794" t="s">
        <v>73</v>
      </c>
      <c r="I244" s="794" t="s">
        <v>73</v>
      </c>
      <c r="J244" s="797">
        <v>1779.6</v>
      </c>
      <c r="K244" s="797">
        <f>589.6+120</f>
        <v>709.6</v>
      </c>
      <c r="L244" s="797">
        <v>589.6</v>
      </c>
      <c r="M244" s="130">
        <v>21</v>
      </c>
      <c r="N244" s="797">
        <f>'Приложение 2'!E247</f>
        <v>2137661.38</v>
      </c>
      <c r="O244" s="797">
        <v>0</v>
      </c>
      <c r="P244" s="797">
        <v>0</v>
      </c>
      <c r="Q244" s="797">
        <v>0</v>
      </c>
      <c r="R244" s="797">
        <f>N244</f>
        <v>2137661.38</v>
      </c>
      <c r="S244" s="797">
        <f>N244/K244</f>
        <v>3012.4878523111611</v>
      </c>
      <c r="T244" s="797">
        <v>4503.95</v>
      </c>
      <c r="U244" s="132" t="s">
        <v>228</v>
      </c>
      <c r="V244" s="144">
        <f t="shared" si="43"/>
        <v>1491.4621476888387</v>
      </c>
      <c r="W244" s="145">
        <f>2137661.38</f>
        <v>2137661.38</v>
      </c>
    </row>
    <row r="245" spans="1:23" s="159" customFormat="1" ht="21.75" customHeight="1">
      <c r="A245" s="822" t="s">
        <v>304</v>
      </c>
      <c r="B245" s="822"/>
      <c r="C245" s="785"/>
      <c r="D245" s="785"/>
      <c r="E245" s="794" t="s">
        <v>391</v>
      </c>
      <c r="F245" s="794" t="s">
        <v>391</v>
      </c>
      <c r="G245" s="794" t="s">
        <v>391</v>
      </c>
      <c r="H245" s="794" t="s">
        <v>391</v>
      </c>
      <c r="I245" s="794" t="s">
        <v>391</v>
      </c>
      <c r="J245" s="797">
        <v>1779.6</v>
      </c>
      <c r="K245" s="797">
        <v>708.6</v>
      </c>
      <c r="L245" s="797">
        <v>588.6</v>
      </c>
      <c r="M245" s="130">
        <v>21</v>
      </c>
      <c r="N245" s="797">
        <f>N244</f>
        <v>2137661.38</v>
      </c>
      <c r="O245" s="797">
        <v>0</v>
      </c>
      <c r="P245" s="797">
        <v>0</v>
      </c>
      <c r="Q245" s="797">
        <v>0</v>
      </c>
      <c r="R245" s="797">
        <f>R244</f>
        <v>2137661.38</v>
      </c>
      <c r="S245" s="797">
        <f>N245/K245</f>
        <v>3016.7391758396834</v>
      </c>
      <c r="T245" s="794"/>
      <c r="U245" s="132"/>
      <c r="V245" s="144">
        <f t="shared" si="43"/>
        <v>-3016.7391758396834</v>
      </c>
      <c r="W245" s="145">
        <f>W244/K244</f>
        <v>3012.4878523111611</v>
      </c>
    </row>
    <row r="246" spans="1:23" s="159" customFormat="1" ht="9" customHeight="1">
      <c r="A246" s="828" t="s">
        <v>400</v>
      </c>
      <c r="B246" s="828"/>
      <c r="C246" s="828"/>
      <c r="D246" s="828"/>
      <c r="E246" s="828"/>
      <c r="F246" s="828"/>
      <c r="G246" s="828"/>
      <c r="H246" s="828"/>
      <c r="I246" s="828"/>
      <c r="J246" s="828"/>
      <c r="K246" s="828"/>
      <c r="L246" s="828"/>
      <c r="M246" s="828"/>
      <c r="N246" s="828"/>
      <c r="O246" s="828"/>
      <c r="P246" s="828"/>
      <c r="Q246" s="828"/>
      <c r="R246" s="828"/>
      <c r="S246" s="828"/>
      <c r="T246" s="828"/>
      <c r="U246" s="828"/>
      <c r="V246" s="144">
        <f t="shared" si="43"/>
        <v>0</v>
      </c>
      <c r="W246" s="145"/>
    </row>
    <row r="247" spans="1:23" s="159" customFormat="1" ht="9" customHeight="1">
      <c r="A247" s="178">
        <v>192</v>
      </c>
      <c r="B247" s="179" t="s">
        <v>332</v>
      </c>
      <c r="C247" s="791" t="s">
        <v>1006</v>
      </c>
      <c r="D247" s="791"/>
      <c r="E247" s="178">
        <v>1982</v>
      </c>
      <c r="F247" s="178"/>
      <c r="G247" s="178" t="s">
        <v>90</v>
      </c>
      <c r="H247" s="178">
        <v>2</v>
      </c>
      <c r="I247" s="178">
        <v>2</v>
      </c>
      <c r="J247" s="180">
        <v>1081.5999999999999</v>
      </c>
      <c r="K247" s="180">
        <v>599.29999999999995</v>
      </c>
      <c r="L247" s="180">
        <v>599.29999999999995</v>
      </c>
      <c r="M247" s="181">
        <v>22</v>
      </c>
      <c r="N247" s="180">
        <f>'Приложение 2'!E250</f>
        <v>2041266.72</v>
      </c>
      <c r="O247" s="180">
        <v>0</v>
      </c>
      <c r="P247" s="180">
        <v>0</v>
      </c>
      <c r="Q247" s="180">
        <v>0</v>
      </c>
      <c r="R247" s="180">
        <f>N247</f>
        <v>2041266.72</v>
      </c>
      <c r="S247" s="797">
        <f>N247/K247</f>
        <v>3406.0849657934259</v>
      </c>
      <c r="T247" s="797">
        <v>4503.95</v>
      </c>
      <c r="U247" s="182" t="s">
        <v>228</v>
      </c>
      <c r="V247" s="144">
        <f t="shared" si="43"/>
        <v>1097.8650342065739</v>
      </c>
      <c r="W247" s="145"/>
    </row>
    <row r="248" spans="1:23" s="159" customFormat="1" ht="9" customHeight="1">
      <c r="A248" s="178">
        <v>193</v>
      </c>
      <c r="B248" s="179" t="s">
        <v>335</v>
      </c>
      <c r="C248" s="791" t="s">
        <v>1006</v>
      </c>
      <c r="D248" s="791"/>
      <c r="E248" s="178">
        <v>1965</v>
      </c>
      <c r="F248" s="178"/>
      <c r="G248" s="178" t="s">
        <v>88</v>
      </c>
      <c r="H248" s="178">
        <v>2</v>
      </c>
      <c r="I248" s="178">
        <v>1</v>
      </c>
      <c r="J248" s="180">
        <v>583.4</v>
      </c>
      <c r="K248" s="180">
        <v>524.4</v>
      </c>
      <c r="L248" s="180">
        <v>524.4</v>
      </c>
      <c r="M248" s="181">
        <v>15</v>
      </c>
      <c r="N248" s="180">
        <f>'Приложение 2'!E251</f>
        <v>1550689.88</v>
      </c>
      <c r="O248" s="180">
        <v>0</v>
      </c>
      <c r="P248" s="180">
        <v>0</v>
      </c>
      <c r="Q248" s="180">
        <v>0</v>
      </c>
      <c r="R248" s="180">
        <f>N248</f>
        <v>1550689.88</v>
      </c>
      <c r="S248" s="797">
        <f>N248/K248</f>
        <v>2957.0745232646832</v>
      </c>
      <c r="T248" s="797">
        <v>4503.95</v>
      </c>
      <c r="U248" s="182" t="s">
        <v>228</v>
      </c>
      <c r="V248" s="144">
        <f t="shared" si="43"/>
        <v>1546.8754767353166</v>
      </c>
      <c r="W248" s="145"/>
    </row>
    <row r="249" spans="1:23" s="159" customFormat="1" ht="20.25" customHeight="1">
      <c r="A249" s="836" t="s">
        <v>401</v>
      </c>
      <c r="B249" s="836"/>
      <c r="C249" s="791"/>
      <c r="D249" s="791"/>
      <c r="E249" s="794" t="s">
        <v>391</v>
      </c>
      <c r="F249" s="794" t="s">
        <v>391</v>
      </c>
      <c r="G249" s="794" t="s">
        <v>391</v>
      </c>
      <c r="H249" s="794" t="s">
        <v>391</v>
      </c>
      <c r="I249" s="794" t="s">
        <v>391</v>
      </c>
      <c r="J249" s="180">
        <f>J248+J247</f>
        <v>1665</v>
      </c>
      <c r="K249" s="180">
        <f>K248+K247</f>
        <v>1123.6999999999998</v>
      </c>
      <c r="L249" s="180">
        <f>L248+L247</f>
        <v>1123.6999999999998</v>
      </c>
      <c r="M249" s="181">
        <f>M248+M247</f>
        <v>37</v>
      </c>
      <c r="N249" s="180">
        <f>N248+N247</f>
        <v>3591956.5999999996</v>
      </c>
      <c r="O249" s="180">
        <v>0</v>
      </c>
      <c r="P249" s="180">
        <v>0</v>
      </c>
      <c r="Q249" s="180">
        <v>0</v>
      </c>
      <c r="R249" s="180">
        <f>SUM(R247:R248)</f>
        <v>3591956.5999999996</v>
      </c>
      <c r="S249" s="797">
        <f>N249/K249</f>
        <v>3196.5440953991279</v>
      </c>
      <c r="T249" s="178"/>
      <c r="U249" s="182"/>
      <c r="V249" s="144">
        <f t="shared" si="43"/>
        <v>-3196.5440953991279</v>
      </c>
      <c r="W249" s="145"/>
    </row>
    <row r="250" spans="1:23" s="159" customFormat="1" ht="9" customHeight="1">
      <c r="A250" s="828" t="s">
        <v>330</v>
      </c>
      <c r="B250" s="828"/>
      <c r="C250" s="828"/>
      <c r="D250" s="828"/>
      <c r="E250" s="828"/>
      <c r="F250" s="828"/>
      <c r="G250" s="828"/>
      <c r="H250" s="828"/>
      <c r="I250" s="828"/>
      <c r="J250" s="828"/>
      <c r="K250" s="828"/>
      <c r="L250" s="828"/>
      <c r="M250" s="828"/>
      <c r="N250" s="828"/>
      <c r="O250" s="828"/>
      <c r="P250" s="828"/>
      <c r="Q250" s="828"/>
      <c r="R250" s="828"/>
      <c r="S250" s="828"/>
      <c r="T250" s="828"/>
      <c r="U250" s="828"/>
      <c r="V250" s="144">
        <f t="shared" si="43"/>
        <v>0</v>
      </c>
      <c r="W250" s="145"/>
    </row>
    <row r="251" spans="1:23" s="159" customFormat="1" ht="9" customHeight="1">
      <c r="A251" s="178">
        <v>194</v>
      </c>
      <c r="B251" s="179" t="s">
        <v>333</v>
      </c>
      <c r="C251" s="791" t="s">
        <v>1005</v>
      </c>
      <c r="D251" s="791"/>
      <c r="E251" s="178">
        <v>1994</v>
      </c>
      <c r="F251" s="790"/>
      <c r="G251" s="178" t="s">
        <v>90</v>
      </c>
      <c r="H251" s="178">
        <v>5</v>
      </c>
      <c r="I251" s="178">
        <v>6</v>
      </c>
      <c r="J251" s="180">
        <v>5721.7</v>
      </c>
      <c r="K251" s="178">
        <v>4263.7</v>
      </c>
      <c r="L251" s="178">
        <v>4263.7</v>
      </c>
      <c r="M251" s="178">
        <v>179</v>
      </c>
      <c r="N251" s="180">
        <f>'Приложение 2'!E254</f>
        <v>3865908.46</v>
      </c>
      <c r="O251" s="180">
        <v>0</v>
      </c>
      <c r="P251" s="180">
        <v>0</v>
      </c>
      <c r="Q251" s="180">
        <v>0</v>
      </c>
      <c r="R251" s="180">
        <f>N251</f>
        <v>3865908.46</v>
      </c>
      <c r="S251" s="797">
        <f>N251/K251</f>
        <v>906.70273705936165</v>
      </c>
      <c r="T251" s="797">
        <v>4180</v>
      </c>
      <c r="U251" s="182" t="s">
        <v>228</v>
      </c>
      <c r="V251" s="144">
        <f t="shared" si="43"/>
        <v>3273.2972629406386</v>
      </c>
      <c r="W251" s="145"/>
    </row>
    <row r="252" spans="1:23" s="159" customFormat="1" ht="9" customHeight="1">
      <c r="A252" s="178">
        <v>195</v>
      </c>
      <c r="B252" s="179" t="s">
        <v>334</v>
      </c>
      <c r="C252" s="791" t="s">
        <v>1005</v>
      </c>
      <c r="D252" s="791"/>
      <c r="E252" s="178">
        <v>1981</v>
      </c>
      <c r="F252" s="178"/>
      <c r="G252" s="178" t="s">
        <v>88</v>
      </c>
      <c r="H252" s="178">
        <v>5</v>
      </c>
      <c r="I252" s="178">
        <v>6</v>
      </c>
      <c r="J252" s="180">
        <v>4358</v>
      </c>
      <c r="K252" s="183">
        <v>2648.9</v>
      </c>
      <c r="L252" s="183">
        <v>2648.9</v>
      </c>
      <c r="M252" s="178">
        <v>129</v>
      </c>
      <c r="N252" s="180">
        <f>'Приложение 2'!E255</f>
        <v>2731177.68</v>
      </c>
      <c r="O252" s="180">
        <v>0</v>
      </c>
      <c r="P252" s="180">
        <v>0</v>
      </c>
      <c r="Q252" s="180">
        <v>0</v>
      </c>
      <c r="R252" s="180">
        <f>N252</f>
        <v>2731177.68</v>
      </c>
      <c r="S252" s="797">
        <f>N252/K252</f>
        <v>1031.0610744082448</v>
      </c>
      <c r="T252" s="797">
        <v>4180</v>
      </c>
      <c r="U252" s="182" t="s">
        <v>228</v>
      </c>
      <c r="V252" s="144">
        <f t="shared" si="43"/>
        <v>3148.9389255917549</v>
      </c>
      <c r="W252" s="145"/>
    </row>
    <row r="253" spans="1:23" s="159" customFormat="1" ht="21.75" customHeight="1">
      <c r="A253" s="836" t="s">
        <v>331</v>
      </c>
      <c r="B253" s="836"/>
      <c r="C253" s="178"/>
      <c r="D253" s="178"/>
      <c r="E253" s="794" t="s">
        <v>391</v>
      </c>
      <c r="F253" s="794" t="s">
        <v>391</v>
      </c>
      <c r="G253" s="794" t="s">
        <v>391</v>
      </c>
      <c r="H253" s="794" t="s">
        <v>391</v>
      </c>
      <c r="I253" s="794" t="s">
        <v>391</v>
      </c>
      <c r="J253" s="180">
        <f t="shared" ref="J253:R253" si="52">SUM(J251:J252)</f>
        <v>10079.700000000001</v>
      </c>
      <c r="K253" s="180">
        <f t="shared" si="52"/>
        <v>6912.6</v>
      </c>
      <c r="L253" s="180">
        <f t="shared" si="52"/>
        <v>6912.6</v>
      </c>
      <c r="M253" s="130">
        <f t="shared" si="52"/>
        <v>308</v>
      </c>
      <c r="N253" s="180">
        <f t="shared" si="52"/>
        <v>6597086.1400000006</v>
      </c>
      <c r="O253" s="180">
        <f t="shared" si="52"/>
        <v>0</v>
      </c>
      <c r="P253" s="180">
        <f t="shared" si="52"/>
        <v>0</v>
      </c>
      <c r="Q253" s="180">
        <f t="shared" si="52"/>
        <v>0</v>
      </c>
      <c r="R253" s="180">
        <f t="shared" si="52"/>
        <v>6597086.1400000006</v>
      </c>
      <c r="S253" s="797">
        <f>N253/K253</f>
        <v>954.35670225385536</v>
      </c>
      <c r="T253" s="178"/>
      <c r="U253" s="182"/>
      <c r="V253" s="144">
        <f t="shared" si="43"/>
        <v>-954.35670225385536</v>
      </c>
      <c r="W253" s="145"/>
    </row>
    <row r="254" spans="1:23" s="159" customFormat="1" ht="9" customHeight="1">
      <c r="A254" s="821" t="s">
        <v>405</v>
      </c>
      <c r="B254" s="821"/>
      <c r="C254" s="821"/>
      <c r="D254" s="821"/>
      <c r="E254" s="821"/>
      <c r="F254" s="821"/>
      <c r="G254" s="821"/>
      <c r="H254" s="821"/>
      <c r="I254" s="821"/>
      <c r="J254" s="821"/>
      <c r="K254" s="821"/>
      <c r="L254" s="821"/>
      <c r="M254" s="821"/>
      <c r="N254" s="821"/>
      <c r="O254" s="821"/>
      <c r="P254" s="821"/>
      <c r="Q254" s="821"/>
      <c r="R254" s="821"/>
      <c r="S254" s="821"/>
      <c r="T254" s="821"/>
      <c r="U254" s="821"/>
      <c r="V254" s="144">
        <f t="shared" si="43"/>
        <v>0</v>
      </c>
      <c r="W254" s="145"/>
    </row>
    <row r="255" spans="1:23" s="159" customFormat="1" ht="9" customHeight="1">
      <c r="A255" s="794">
        <v>196</v>
      </c>
      <c r="B255" s="785" t="s">
        <v>407</v>
      </c>
      <c r="C255" s="794" t="s">
        <v>1006</v>
      </c>
      <c r="D255" s="794"/>
      <c r="E255" s="794">
        <v>1959</v>
      </c>
      <c r="F255" s="794"/>
      <c r="G255" s="794" t="s">
        <v>88</v>
      </c>
      <c r="H255" s="794" t="s">
        <v>73</v>
      </c>
      <c r="I255" s="794" t="s">
        <v>73</v>
      </c>
      <c r="J255" s="797">
        <v>1003.5</v>
      </c>
      <c r="K255" s="797">
        <v>804.01</v>
      </c>
      <c r="L255" s="797">
        <v>733.21</v>
      </c>
      <c r="M255" s="794">
        <v>32</v>
      </c>
      <c r="N255" s="797">
        <f>'Приложение 2'!E258</f>
        <v>2050199.17</v>
      </c>
      <c r="O255" s="797">
        <v>0</v>
      </c>
      <c r="P255" s="797">
        <v>0</v>
      </c>
      <c r="Q255" s="797">
        <v>0</v>
      </c>
      <c r="R255" s="797">
        <f>N255</f>
        <v>2050199.17</v>
      </c>
      <c r="S255" s="797">
        <f>N255/K255</f>
        <v>2549.9672516510986</v>
      </c>
      <c r="T255" s="797">
        <v>4503.95</v>
      </c>
      <c r="U255" s="132" t="s">
        <v>228</v>
      </c>
      <c r="V255" s="144">
        <f t="shared" si="43"/>
        <v>1953.9827483489012</v>
      </c>
      <c r="W255" s="145"/>
    </row>
    <row r="256" spans="1:23" s="159" customFormat="1" ht="20.25" customHeight="1">
      <c r="A256" s="822" t="s">
        <v>406</v>
      </c>
      <c r="B256" s="822"/>
      <c r="C256" s="785"/>
      <c r="D256" s="785"/>
      <c r="E256" s="794" t="s">
        <v>391</v>
      </c>
      <c r="F256" s="794" t="s">
        <v>391</v>
      </c>
      <c r="G256" s="794" t="s">
        <v>391</v>
      </c>
      <c r="H256" s="794" t="s">
        <v>391</v>
      </c>
      <c r="I256" s="794" t="s">
        <v>391</v>
      </c>
      <c r="J256" s="797">
        <f t="shared" ref="J256:R256" si="53">SUM(J255:J255)</f>
        <v>1003.5</v>
      </c>
      <c r="K256" s="797">
        <f t="shared" si="53"/>
        <v>804.01</v>
      </c>
      <c r="L256" s="797">
        <f t="shared" si="53"/>
        <v>733.21</v>
      </c>
      <c r="M256" s="130">
        <f t="shared" si="53"/>
        <v>32</v>
      </c>
      <c r="N256" s="797">
        <f t="shared" si="53"/>
        <v>2050199.17</v>
      </c>
      <c r="O256" s="797">
        <f t="shared" si="53"/>
        <v>0</v>
      </c>
      <c r="P256" s="797">
        <f t="shared" si="53"/>
        <v>0</v>
      </c>
      <c r="Q256" s="797">
        <f t="shared" si="53"/>
        <v>0</v>
      </c>
      <c r="R256" s="797">
        <f t="shared" si="53"/>
        <v>2050199.17</v>
      </c>
      <c r="S256" s="797">
        <f>N256/K256</f>
        <v>2549.9672516510986</v>
      </c>
      <c r="T256" s="794"/>
      <c r="U256" s="132"/>
      <c r="V256" s="144">
        <f t="shared" si="43"/>
        <v>-2549.9672516510986</v>
      </c>
      <c r="W256" s="145"/>
    </row>
    <row r="257" spans="1:23" s="159" customFormat="1" ht="9" customHeight="1">
      <c r="A257" s="821" t="s">
        <v>427</v>
      </c>
      <c r="B257" s="821"/>
      <c r="C257" s="821"/>
      <c r="D257" s="821"/>
      <c r="E257" s="821"/>
      <c r="F257" s="821"/>
      <c r="G257" s="821"/>
      <c r="H257" s="821"/>
      <c r="I257" s="821"/>
      <c r="J257" s="821"/>
      <c r="K257" s="821"/>
      <c r="L257" s="821"/>
      <c r="M257" s="821"/>
      <c r="N257" s="821"/>
      <c r="O257" s="821"/>
      <c r="P257" s="821"/>
      <c r="Q257" s="821"/>
      <c r="R257" s="821"/>
      <c r="S257" s="821"/>
      <c r="T257" s="821"/>
      <c r="U257" s="821"/>
      <c r="V257" s="144">
        <f t="shared" si="43"/>
        <v>0</v>
      </c>
      <c r="W257" s="145"/>
    </row>
    <row r="258" spans="1:23" s="159" customFormat="1" ht="9" customHeight="1">
      <c r="A258" s="794">
        <v>197</v>
      </c>
      <c r="B258" s="156" t="s">
        <v>413</v>
      </c>
      <c r="C258" s="785" t="s">
        <v>1005</v>
      </c>
      <c r="D258" s="785"/>
      <c r="E258" s="794">
        <v>1979</v>
      </c>
      <c r="F258" s="786"/>
      <c r="G258" s="794" t="s">
        <v>90</v>
      </c>
      <c r="H258" s="794">
        <v>5</v>
      </c>
      <c r="I258" s="794">
        <v>6</v>
      </c>
      <c r="J258" s="149">
        <v>5615.9</v>
      </c>
      <c r="K258" s="149">
        <v>4523.8999999999996</v>
      </c>
      <c r="L258" s="149">
        <v>4260.8</v>
      </c>
      <c r="M258" s="794">
        <v>192</v>
      </c>
      <c r="N258" s="797">
        <f>'Приложение 2'!E261</f>
        <v>4206410</v>
      </c>
      <c r="O258" s="797">
        <v>0</v>
      </c>
      <c r="P258" s="797">
        <v>0</v>
      </c>
      <c r="Q258" s="797">
        <v>0</v>
      </c>
      <c r="R258" s="797">
        <f t="shared" ref="R258:R263" si="54">N258</f>
        <v>4206410</v>
      </c>
      <c r="S258" s="797">
        <f t="shared" ref="S258:S263" si="55">N258/K258</f>
        <v>929.81940361192778</v>
      </c>
      <c r="T258" s="797">
        <v>4180</v>
      </c>
      <c r="U258" s="132" t="s">
        <v>228</v>
      </c>
      <c r="V258" s="144">
        <f t="shared" si="43"/>
        <v>3250.1805963880724</v>
      </c>
      <c r="W258" s="145"/>
    </row>
    <row r="259" spans="1:23" s="159" customFormat="1" ht="9" customHeight="1">
      <c r="A259" s="794">
        <v>198</v>
      </c>
      <c r="B259" s="156" t="s">
        <v>371</v>
      </c>
      <c r="C259" s="785" t="s">
        <v>1005</v>
      </c>
      <c r="D259" s="785"/>
      <c r="E259" s="794">
        <v>1988</v>
      </c>
      <c r="F259" s="794"/>
      <c r="G259" s="794" t="s">
        <v>244</v>
      </c>
      <c r="H259" s="794">
        <v>5</v>
      </c>
      <c r="I259" s="794">
        <v>8</v>
      </c>
      <c r="J259" s="797">
        <v>5752.2</v>
      </c>
      <c r="K259" s="797">
        <v>4929.2</v>
      </c>
      <c r="L259" s="797">
        <v>4871</v>
      </c>
      <c r="M259" s="130">
        <v>250</v>
      </c>
      <c r="N259" s="797">
        <f>'Приложение 2'!E262</f>
        <v>4307392.5599999996</v>
      </c>
      <c r="O259" s="797">
        <v>0</v>
      </c>
      <c r="P259" s="797">
        <v>0</v>
      </c>
      <c r="Q259" s="797">
        <v>0</v>
      </c>
      <c r="R259" s="797">
        <f t="shared" si="54"/>
        <v>4307392.5599999996</v>
      </c>
      <c r="S259" s="797">
        <f>N259/K259</f>
        <v>873.85226000162288</v>
      </c>
      <c r="T259" s="797">
        <v>4180</v>
      </c>
      <c r="U259" s="132" t="s">
        <v>228</v>
      </c>
      <c r="V259" s="144">
        <f t="shared" si="43"/>
        <v>3306.1477399983769</v>
      </c>
      <c r="W259" s="145"/>
    </row>
    <row r="260" spans="1:23" s="159" customFormat="1" ht="9" customHeight="1">
      <c r="A260" s="794">
        <v>199</v>
      </c>
      <c r="B260" s="156" t="s">
        <v>336</v>
      </c>
      <c r="C260" s="785" t="s">
        <v>1005</v>
      </c>
      <c r="D260" s="785"/>
      <c r="E260" s="794">
        <v>1974</v>
      </c>
      <c r="F260" s="794"/>
      <c r="G260" s="794" t="s">
        <v>244</v>
      </c>
      <c r="H260" s="794">
        <v>5</v>
      </c>
      <c r="I260" s="794">
        <v>4</v>
      </c>
      <c r="J260" s="797">
        <v>4325</v>
      </c>
      <c r="K260" s="797">
        <v>3395</v>
      </c>
      <c r="L260" s="797">
        <v>3395</v>
      </c>
      <c r="M260" s="130">
        <v>152</v>
      </c>
      <c r="N260" s="797">
        <f>'Приложение 2'!E263</f>
        <v>3629686.28</v>
      </c>
      <c r="O260" s="797">
        <v>0</v>
      </c>
      <c r="P260" s="797">
        <v>0</v>
      </c>
      <c r="Q260" s="797">
        <v>0</v>
      </c>
      <c r="R260" s="797">
        <f t="shared" si="54"/>
        <v>3629686.28</v>
      </c>
      <c r="S260" s="797">
        <f t="shared" si="55"/>
        <v>1069.1270338733432</v>
      </c>
      <c r="T260" s="797">
        <v>4180</v>
      </c>
      <c r="U260" s="132" t="s">
        <v>228</v>
      </c>
      <c r="V260" s="144">
        <f t="shared" si="43"/>
        <v>3110.872966126657</v>
      </c>
      <c r="W260" s="145"/>
    </row>
    <row r="261" spans="1:23" s="159" customFormat="1" ht="9" customHeight="1">
      <c r="A261" s="794">
        <v>200</v>
      </c>
      <c r="B261" s="156" t="s">
        <v>339</v>
      </c>
      <c r="C261" s="785" t="s">
        <v>1006</v>
      </c>
      <c r="D261" s="785"/>
      <c r="E261" s="794">
        <v>1976</v>
      </c>
      <c r="F261" s="794"/>
      <c r="G261" s="794" t="s">
        <v>244</v>
      </c>
      <c r="H261" s="794">
        <v>2</v>
      </c>
      <c r="I261" s="794">
        <v>3</v>
      </c>
      <c r="J261" s="797">
        <v>989.8</v>
      </c>
      <c r="K261" s="797">
        <v>906.6</v>
      </c>
      <c r="L261" s="797">
        <v>906.6</v>
      </c>
      <c r="M261" s="130">
        <v>36</v>
      </c>
      <c r="N261" s="797">
        <f>'Приложение 2'!E264</f>
        <v>2417022.98</v>
      </c>
      <c r="O261" s="797">
        <v>0</v>
      </c>
      <c r="P261" s="797">
        <v>0</v>
      </c>
      <c r="Q261" s="797">
        <v>0</v>
      </c>
      <c r="R261" s="797">
        <f t="shared" si="54"/>
        <v>2417022.98</v>
      </c>
      <c r="S261" s="797">
        <f t="shared" si="55"/>
        <v>2666.030200750055</v>
      </c>
      <c r="T261" s="797">
        <v>4503.95</v>
      </c>
      <c r="U261" s="132" t="s">
        <v>228</v>
      </c>
      <c r="V261" s="144">
        <f t="shared" si="43"/>
        <v>1837.9197992499448</v>
      </c>
      <c r="W261" s="145"/>
    </row>
    <row r="262" spans="1:23" s="159" customFormat="1" ht="9" customHeight="1">
      <c r="A262" s="794">
        <v>201</v>
      </c>
      <c r="B262" s="156" t="s">
        <v>337</v>
      </c>
      <c r="C262" s="785" t="s">
        <v>1006</v>
      </c>
      <c r="D262" s="785"/>
      <c r="E262" s="794">
        <v>1960</v>
      </c>
      <c r="F262" s="794"/>
      <c r="G262" s="794" t="s">
        <v>244</v>
      </c>
      <c r="H262" s="794">
        <v>2</v>
      </c>
      <c r="I262" s="794">
        <v>2</v>
      </c>
      <c r="J262" s="797">
        <v>435.8</v>
      </c>
      <c r="K262" s="797">
        <v>397.4</v>
      </c>
      <c r="L262" s="797">
        <v>397.4</v>
      </c>
      <c r="M262" s="130">
        <v>15</v>
      </c>
      <c r="N262" s="797">
        <f>'Приложение 2'!E265</f>
        <v>1226713.3700000001</v>
      </c>
      <c r="O262" s="797">
        <v>0</v>
      </c>
      <c r="P262" s="797">
        <v>0</v>
      </c>
      <c r="Q262" s="797">
        <v>0</v>
      </c>
      <c r="R262" s="797">
        <f t="shared" si="54"/>
        <v>1226713.3700000001</v>
      </c>
      <c r="S262" s="797">
        <f t="shared" si="55"/>
        <v>3086.8479365878211</v>
      </c>
      <c r="T262" s="797">
        <v>4503.95</v>
      </c>
      <c r="U262" s="132" t="s">
        <v>228</v>
      </c>
      <c r="V262" s="144">
        <f t="shared" si="43"/>
        <v>1417.1020634121787</v>
      </c>
      <c r="W262" s="145"/>
    </row>
    <row r="263" spans="1:23" s="159" customFormat="1" ht="9" customHeight="1">
      <c r="A263" s="794">
        <v>202</v>
      </c>
      <c r="B263" s="156" t="s">
        <v>338</v>
      </c>
      <c r="C263" s="785" t="s">
        <v>1006</v>
      </c>
      <c r="D263" s="785"/>
      <c r="E263" s="794">
        <v>1964</v>
      </c>
      <c r="F263" s="794"/>
      <c r="G263" s="794" t="s">
        <v>340</v>
      </c>
      <c r="H263" s="794">
        <v>2</v>
      </c>
      <c r="I263" s="794">
        <v>2</v>
      </c>
      <c r="J263" s="797">
        <v>545.70000000000005</v>
      </c>
      <c r="K263" s="797">
        <v>500.7</v>
      </c>
      <c r="L263" s="797">
        <v>500.7</v>
      </c>
      <c r="M263" s="130">
        <v>23</v>
      </c>
      <c r="N263" s="797">
        <f>'Приложение 2'!E266</f>
        <v>1465530.74</v>
      </c>
      <c r="O263" s="797">
        <v>0</v>
      </c>
      <c r="P263" s="797">
        <v>0</v>
      </c>
      <c r="Q263" s="797">
        <v>0</v>
      </c>
      <c r="R263" s="797">
        <f t="shared" si="54"/>
        <v>1465530.74</v>
      </c>
      <c r="S263" s="797">
        <f t="shared" si="55"/>
        <v>2926.9637307769121</v>
      </c>
      <c r="T263" s="797">
        <v>4503.95</v>
      </c>
      <c r="U263" s="132" t="s">
        <v>228</v>
      </c>
      <c r="V263" s="144">
        <f t="shared" si="43"/>
        <v>1576.9862692230877</v>
      </c>
      <c r="W263" s="145"/>
    </row>
    <row r="264" spans="1:23" s="159" customFormat="1" ht="21" customHeight="1">
      <c r="A264" s="822" t="s">
        <v>428</v>
      </c>
      <c r="B264" s="822"/>
      <c r="C264" s="785"/>
      <c r="D264" s="785"/>
      <c r="E264" s="141" t="s">
        <v>391</v>
      </c>
      <c r="F264" s="141" t="s">
        <v>391</v>
      </c>
      <c r="G264" s="141" t="s">
        <v>391</v>
      </c>
      <c r="H264" s="141" t="s">
        <v>391</v>
      </c>
      <c r="I264" s="141" t="s">
        <v>391</v>
      </c>
      <c r="J264" s="797">
        <f t="shared" ref="J264:R264" si="56">SUM(J258:J263)</f>
        <v>17664.399999999998</v>
      </c>
      <c r="K264" s="797">
        <f t="shared" si="56"/>
        <v>14652.8</v>
      </c>
      <c r="L264" s="797">
        <f t="shared" si="56"/>
        <v>14331.5</v>
      </c>
      <c r="M264" s="130">
        <f t="shared" si="56"/>
        <v>668</v>
      </c>
      <c r="N264" s="797">
        <f t="shared" si="56"/>
        <v>17252755.929999996</v>
      </c>
      <c r="O264" s="797">
        <f t="shared" si="56"/>
        <v>0</v>
      </c>
      <c r="P264" s="797">
        <f t="shared" si="56"/>
        <v>0</v>
      </c>
      <c r="Q264" s="797">
        <f t="shared" si="56"/>
        <v>0</v>
      </c>
      <c r="R264" s="797">
        <f t="shared" si="56"/>
        <v>17252755.929999996</v>
      </c>
      <c r="S264" s="797">
        <f>N264/K264</f>
        <v>1177.4374815734875</v>
      </c>
      <c r="T264" s="794"/>
      <c r="U264" s="132"/>
      <c r="V264" s="144">
        <f t="shared" si="43"/>
        <v>-1177.4374815734875</v>
      </c>
      <c r="W264" s="145"/>
    </row>
    <row r="265" spans="1:23" s="159" customFormat="1" ht="9" customHeight="1">
      <c r="A265" s="821" t="s">
        <v>341</v>
      </c>
      <c r="B265" s="821"/>
      <c r="C265" s="821"/>
      <c r="D265" s="821"/>
      <c r="E265" s="821"/>
      <c r="F265" s="821"/>
      <c r="G265" s="821"/>
      <c r="H265" s="821"/>
      <c r="I265" s="821"/>
      <c r="J265" s="821"/>
      <c r="K265" s="821"/>
      <c r="L265" s="821"/>
      <c r="M265" s="821"/>
      <c r="N265" s="821"/>
      <c r="O265" s="821"/>
      <c r="P265" s="821"/>
      <c r="Q265" s="821"/>
      <c r="R265" s="821"/>
      <c r="S265" s="821"/>
      <c r="T265" s="821"/>
      <c r="U265" s="821"/>
      <c r="V265" s="144">
        <f t="shared" si="43"/>
        <v>0</v>
      </c>
      <c r="W265" s="145"/>
    </row>
    <row r="266" spans="1:23" s="159" customFormat="1" ht="9" customHeight="1">
      <c r="A266" s="794">
        <v>203</v>
      </c>
      <c r="B266" s="156" t="s">
        <v>343</v>
      </c>
      <c r="C266" s="785" t="s">
        <v>1006</v>
      </c>
      <c r="D266" s="785"/>
      <c r="E266" s="794">
        <v>1962</v>
      </c>
      <c r="F266" s="794"/>
      <c r="G266" s="794" t="s">
        <v>88</v>
      </c>
      <c r="H266" s="794">
        <v>2</v>
      </c>
      <c r="I266" s="794">
        <v>1</v>
      </c>
      <c r="J266" s="149">
        <v>224.7</v>
      </c>
      <c r="K266" s="149">
        <v>220.9</v>
      </c>
      <c r="L266" s="149">
        <v>189.6</v>
      </c>
      <c r="M266" s="794">
        <v>7</v>
      </c>
      <c r="N266" s="797">
        <f>'Приложение 2'!E269</f>
        <v>942574.3</v>
      </c>
      <c r="O266" s="797">
        <v>0</v>
      </c>
      <c r="P266" s="797">
        <v>0</v>
      </c>
      <c r="Q266" s="797">
        <v>0</v>
      </c>
      <c r="R266" s="797">
        <f>N266</f>
        <v>942574.3</v>
      </c>
      <c r="S266" s="797">
        <f>N266/K266</f>
        <v>4266.9728383884112</v>
      </c>
      <c r="T266" s="797">
        <v>4503.95</v>
      </c>
      <c r="U266" s="132" t="s">
        <v>228</v>
      </c>
      <c r="V266" s="144">
        <f t="shared" si="43"/>
        <v>236.9771616115886</v>
      </c>
      <c r="W266" s="145"/>
    </row>
    <row r="267" spans="1:23" s="159" customFormat="1" ht="9" customHeight="1">
      <c r="A267" s="794">
        <v>204</v>
      </c>
      <c r="B267" s="156" t="s">
        <v>344</v>
      </c>
      <c r="C267" s="785" t="s">
        <v>1006</v>
      </c>
      <c r="D267" s="785"/>
      <c r="E267" s="794">
        <v>1966</v>
      </c>
      <c r="F267" s="794"/>
      <c r="G267" s="794" t="s">
        <v>88</v>
      </c>
      <c r="H267" s="794">
        <v>2</v>
      </c>
      <c r="I267" s="794">
        <v>2</v>
      </c>
      <c r="J267" s="797">
        <v>528.9</v>
      </c>
      <c r="K267" s="797">
        <v>527.70000000000005</v>
      </c>
      <c r="L267" s="797">
        <v>288.5</v>
      </c>
      <c r="M267" s="130">
        <v>17</v>
      </c>
      <c r="N267" s="797">
        <f>'Приложение 2'!E270</f>
        <v>1650167.8</v>
      </c>
      <c r="O267" s="797">
        <v>0</v>
      </c>
      <c r="P267" s="797">
        <v>0</v>
      </c>
      <c r="Q267" s="797">
        <v>0</v>
      </c>
      <c r="R267" s="797">
        <f>N267</f>
        <v>1650167.8</v>
      </c>
      <c r="S267" s="797">
        <f>N267/K267</f>
        <v>3127.0945613037711</v>
      </c>
      <c r="T267" s="797">
        <v>4503.95</v>
      </c>
      <c r="U267" s="132" t="s">
        <v>228</v>
      </c>
      <c r="V267" s="144">
        <f t="shared" si="43"/>
        <v>1376.8554386962287</v>
      </c>
      <c r="W267" s="145"/>
    </row>
    <row r="268" spans="1:23" s="159" customFormat="1" ht="20.25" customHeight="1">
      <c r="A268" s="822" t="s">
        <v>342</v>
      </c>
      <c r="B268" s="822"/>
      <c r="C268" s="785"/>
      <c r="D268" s="785"/>
      <c r="E268" s="141" t="s">
        <v>391</v>
      </c>
      <c r="F268" s="141" t="s">
        <v>391</v>
      </c>
      <c r="G268" s="141" t="s">
        <v>391</v>
      </c>
      <c r="H268" s="141" t="s">
        <v>391</v>
      </c>
      <c r="I268" s="141" t="s">
        <v>391</v>
      </c>
      <c r="J268" s="797">
        <f t="shared" ref="J268:R268" si="57">SUM(J266:J267)</f>
        <v>753.59999999999991</v>
      </c>
      <c r="K268" s="797">
        <f t="shared" si="57"/>
        <v>748.6</v>
      </c>
      <c r="L268" s="797">
        <f t="shared" si="57"/>
        <v>478.1</v>
      </c>
      <c r="M268" s="130">
        <f t="shared" si="57"/>
        <v>24</v>
      </c>
      <c r="N268" s="797">
        <f t="shared" si="57"/>
        <v>2592742.1</v>
      </c>
      <c r="O268" s="797">
        <f t="shared" si="57"/>
        <v>0</v>
      </c>
      <c r="P268" s="797">
        <f t="shared" si="57"/>
        <v>0</v>
      </c>
      <c r="Q268" s="797">
        <f t="shared" si="57"/>
        <v>0</v>
      </c>
      <c r="R268" s="797">
        <f t="shared" si="57"/>
        <v>2592742.1</v>
      </c>
      <c r="S268" s="797">
        <f>N268/K268</f>
        <v>3463.4545818861875</v>
      </c>
      <c r="T268" s="794"/>
      <c r="U268" s="132"/>
      <c r="V268" s="144">
        <f t="shared" si="43"/>
        <v>-3463.4545818861875</v>
      </c>
      <c r="W268" s="145"/>
    </row>
    <row r="269" spans="1:23" s="159" customFormat="1" ht="9" customHeight="1">
      <c r="A269" s="821" t="s">
        <v>345</v>
      </c>
      <c r="B269" s="821"/>
      <c r="C269" s="821"/>
      <c r="D269" s="821"/>
      <c r="E269" s="821"/>
      <c r="F269" s="821"/>
      <c r="G269" s="821"/>
      <c r="H269" s="821"/>
      <c r="I269" s="821"/>
      <c r="J269" s="821"/>
      <c r="K269" s="821"/>
      <c r="L269" s="821"/>
      <c r="M269" s="821"/>
      <c r="N269" s="821"/>
      <c r="O269" s="821"/>
      <c r="P269" s="821"/>
      <c r="Q269" s="821"/>
      <c r="R269" s="821"/>
      <c r="S269" s="821"/>
      <c r="T269" s="821"/>
      <c r="U269" s="821"/>
      <c r="V269" s="144">
        <f t="shared" si="43"/>
        <v>0</v>
      </c>
      <c r="W269" s="145"/>
    </row>
    <row r="270" spans="1:23" s="159" customFormat="1" ht="9" customHeight="1">
      <c r="A270" s="794">
        <v>205</v>
      </c>
      <c r="B270" s="156" t="s">
        <v>348</v>
      </c>
      <c r="C270" s="785" t="s">
        <v>1006</v>
      </c>
      <c r="D270" s="785"/>
      <c r="E270" s="794">
        <v>1960</v>
      </c>
      <c r="F270" s="794"/>
      <c r="G270" s="794" t="s">
        <v>88</v>
      </c>
      <c r="H270" s="794" t="s">
        <v>73</v>
      </c>
      <c r="I270" s="794" t="s">
        <v>73</v>
      </c>
      <c r="J270" s="797">
        <v>594.9</v>
      </c>
      <c r="K270" s="797">
        <v>562.6</v>
      </c>
      <c r="L270" s="797">
        <v>480.5</v>
      </c>
      <c r="M270" s="130">
        <v>16</v>
      </c>
      <c r="N270" s="797">
        <f>'Приложение 2'!E273</f>
        <v>1838962.93</v>
      </c>
      <c r="O270" s="797">
        <v>0</v>
      </c>
      <c r="P270" s="797">
        <v>0</v>
      </c>
      <c r="Q270" s="797">
        <v>0</v>
      </c>
      <c r="R270" s="797">
        <f t="shared" ref="R270:R273" si="58">N270-Q270</f>
        <v>1838962.93</v>
      </c>
      <c r="S270" s="797">
        <f>N270/K270</f>
        <v>3268.6863313188765</v>
      </c>
      <c r="T270" s="797">
        <v>4503.95</v>
      </c>
      <c r="U270" s="132" t="s">
        <v>228</v>
      </c>
      <c r="V270" s="144">
        <f t="shared" si="43"/>
        <v>1235.2636686811234</v>
      </c>
      <c r="W270" s="145"/>
    </row>
    <row r="271" spans="1:23" s="159" customFormat="1" ht="9" customHeight="1">
      <c r="A271" s="794">
        <v>206</v>
      </c>
      <c r="B271" s="156" t="s">
        <v>349</v>
      </c>
      <c r="C271" s="785" t="s">
        <v>1006</v>
      </c>
      <c r="D271" s="785"/>
      <c r="E271" s="794">
        <v>1969</v>
      </c>
      <c r="F271" s="794"/>
      <c r="G271" s="794" t="s">
        <v>88</v>
      </c>
      <c r="H271" s="794">
        <v>2</v>
      </c>
      <c r="I271" s="794">
        <v>1</v>
      </c>
      <c r="J271" s="797">
        <v>528.79999999999995</v>
      </c>
      <c r="K271" s="797">
        <v>440</v>
      </c>
      <c r="L271" s="797">
        <v>319.5</v>
      </c>
      <c r="M271" s="130">
        <v>21</v>
      </c>
      <c r="N271" s="797">
        <f>'Приложение 2'!E274</f>
        <v>1570295.59</v>
      </c>
      <c r="O271" s="797">
        <v>0</v>
      </c>
      <c r="P271" s="797">
        <v>0</v>
      </c>
      <c r="Q271" s="797">
        <v>0</v>
      </c>
      <c r="R271" s="797">
        <f t="shared" si="58"/>
        <v>1570295.59</v>
      </c>
      <c r="S271" s="797">
        <f>N271/K271</f>
        <v>3568.8536136363637</v>
      </c>
      <c r="T271" s="797">
        <v>4503.95</v>
      </c>
      <c r="U271" s="132" t="s">
        <v>228</v>
      </c>
      <c r="V271" s="144">
        <f t="shared" si="43"/>
        <v>935.09638636363616</v>
      </c>
      <c r="W271" s="145"/>
    </row>
    <row r="272" spans="1:23" s="159" customFormat="1" ht="9" customHeight="1">
      <c r="A272" s="794">
        <v>207</v>
      </c>
      <c r="B272" s="156" t="s">
        <v>347</v>
      </c>
      <c r="C272" s="785" t="s">
        <v>1005</v>
      </c>
      <c r="D272" s="785"/>
      <c r="E272" s="794">
        <v>1987</v>
      </c>
      <c r="F272" s="794"/>
      <c r="G272" s="794" t="s">
        <v>88</v>
      </c>
      <c r="H272" s="794">
        <v>3</v>
      </c>
      <c r="I272" s="794">
        <v>3</v>
      </c>
      <c r="J272" s="797">
        <v>1282.5</v>
      </c>
      <c r="K272" s="797">
        <v>1174.5</v>
      </c>
      <c r="L272" s="797">
        <v>1124.5999999999999</v>
      </c>
      <c r="M272" s="130">
        <v>42</v>
      </c>
      <c r="N272" s="797">
        <f>'Приложение 2'!E275</f>
        <v>2207655.35</v>
      </c>
      <c r="O272" s="797">
        <v>0</v>
      </c>
      <c r="P272" s="797">
        <v>0</v>
      </c>
      <c r="Q272" s="797">
        <v>0</v>
      </c>
      <c r="R272" s="797">
        <f t="shared" si="58"/>
        <v>2207655.35</v>
      </c>
      <c r="S272" s="797">
        <f>N272/K272</f>
        <v>1879.6554704129417</v>
      </c>
      <c r="T272" s="797">
        <v>4180</v>
      </c>
      <c r="U272" s="132" t="s">
        <v>228</v>
      </c>
      <c r="V272" s="144">
        <f t="shared" si="43"/>
        <v>2300.3445295870583</v>
      </c>
      <c r="W272" s="145"/>
    </row>
    <row r="273" spans="1:23" s="159" customFormat="1" ht="9" customHeight="1">
      <c r="A273" s="794">
        <v>208</v>
      </c>
      <c r="B273" s="156" t="s">
        <v>350</v>
      </c>
      <c r="C273" s="785" t="s">
        <v>1006</v>
      </c>
      <c r="D273" s="785"/>
      <c r="E273" s="794">
        <v>1964</v>
      </c>
      <c r="F273" s="794"/>
      <c r="G273" s="794" t="s">
        <v>88</v>
      </c>
      <c r="H273" s="794">
        <v>2</v>
      </c>
      <c r="I273" s="794">
        <v>1</v>
      </c>
      <c r="J273" s="797">
        <v>408.6</v>
      </c>
      <c r="K273" s="797">
        <v>369.2</v>
      </c>
      <c r="L273" s="797">
        <v>224.1</v>
      </c>
      <c r="M273" s="130">
        <v>7</v>
      </c>
      <c r="N273" s="797">
        <f>'Приложение 2'!E276</f>
        <v>1260678.97</v>
      </c>
      <c r="O273" s="797">
        <v>0</v>
      </c>
      <c r="P273" s="797">
        <v>0</v>
      </c>
      <c r="Q273" s="797">
        <v>0</v>
      </c>
      <c r="R273" s="797">
        <f t="shared" si="58"/>
        <v>1260678.97</v>
      </c>
      <c r="S273" s="797">
        <f>N273/K273</f>
        <v>3414.6234290357529</v>
      </c>
      <c r="T273" s="797">
        <v>4503.95</v>
      </c>
      <c r="U273" s="132" t="s">
        <v>228</v>
      </c>
      <c r="V273" s="144">
        <f t="shared" si="43"/>
        <v>1089.3265709642469</v>
      </c>
      <c r="W273" s="145"/>
    </row>
    <row r="274" spans="1:23" s="159" customFormat="1" ht="22.5" customHeight="1">
      <c r="A274" s="822" t="s">
        <v>1004</v>
      </c>
      <c r="B274" s="822"/>
      <c r="C274" s="785"/>
      <c r="D274" s="785"/>
      <c r="E274" s="141" t="s">
        <v>391</v>
      </c>
      <c r="F274" s="141" t="s">
        <v>391</v>
      </c>
      <c r="G274" s="141" t="s">
        <v>391</v>
      </c>
      <c r="H274" s="141" t="s">
        <v>391</v>
      </c>
      <c r="I274" s="141" t="s">
        <v>391</v>
      </c>
      <c r="J274" s="797">
        <f t="shared" ref="J274:R274" si="59">SUM(J270:J273)</f>
        <v>2814.7999999999997</v>
      </c>
      <c r="K274" s="797">
        <f t="shared" si="59"/>
        <v>2546.2999999999997</v>
      </c>
      <c r="L274" s="797">
        <f t="shared" si="59"/>
        <v>2148.6999999999998</v>
      </c>
      <c r="M274" s="130">
        <f t="shared" si="59"/>
        <v>86</v>
      </c>
      <c r="N274" s="797">
        <f t="shared" si="59"/>
        <v>6877592.8399999999</v>
      </c>
      <c r="O274" s="797">
        <f t="shared" si="59"/>
        <v>0</v>
      </c>
      <c r="P274" s="797">
        <f t="shared" si="59"/>
        <v>0</v>
      </c>
      <c r="Q274" s="797">
        <f t="shared" si="59"/>
        <v>0</v>
      </c>
      <c r="R274" s="797">
        <f t="shared" si="59"/>
        <v>6877592.8399999999</v>
      </c>
      <c r="S274" s="797">
        <f>N274/K274</f>
        <v>2701.0143502336728</v>
      </c>
      <c r="T274" s="794"/>
      <c r="U274" s="132"/>
      <c r="V274" s="144">
        <f t="shared" ref="V274:V337" si="60">T274-S274</f>
        <v>-2701.0143502336728</v>
      </c>
      <c r="W274" s="145"/>
    </row>
    <row r="275" spans="1:23" s="159" customFormat="1" ht="9" customHeight="1">
      <c r="A275" s="821" t="s">
        <v>425</v>
      </c>
      <c r="B275" s="821"/>
      <c r="C275" s="821"/>
      <c r="D275" s="821"/>
      <c r="E275" s="821"/>
      <c r="F275" s="821"/>
      <c r="G275" s="821"/>
      <c r="H275" s="821"/>
      <c r="I275" s="821"/>
      <c r="J275" s="821"/>
      <c r="K275" s="821"/>
      <c r="L275" s="821"/>
      <c r="M275" s="821"/>
      <c r="N275" s="821"/>
      <c r="O275" s="821"/>
      <c r="P275" s="821"/>
      <c r="Q275" s="821"/>
      <c r="R275" s="821"/>
      <c r="S275" s="821"/>
      <c r="T275" s="821"/>
      <c r="U275" s="821"/>
      <c r="V275" s="144">
        <f t="shared" si="60"/>
        <v>0</v>
      </c>
      <c r="W275" s="145"/>
    </row>
    <row r="276" spans="1:23" s="159" customFormat="1" ht="9" customHeight="1">
      <c r="A276" s="794">
        <v>209</v>
      </c>
      <c r="B276" s="156" t="s">
        <v>421</v>
      </c>
      <c r="C276" s="785" t="s">
        <v>1006</v>
      </c>
      <c r="D276" s="785"/>
      <c r="E276" s="794">
        <v>1978</v>
      </c>
      <c r="F276" s="794"/>
      <c r="G276" s="794" t="s">
        <v>88</v>
      </c>
      <c r="H276" s="794">
        <v>2</v>
      </c>
      <c r="I276" s="794">
        <v>1</v>
      </c>
      <c r="J276" s="797">
        <v>390.1</v>
      </c>
      <c r="K276" s="797">
        <v>383.1</v>
      </c>
      <c r="L276" s="797">
        <v>234.3</v>
      </c>
      <c r="M276" s="130">
        <v>15</v>
      </c>
      <c r="N276" s="797">
        <f>'Приложение 2'!E279</f>
        <v>1293694.5</v>
      </c>
      <c r="O276" s="797">
        <v>0</v>
      </c>
      <c r="P276" s="797">
        <v>0</v>
      </c>
      <c r="Q276" s="797">
        <v>0</v>
      </c>
      <c r="R276" s="797">
        <f>N276</f>
        <v>1293694.5</v>
      </c>
      <c r="S276" s="797">
        <f>N276/K276</f>
        <v>3376.9107282693813</v>
      </c>
      <c r="T276" s="797">
        <v>4503.95</v>
      </c>
      <c r="U276" s="132" t="s">
        <v>228</v>
      </c>
      <c r="V276" s="144">
        <f t="shared" si="60"/>
        <v>1127.0392717306186</v>
      </c>
      <c r="W276" s="145"/>
    </row>
    <row r="277" spans="1:23" s="159" customFormat="1" ht="9" customHeight="1">
      <c r="A277" s="794">
        <v>210</v>
      </c>
      <c r="B277" s="156" t="s">
        <v>422</v>
      </c>
      <c r="C277" s="785" t="s">
        <v>1006</v>
      </c>
      <c r="D277" s="785"/>
      <c r="E277" s="794">
        <v>1977</v>
      </c>
      <c r="F277" s="794"/>
      <c r="G277" s="794" t="s">
        <v>88</v>
      </c>
      <c r="H277" s="794">
        <v>2</v>
      </c>
      <c r="I277" s="794">
        <v>1</v>
      </c>
      <c r="J277" s="797">
        <v>394</v>
      </c>
      <c r="K277" s="797">
        <v>387.7</v>
      </c>
      <c r="L277" s="797">
        <v>234.3</v>
      </c>
      <c r="M277" s="130">
        <v>13</v>
      </c>
      <c r="N277" s="797">
        <f>'Приложение 2'!E280</f>
        <v>1293725.23</v>
      </c>
      <c r="O277" s="797">
        <v>0</v>
      </c>
      <c r="P277" s="797">
        <v>0</v>
      </c>
      <c r="Q277" s="797">
        <v>0</v>
      </c>
      <c r="R277" s="797">
        <f>N277</f>
        <v>1293725.23</v>
      </c>
      <c r="S277" s="797">
        <f>N277/K277</f>
        <v>3336.9234717565128</v>
      </c>
      <c r="T277" s="797">
        <v>4503.95</v>
      </c>
      <c r="U277" s="132" t="s">
        <v>228</v>
      </c>
      <c r="V277" s="144">
        <f t="shared" si="60"/>
        <v>1167.0265282434871</v>
      </c>
      <c r="W277" s="145"/>
    </row>
    <row r="278" spans="1:23" s="159" customFormat="1" ht="20.25" customHeight="1">
      <c r="A278" s="822" t="s">
        <v>424</v>
      </c>
      <c r="B278" s="822"/>
      <c r="C278" s="785"/>
      <c r="D278" s="785"/>
      <c r="E278" s="141" t="s">
        <v>391</v>
      </c>
      <c r="F278" s="141" t="s">
        <v>391</v>
      </c>
      <c r="G278" s="141" t="s">
        <v>391</v>
      </c>
      <c r="H278" s="141" t="s">
        <v>391</v>
      </c>
      <c r="I278" s="141" t="s">
        <v>391</v>
      </c>
      <c r="J278" s="797">
        <f t="shared" ref="J278:R278" si="61">SUM(J276:J277)</f>
        <v>784.1</v>
      </c>
      <c r="K278" s="797">
        <f t="shared" si="61"/>
        <v>770.8</v>
      </c>
      <c r="L278" s="797">
        <f t="shared" si="61"/>
        <v>468.6</v>
      </c>
      <c r="M278" s="130">
        <f t="shared" si="61"/>
        <v>28</v>
      </c>
      <c r="N278" s="797">
        <f t="shared" si="61"/>
        <v>2587419.73</v>
      </c>
      <c r="O278" s="797">
        <f t="shared" si="61"/>
        <v>0</v>
      </c>
      <c r="P278" s="797">
        <f t="shared" si="61"/>
        <v>0</v>
      </c>
      <c r="Q278" s="797">
        <f t="shared" si="61"/>
        <v>0</v>
      </c>
      <c r="R278" s="797">
        <f t="shared" si="61"/>
        <v>2587419.73</v>
      </c>
      <c r="S278" s="797">
        <f>N278/K278</f>
        <v>3356.7977815256877</v>
      </c>
      <c r="T278" s="797"/>
      <c r="U278" s="797"/>
      <c r="V278" s="144">
        <f t="shared" si="60"/>
        <v>-3356.7977815256877</v>
      </c>
      <c r="W278" s="145"/>
    </row>
    <row r="279" spans="1:23" s="159" customFormat="1" ht="9" customHeight="1">
      <c r="A279" s="821" t="s">
        <v>352</v>
      </c>
      <c r="B279" s="821"/>
      <c r="C279" s="821"/>
      <c r="D279" s="821"/>
      <c r="E279" s="821"/>
      <c r="F279" s="821"/>
      <c r="G279" s="821"/>
      <c r="H279" s="821"/>
      <c r="I279" s="821"/>
      <c r="J279" s="821"/>
      <c r="K279" s="821"/>
      <c r="L279" s="821"/>
      <c r="M279" s="821"/>
      <c r="N279" s="821"/>
      <c r="O279" s="821"/>
      <c r="P279" s="821"/>
      <c r="Q279" s="821"/>
      <c r="R279" s="821"/>
      <c r="S279" s="821"/>
      <c r="T279" s="821"/>
      <c r="U279" s="821"/>
      <c r="V279" s="144">
        <f t="shared" si="60"/>
        <v>0</v>
      </c>
      <c r="W279" s="145"/>
    </row>
    <row r="280" spans="1:23" s="159" customFormat="1" ht="9" customHeight="1">
      <c r="A280" s="794">
        <v>211</v>
      </c>
      <c r="B280" s="156" t="s">
        <v>353</v>
      </c>
      <c r="C280" s="785" t="s">
        <v>1006</v>
      </c>
      <c r="D280" s="785"/>
      <c r="E280" s="794">
        <v>1965</v>
      </c>
      <c r="F280" s="794"/>
      <c r="G280" s="794" t="s">
        <v>88</v>
      </c>
      <c r="H280" s="794" t="s">
        <v>73</v>
      </c>
      <c r="I280" s="794" t="s">
        <v>74</v>
      </c>
      <c r="J280" s="797">
        <v>1071.7</v>
      </c>
      <c r="K280" s="797">
        <v>991.6</v>
      </c>
      <c r="L280" s="797">
        <v>670.5</v>
      </c>
      <c r="M280" s="794">
        <v>34</v>
      </c>
      <c r="N280" s="797">
        <f>'Приложение 2'!E283</f>
        <v>3249893.6</v>
      </c>
      <c r="O280" s="797">
        <v>0</v>
      </c>
      <c r="P280" s="797">
        <v>0</v>
      </c>
      <c r="Q280" s="797">
        <v>453128.05</v>
      </c>
      <c r="R280" s="797">
        <f>N280-Q280</f>
        <v>2796765.5500000003</v>
      </c>
      <c r="S280" s="797">
        <f>N280/K280</f>
        <v>3277.4239612747074</v>
      </c>
      <c r="T280" s="797">
        <v>4503.95</v>
      </c>
      <c r="U280" s="132" t="s">
        <v>228</v>
      </c>
      <c r="V280" s="144">
        <f t="shared" si="60"/>
        <v>1226.5260387252924</v>
      </c>
      <c r="W280" s="145"/>
    </row>
    <row r="281" spans="1:23" s="159" customFormat="1" ht="22.5" customHeight="1">
      <c r="A281" s="822" t="s">
        <v>351</v>
      </c>
      <c r="B281" s="822"/>
      <c r="C281" s="785"/>
      <c r="D281" s="785"/>
      <c r="E281" s="141" t="s">
        <v>391</v>
      </c>
      <c r="F281" s="141" t="s">
        <v>391</v>
      </c>
      <c r="G281" s="141" t="s">
        <v>391</v>
      </c>
      <c r="H281" s="141" t="s">
        <v>391</v>
      </c>
      <c r="I281" s="141" t="s">
        <v>391</v>
      </c>
      <c r="J281" s="797">
        <f t="shared" ref="J281:Q281" si="62">SUM(J280:J280)</f>
        <v>1071.7</v>
      </c>
      <c r="K281" s="797">
        <f t="shared" si="62"/>
        <v>991.6</v>
      </c>
      <c r="L281" s="797">
        <f t="shared" si="62"/>
        <v>670.5</v>
      </c>
      <c r="M281" s="130">
        <f t="shared" si="62"/>
        <v>34</v>
      </c>
      <c r="N281" s="797">
        <f t="shared" si="62"/>
        <v>3249893.6</v>
      </c>
      <c r="O281" s="797">
        <f t="shared" si="62"/>
        <v>0</v>
      </c>
      <c r="P281" s="797">
        <f t="shared" si="62"/>
        <v>0</v>
      </c>
      <c r="Q281" s="797">
        <f t="shared" si="62"/>
        <v>453128.05</v>
      </c>
      <c r="R281" s="797">
        <f>SUM(R280:R280)</f>
        <v>2796765.5500000003</v>
      </c>
      <c r="S281" s="797">
        <f>N281/K281</f>
        <v>3277.4239612747074</v>
      </c>
      <c r="T281" s="797"/>
      <c r="U281" s="132"/>
      <c r="V281" s="144">
        <f t="shared" si="60"/>
        <v>-3277.4239612747074</v>
      </c>
      <c r="W281" s="145"/>
    </row>
    <row r="282" spans="1:23" s="159" customFormat="1" ht="9" customHeight="1">
      <c r="A282" s="821" t="s">
        <v>433</v>
      </c>
      <c r="B282" s="821"/>
      <c r="C282" s="821"/>
      <c r="D282" s="821"/>
      <c r="E282" s="821"/>
      <c r="F282" s="821"/>
      <c r="G282" s="821"/>
      <c r="H282" s="821"/>
      <c r="I282" s="821"/>
      <c r="J282" s="821"/>
      <c r="K282" s="821"/>
      <c r="L282" s="821"/>
      <c r="M282" s="821"/>
      <c r="N282" s="821"/>
      <c r="O282" s="821"/>
      <c r="P282" s="821"/>
      <c r="Q282" s="821"/>
      <c r="R282" s="821"/>
      <c r="S282" s="821"/>
      <c r="T282" s="821"/>
      <c r="U282" s="821"/>
      <c r="V282" s="144">
        <f t="shared" si="60"/>
        <v>0</v>
      </c>
      <c r="W282" s="145"/>
    </row>
    <row r="283" spans="1:23" s="159" customFormat="1" ht="9" customHeight="1">
      <c r="A283" s="184">
        <v>212</v>
      </c>
      <c r="B283" s="185" t="s">
        <v>357</v>
      </c>
      <c r="C283" s="788" t="s">
        <v>1008</v>
      </c>
      <c r="D283" s="788"/>
      <c r="E283" s="186">
        <v>1980</v>
      </c>
      <c r="F283" s="186"/>
      <c r="G283" s="186" t="s">
        <v>88</v>
      </c>
      <c r="H283" s="186" t="s">
        <v>73</v>
      </c>
      <c r="I283" s="186" t="s">
        <v>74</v>
      </c>
      <c r="J283" s="187">
        <v>1212.5</v>
      </c>
      <c r="K283" s="187">
        <v>822.51</v>
      </c>
      <c r="L283" s="187">
        <v>706.81</v>
      </c>
      <c r="M283" s="186">
        <v>30</v>
      </c>
      <c r="N283" s="187">
        <f>'Приложение 2'!E286</f>
        <v>344852.47</v>
      </c>
      <c r="O283" s="187">
        <v>0</v>
      </c>
      <c r="P283" s="187">
        <v>0</v>
      </c>
      <c r="Q283" s="187">
        <v>0</v>
      </c>
      <c r="R283" s="187">
        <f>N283</f>
        <v>344852.47</v>
      </c>
      <c r="S283" s="797">
        <f>N283/K283</f>
        <v>419.26842226842223</v>
      </c>
      <c r="T283" s="797">
        <v>4984.6499999999996</v>
      </c>
      <c r="U283" s="188" t="s">
        <v>228</v>
      </c>
      <c r="V283" s="144">
        <f t="shared" si="60"/>
        <v>4565.3815777315776</v>
      </c>
      <c r="W283" s="145"/>
    </row>
    <row r="284" spans="1:23" s="159" customFormat="1" ht="9" customHeight="1">
      <c r="A284" s="184">
        <v>213</v>
      </c>
      <c r="B284" s="185" t="s">
        <v>358</v>
      </c>
      <c r="C284" s="788" t="s">
        <v>1008</v>
      </c>
      <c r="D284" s="788"/>
      <c r="E284" s="186">
        <v>1983</v>
      </c>
      <c r="F284" s="186"/>
      <c r="G284" s="186" t="s">
        <v>88</v>
      </c>
      <c r="H284" s="186">
        <v>2</v>
      </c>
      <c r="I284" s="186">
        <v>3</v>
      </c>
      <c r="J284" s="187">
        <v>1122.4000000000001</v>
      </c>
      <c r="K284" s="187">
        <v>822.51</v>
      </c>
      <c r="L284" s="187">
        <v>776.31</v>
      </c>
      <c r="M284" s="186">
        <v>29</v>
      </c>
      <c r="N284" s="187">
        <f>'Приложение 2'!E287</f>
        <v>344498.51</v>
      </c>
      <c r="O284" s="187">
        <v>0</v>
      </c>
      <c r="P284" s="187">
        <v>0</v>
      </c>
      <c r="Q284" s="187">
        <v>0</v>
      </c>
      <c r="R284" s="187">
        <f>N284</f>
        <v>344498.51</v>
      </c>
      <c r="S284" s="797">
        <f>N284/K284</f>
        <v>418.83808099597576</v>
      </c>
      <c r="T284" s="797">
        <v>4984.6499999999996</v>
      </c>
      <c r="U284" s="188" t="s">
        <v>228</v>
      </c>
      <c r="V284" s="144">
        <f t="shared" si="60"/>
        <v>4565.8119190040243</v>
      </c>
      <c r="W284" s="145"/>
    </row>
    <row r="285" spans="1:23" s="159" customFormat="1" ht="22.5" customHeight="1">
      <c r="A285" s="824" t="s">
        <v>434</v>
      </c>
      <c r="B285" s="824"/>
      <c r="C285" s="788"/>
      <c r="D285" s="788"/>
      <c r="E285" s="184" t="s">
        <v>391</v>
      </c>
      <c r="F285" s="184" t="s">
        <v>391</v>
      </c>
      <c r="G285" s="184" t="s">
        <v>391</v>
      </c>
      <c r="H285" s="184" t="s">
        <v>391</v>
      </c>
      <c r="I285" s="184" t="s">
        <v>391</v>
      </c>
      <c r="J285" s="189">
        <f t="shared" ref="J285:R285" si="63">SUM(J283:J284)</f>
        <v>2334.9</v>
      </c>
      <c r="K285" s="189">
        <f t="shared" si="63"/>
        <v>1645.02</v>
      </c>
      <c r="L285" s="189">
        <f t="shared" si="63"/>
        <v>1483.12</v>
      </c>
      <c r="M285" s="130">
        <f t="shared" si="63"/>
        <v>59</v>
      </c>
      <c r="N285" s="189">
        <f t="shared" si="63"/>
        <v>689350.98</v>
      </c>
      <c r="O285" s="189">
        <f t="shared" si="63"/>
        <v>0</v>
      </c>
      <c r="P285" s="189">
        <f t="shared" si="63"/>
        <v>0</v>
      </c>
      <c r="Q285" s="189">
        <f t="shared" si="63"/>
        <v>0</v>
      </c>
      <c r="R285" s="189">
        <f t="shared" si="63"/>
        <v>689350.98</v>
      </c>
      <c r="S285" s="797">
        <f>N285/K285</f>
        <v>419.05325163219902</v>
      </c>
      <c r="T285" s="189"/>
      <c r="U285" s="188"/>
      <c r="V285" s="144">
        <f t="shared" si="60"/>
        <v>-419.05325163219902</v>
      </c>
      <c r="W285" s="145"/>
    </row>
    <row r="286" spans="1:23" s="159" customFormat="1" ht="9" customHeight="1">
      <c r="A286" s="823" t="s">
        <v>1073</v>
      </c>
      <c r="B286" s="823"/>
      <c r="C286" s="823"/>
      <c r="D286" s="823"/>
      <c r="E286" s="823"/>
      <c r="F286" s="823"/>
      <c r="G286" s="823"/>
      <c r="H286" s="823"/>
      <c r="I286" s="823"/>
      <c r="J286" s="823"/>
      <c r="K286" s="823"/>
      <c r="L286" s="823"/>
      <c r="M286" s="823"/>
      <c r="N286" s="823"/>
      <c r="O286" s="823"/>
      <c r="P286" s="823"/>
      <c r="Q286" s="823"/>
      <c r="R286" s="823"/>
      <c r="S286" s="823"/>
      <c r="T286" s="823"/>
      <c r="U286" s="823"/>
      <c r="V286" s="144">
        <f t="shared" si="60"/>
        <v>0</v>
      </c>
      <c r="W286" s="145"/>
    </row>
    <row r="287" spans="1:23" s="159" customFormat="1" ht="9" customHeight="1">
      <c r="A287" s="166">
        <v>214</v>
      </c>
      <c r="B287" s="170" t="s">
        <v>359</v>
      </c>
      <c r="C287" s="787" t="s">
        <v>1006</v>
      </c>
      <c r="D287" s="787"/>
      <c r="E287" s="166">
        <v>1960</v>
      </c>
      <c r="F287" s="166"/>
      <c r="G287" s="166" t="s">
        <v>88</v>
      </c>
      <c r="H287" s="166">
        <v>2</v>
      </c>
      <c r="I287" s="166">
        <v>2</v>
      </c>
      <c r="J287" s="167">
        <v>478.5</v>
      </c>
      <c r="K287" s="167">
        <v>446.5</v>
      </c>
      <c r="L287" s="167">
        <v>446.5</v>
      </c>
      <c r="M287" s="190">
        <v>13</v>
      </c>
      <c r="N287" s="167">
        <f>'Приложение 2'!E290</f>
        <v>1059478.07</v>
      </c>
      <c r="O287" s="167">
        <v>0</v>
      </c>
      <c r="P287" s="167">
        <v>0</v>
      </c>
      <c r="Q287" s="167">
        <v>0</v>
      </c>
      <c r="R287" s="167">
        <f>N287</f>
        <v>1059478.07</v>
      </c>
      <c r="S287" s="797">
        <f>N287/K287</f>
        <v>2372.8512206047035</v>
      </c>
      <c r="T287" s="797">
        <v>4503.95</v>
      </c>
      <c r="U287" s="174" t="s">
        <v>228</v>
      </c>
      <c r="V287" s="144">
        <f t="shared" si="60"/>
        <v>2131.0987793952963</v>
      </c>
      <c r="W287" s="145"/>
    </row>
    <row r="288" spans="1:23" s="159" customFormat="1" ht="21" customHeight="1">
      <c r="A288" s="820" t="s">
        <v>1074</v>
      </c>
      <c r="B288" s="820"/>
      <c r="C288" s="787"/>
      <c r="D288" s="787"/>
      <c r="E288" s="141" t="s">
        <v>391</v>
      </c>
      <c r="F288" s="141" t="s">
        <v>391</v>
      </c>
      <c r="G288" s="141" t="s">
        <v>391</v>
      </c>
      <c r="H288" s="141" t="s">
        <v>391</v>
      </c>
      <c r="I288" s="141" t="s">
        <v>391</v>
      </c>
      <c r="J288" s="167">
        <f>J287</f>
        <v>478.5</v>
      </c>
      <c r="K288" s="167">
        <f>K287</f>
        <v>446.5</v>
      </c>
      <c r="L288" s="167">
        <f>L287</f>
        <v>446.5</v>
      </c>
      <c r="M288" s="190">
        <f>M287</f>
        <v>13</v>
      </c>
      <c r="N288" s="167">
        <f>N287</f>
        <v>1059478.07</v>
      </c>
      <c r="O288" s="167">
        <v>0</v>
      </c>
      <c r="P288" s="167">
        <v>0</v>
      </c>
      <c r="Q288" s="167">
        <v>0</v>
      </c>
      <c r="R288" s="167">
        <f>R287</f>
        <v>1059478.07</v>
      </c>
      <c r="S288" s="797">
        <f>N288/K288</f>
        <v>2372.8512206047035</v>
      </c>
      <c r="T288" s="166"/>
      <c r="U288" s="174"/>
      <c r="V288" s="144">
        <f t="shared" si="60"/>
        <v>-2372.8512206047035</v>
      </c>
      <c r="W288" s="145"/>
    </row>
    <row r="289" spans="1:23" s="159" customFormat="1" ht="9" customHeight="1">
      <c r="A289" s="821" t="s">
        <v>361</v>
      </c>
      <c r="B289" s="821"/>
      <c r="C289" s="821"/>
      <c r="D289" s="821"/>
      <c r="E289" s="821"/>
      <c r="F289" s="821"/>
      <c r="G289" s="821"/>
      <c r="H289" s="821"/>
      <c r="I289" s="821"/>
      <c r="J289" s="821"/>
      <c r="K289" s="821"/>
      <c r="L289" s="821"/>
      <c r="M289" s="821"/>
      <c r="N289" s="821"/>
      <c r="O289" s="821"/>
      <c r="P289" s="821"/>
      <c r="Q289" s="821"/>
      <c r="R289" s="821"/>
      <c r="S289" s="821"/>
      <c r="T289" s="821"/>
      <c r="U289" s="821"/>
      <c r="V289" s="144">
        <f t="shared" si="60"/>
        <v>0</v>
      </c>
      <c r="W289" s="145"/>
    </row>
    <row r="290" spans="1:23" s="159" customFormat="1" ht="9" customHeight="1">
      <c r="A290" s="794">
        <v>215</v>
      </c>
      <c r="B290" s="156" t="s">
        <v>360</v>
      </c>
      <c r="C290" s="785" t="s">
        <v>1006</v>
      </c>
      <c r="D290" s="785"/>
      <c r="E290" s="794">
        <v>1959</v>
      </c>
      <c r="F290" s="794"/>
      <c r="G290" s="794" t="s">
        <v>88</v>
      </c>
      <c r="H290" s="794">
        <v>2</v>
      </c>
      <c r="I290" s="794">
        <v>2</v>
      </c>
      <c r="J290" s="797">
        <v>686.8</v>
      </c>
      <c r="K290" s="797">
        <v>613.6</v>
      </c>
      <c r="L290" s="797">
        <v>399.9</v>
      </c>
      <c r="M290" s="794">
        <v>8</v>
      </c>
      <c r="N290" s="797">
        <f>'Приложение 2'!E293</f>
        <v>2063672.3200000001</v>
      </c>
      <c r="O290" s="797">
        <v>0</v>
      </c>
      <c r="P290" s="797">
        <v>0</v>
      </c>
      <c r="Q290" s="797">
        <v>0</v>
      </c>
      <c r="R290" s="797">
        <f>N290</f>
        <v>2063672.3200000001</v>
      </c>
      <c r="S290" s="797">
        <f>N290/K290</f>
        <v>3363.2208604954367</v>
      </c>
      <c r="T290" s="797">
        <v>4503.95</v>
      </c>
      <c r="U290" s="132" t="s">
        <v>228</v>
      </c>
      <c r="V290" s="144">
        <f t="shared" si="60"/>
        <v>1140.7291395045631</v>
      </c>
      <c r="W290" s="145"/>
    </row>
    <row r="291" spans="1:23" s="159" customFormat="1" ht="9" customHeight="1">
      <c r="A291" s="794">
        <v>216</v>
      </c>
      <c r="B291" s="156" t="s">
        <v>362</v>
      </c>
      <c r="C291" s="785" t="s">
        <v>1005</v>
      </c>
      <c r="D291" s="785"/>
      <c r="E291" s="794">
        <v>1976</v>
      </c>
      <c r="F291" s="794"/>
      <c r="G291" s="794" t="s">
        <v>88</v>
      </c>
      <c r="H291" s="794">
        <v>5</v>
      </c>
      <c r="I291" s="794">
        <v>6</v>
      </c>
      <c r="J291" s="797">
        <v>4906.5</v>
      </c>
      <c r="K291" s="797">
        <v>4483</v>
      </c>
      <c r="L291" s="797">
        <v>4030.3</v>
      </c>
      <c r="M291" s="794">
        <v>185</v>
      </c>
      <c r="N291" s="797">
        <f>'Приложение 2'!E294</f>
        <v>4348702.83</v>
      </c>
      <c r="O291" s="797">
        <v>0</v>
      </c>
      <c r="P291" s="797">
        <v>0</v>
      </c>
      <c r="Q291" s="797">
        <v>0</v>
      </c>
      <c r="R291" s="797">
        <f>N291</f>
        <v>4348702.83</v>
      </c>
      <c r="S291" s="797">
        <f>N291/K291</f>
        <v>970.04301360695968</v>
      </c>
      <c r="T291" s="797">
        <v>4180</v>
      </c>
      <c r="U291" s="132" t="s">
        <v>228</v>
      </c>
      <c r="V291" s="144">
        <f t="shared" si="60"/>
        <v>3209.9569863930401</v>
      </c>
      <c r="W291" s="145"/>
    </row>
    <row r="292" spans="1:23" s="159" customFormat="1" ht="22.5" customHeight="1">
      <c r="A292" s="822" t="s">
        <v>450</v>
      </c>
      <c r="B292" s="822"/>
      <c r="C292" s="785"/>
      <c r="D292" s="785"/>
      <c r="E292" s="141" t="s">
        <v>391</v>
      </c>
      <c r="F292" s="141" t="s">
        <v>391</v>
      </c>
      <c r="G292" s="141" t="s">
        <v>391</v>
      </c>
      <c r="H292" s="141" t="s">
        <v>391</v>
      </c>
      <c r="I292" s="141" t="s">
        <v>391</v>
      </c>
      <c r="J292" s="797">
        <f t="shared" ref="J292:R292" si="64">SUM(J290:J291)</f>
        <v>5593.3</v>
      </c>
      <c r="K292" s="797">
        <f t="shared" si="64"/>
        <v>5096.6000000000004</v>
      </c>
      <c r="L292" s="797">
        <f t="shared" si="64"/>
        <v>4430.2</v>
      </c>
      <c r="M292" s="130">
        <f t="shared" si="64"/>
        <v>193</v>
      </c>
      <c r="N292" s="797">
        <f t="shared" si="64"/>
        <v>6412375.1500000004</v>
      </c>
      <c r="O292" s="797">
        <f t="shared" si="64"/>
        <v>0</v>
      </c>
      <c r="P292" s="797">
        <f t="shared" si="64"/>
        <v>0</v>
      </c>
      <c r="Q292" s="797">
        <f t="shared" si="64"/>
        <v>0</v>
      </c>
      <c r="R292" s="797">
        <f t="shared" si="64"/>
        <v>6412375.1500000004</v>
      </c>
      <c r="S292" s="797">
        <f>N292/K292</f>
        <v>1258.1672389436094</v>
      </c>
      <c r="T292" s="797"/>
      <c r="U292" s="132"/>
      <c r="V292" s="144">
        <f t="shared" si="60"/>
        <v>-1258.1672389436094</v>
      </c>
      <c r="W292" s="145"/>
    </row>
    <row r="293" spans="1:23" s="159" customFormat="1" ht="9" customHeight="1">
      <c r="A293" s="821" t="s">
        <v>431</v>
      </c>
      <c r="B293" s="821"/>
      <c r="C293" s="821"/>
      <c r="D293" s="821"/>
      <c r="E293" s="821"/>
      <c r="F293" s="821"/>
      <c r="G293" s="821"/>
      <c r="H293" s="821"/>
      <c r="I293" s="821"/>
      <c r="J293" s="821"/>
      <c r="K293" s="821"/>
      <c r="L293" s="821"/>
      <c r="M293" s="821"/>
      <c r="N293" s="821"/>
      <c r="O293" s="821"/>
      <c r="P293" s="821"/>
      <c r="Q293" s="821"/>
      <c r="R293" s="821"/>
      <c r="S293" s="821"/>
      <c r="T293" s="821"/>
      <c r="U293" s="821"/>
      <c r="V293" s="144">
        <f t="shared" si="60"/>
        <v>0</v>
      </c>
      <c r="W293" s="145"/>
    </row>
    <row r="294" spans="1:23" s="159" customFormat="1" ht="9" customHeight="1">
      <c r="A294" s="794">
        <v>217</v>
      </c>
      <c r="B294" s="156" t="s">
        <v>363</v>
      </c>
      <c r="C294" s="785" t="s">
        <v>1006</v>
      </c>
      <c r="D294" s="785"/>
      <c r="E294" s="794">
        <v>1981</v>
      </c>
      <c r="F294" s="794"/>
      <c r="G294" s="794" t="s">
        <v>88</v>
      </c>
      <c r="H294" s="794">
        <v>2</v>
      </c>
      <c r="I294" s="794">
        <v>1</v>
      </c>
      <c r="J294" s="149">
        <v>407.5</v>
      </c>
      <c r="K294" s="149">
        <v>370.4</v>
      </c>
      <c r="L294" s="149">
        <v>315.7</v>
      </c>
      <c r="M294" s="794">
        <v>23</v>
      </c>
      <c r="N294" s="797">
        <f>'Приложение 2'!E297</f>
        <v>1131126.47</v>
      </c>
      <c r="O294" s="797">
        <v>0</v>
      </c>
      <c r="P294" s="797">
        <v>0</v>
      </c>
      <c r="Q294" s="797">
        <v>0</v>
      </c>
      <c r="R294" s="797">
        <f>N294</f>
        <v>1131126.47</v>
      </c>
      <c r="S294" s="797">
        <f>N294/K294</f>
        <v>3053.797165226782</v>
      </c>
      <c r="T294" s="797">
        <v>4503.95</v>
      </c>
      <c r="U294" s="132" t="s">
        <v>228</v>
      </c>
      <c r="V294" s="144">
        <f t="shared" si="60"/>
        <v>1450.1528347732178</v>
      </c>
      <c r="W294" s="145"/>
    </row>
    <row r="295" spans="1:23" s="159" customFormat="1" ht="20.25" customHeight="1">
      <c r="A295" s="822" t="s">
        <v>432</v>
      </c>
      <c r="B295" s="822"/>
      <c r="C295" s="785"/>
      <c r="D295" s="785"/>
      <c r="E295" s="141" t="s">
        <v>391</v>
      </c>
      <c r="F295" s="141" t="s">
        <v>391</v>
      </c>
      <c r="G295" s="141" t="s">
        <v>391</v>
      </c>
      <c r="H295" s="141" t="s">
        <v>391</v>
      </c>
      <c r="I295" s="141" t="s">
        <v>391</v>
      </c>
      <c r="J295" s="797">
        <f t="shared" ref="J295:R295" si="65">SUM(J294:J294)</f>
        <v>407.5</v>
      </c>
      <c r="K295" s="797">
        <f t="shared" si="65"/>
        <v>370.4</v>
      </c>
      <c r="L295" s="797">
        <f t="shared" si="65"/>
        <v>315.7</v>
      </c>
      <c r="M295" s="130">
        <f t="shared" si="65"/>
        <v>23</v>
      </c>
      <c r="N295" s="797">
        <f t="shared" si="65"/>
        <v>1131126.47</v>
      </c>
      <c r="O295" s="797">
        <f t="shared" si="65"/>
        <v>0</v>
      </c>
      <c r="P295" s="797">
        <f t="shared" si="65"/>
        <v>0</v>
      </c>
      <c r="Q295" s="797">
        <f t="shared" si="65"/>
        <v>0</v>
      </c>
      <c r="R295" s="797">
        <f t="shared" si="65"/>
        <v>1131126.47</v>
      </c>
      <c r="S295" s="797">
        <f>N295/K295</f>
        <v>3053.797165226782</v>
      </c>
      <c r="T295" s="797"/>
      <c r="U295" s="132"/>
      <c r="V295" s="144">
        <f t="shared" si="60"/>
        <v>-3053.797165226782</v>
      </c>
      <c r="W295" s="145"/>
    </row>
    <row r="296" spans="1:23" s="159" customFormat="1" ht="9" customHeight="1">
      <c r="A296" s="826" t="s">
        <v>402</v>
      </c>
      <c r="B296" s="826"/>
      <c r="C296" s="826"/>
      <c r="D296" s="826"/>
      <c r="E296" s="826"/>
      <c r="F296" s="826"/>
      <c r="G296" s="826"/>
      <c r="H296" s="826"/>
      <c r="I296" s="826"/>
      <c r="J296" s="826"/>
      <c r="K296" s="826"/>
      <c r="L296" s="826"/>
      <c r="M296" s="826"/>
      <c r="N296" s="826"/>
      <c r="O296" s="826"/>
      <c r="P296" s="826"/>
      <c r="Q296" s="826"/>
      <c r="R296" s="826"/>
      <c r="S296" s="826"/>
      <c r="T296" s="826"/>
      <c r="U296" s="826"/>
      <c r="V296" s="144">
        <f t="shared" si="60"/>
        <v>0</v>
      </c>
      <c r="W296" s="145"/>
    </row>
    <row r="297" spans="1:23" s="159" customFormat="1" ht="9" customHeight="1">
      <c r="A297" s="191">
        <v>218</v>
      </c>
      <c r="B297" s="192" t="s">
        <v>1</v>
      </c>
      <c r="C297" s="789" t="s">
        <v>1006</v>
      </c>
      <c r="D297" s="789"/>
      <c r="E297" s="191">
        <v>1976</v>
      </c>
      <c r="F297" s="191"/>
      <c r="G297" s="191" t="s">
        <v>88</v>
      </c>
      <c r="H297" s="191" t="s">
        <v>73</v>
      </c>
      <c r="I297" s="191" t="s">
        <v>73</v>
      </c>
      <c r="J297" s="193">
        <v>658.1</v>
      </c>
      <c r="K297" s="193">
        <v>563.79999999999995</v>
      </c>
      <c r="L297" s="193">
        <v>563.79999999999995</v>
      </c>
      <c r="M297" s="194">
        <v>17</v>
      </c>
      <c r="N297" s="195">
        <f>'Приложение 2'!E300</f>
        <v>1645051.71</v>
      </c>
      <c r="O297" s="195">
        <v>0</v>
      </c>
      <c r="P297" s="195">
        <v>0</v>
      </c>
      <c r="Q297" s="797">
        <v>24195.26</v>
      </c>
      <c r="R297" s="195">
        <f>N297-Q297</f>
        <v>1620856.45</v>
      </c>
      <c r="S297" s="797">
        <f>N297/K297</f>
        <v>2917.7930294430653</v>
      </c>
      <c r="T297" s="797">
        <v>4503.95</v>
      </c>
      <c r="U297" s="196" t="s">
        <v>228</v>
      </c>
      <c r="V297" s="144">
        <f t="shared" si="60"/>
        <v>1586.1569705569345</v>
      </c>
      <c r="W297" s="145"/>
    </row>
    <row r="298" spans="1:23" s="159" customFormat="1" ht="21.75" customHeight="1">
      <c r="A298" s="827" t="s">
        <v>364</v>
      </c>
      <c r="B298" s="827"/>
      <c r="C298" s="806"/>
      <c r="D298" s="806"/>
      <c r="E298" s="141" t="s">
        <v>391</v>
      </c>
      <c r="F298" s="141" t="s">
        <v>391</v>
      </c>
      <c r="G298" s="141" t="s">
        <v>391</v>
      </c>
      <c r="H298" s="141" t="s">
        <v>391</v>
      </c>
      <c r="I298" s="141" t="s">
        <v>391</v>
      </c>
      <c r="J298" s="195">
        <f>J297</f>
        <v>658.1</v>
      </c>
      <c r="K298" s="195">
        <f>K297</f>
        <v>563.79999999999995</v>
      </c>
      <c r="L298" s="195">
        <f>L297</f>
        <v>563.79999999999995</v>
      </c>
      <c r="M298" s="191">
        <f>M297</f>
        <v>17</v>
      </c>
      <c r="N298" s="195">
        <f>N297</f>
        <v>1645051.71</v>
      </c>
      <c r="O298" s="195">
        <v>0</v>
      </c>
      <c r="P298" s="195">
        <v>0</v>
      </c>
      <c r="Q298" s="195">
        <f>Q297</f>
        <v>24195.26</v>
      </c>
      <c r="R298" s="195">
        <f>R297</f>
        <v>1620856.45</v>
      </c>
      <c r="S298" s="797">
        <f>N298/K298</f>
        <v>2917.7930294430653</v>
      </c>
      <c r="T298" s="195"/>
      <c r="U298" s="196"/>
      <c r="V298" s="144">
        <f t="shared" si="60"/>
        <v>-2917.7930294430653</v>
      </c>
      <c r="W298" s="145"/>
    </row>
    <row r="299" spans="1:23" s="159" customFormat="1" ht="9" customHeight="1">
      <c r="A299" s="826" t="s">
        <v>3</v>
      </c>
      <c r="B299" s="826"/>
      <c r="C299" s="826"/>
      <c r="D299" s="826"/>
      <c r="E299" s="826"/>
      <c r="F299" s="826"/>
      <c r="G299" s="826"/>
      <c r="H299" s="826"/>
      <c r="I299" s="826"/>
      <c r="J299" s="826"/>
      <c r="K299" s="826"/>
      <c r="L299" s="826"/>
      <c r="M299" s="826"/>
      <c r="N299" s="826"/>
      <c r="O299" s="826"/>
      <c r="P299" s="826"/>
      <c r="Q299" s="826"/>
      <c r="R299" s="826"/>
      <c r="S299" s="826"/>
      <c r="T299" s="826"/>
      <c r="U299" s="826"/>
      <c r="V299" s="144">
        <f t="shared" si="60"/>
        <v>0</v>
      </c>
      <c r="W299" s="145"/>
    </row>
    <row r="300" spans="1:23" s="159" customFormat="1" ht="9" customHeight="1">
      <c r="A300" s="191">
        <v>219</v>
      </c>
      <c r="B300" s="192" t="s">
        <v>4</v>
      </c>
      <c r="C300" s="789" t="s">
        <v>1008</v>
      </c>
      <c r="D300" s="789"/>
      <c r="E300" s="191">
        <v>1972</v>
      </c>
      <c r="F300" s="191"/>
      <c r="G300" s="191" t="s">
        <v>322</v>
      </c>
      <c r="H300" s="191" t="s">
        <v>73</v>
      </c>
      <c r="I300" s="191">
        <v>3</v>
      </c>
      <c r="J300" s="193">
        <v>1133.56</v>
      </c>
      <c r="K300" s="193">
        <v>1043.68</v>
      </c>
      <c r="L300" s="193">
        <v>1043.68</v>
      </c>
      <c r="M300" s="197">
        <v>24</v>
      </c>
      <c r="N300" s="195">
        <f>'Приложение 2'!E303</f>
        <v>1037381.91</v>
      </c>
      <c r="O300" s="195">
        <v>0</v>
      </c>
      <c r="P300" s="195">
        <v>0</v>
      </c>
      <c r="Q300" s="195">
        <v>12613.27</v>
      </c>
      <c r="R300" s="195">
        <f>N300-Q300</f>
        <v>1024768.64</v>
      </c>
      <c r="S300" s="797">
        <f>N300/K300</f>
        <v>993.96549708722978</v>
      </c>
      <c r="T300" s="797">
        <v>4984.6499999999996</v>
      </c>
      <c r="U300" s="196" t="s">
        <v>228</v>
      </c>
      <c r="V300" s="144">
        <f t="shared" si="60"/>
        <v>3990.6845029127699</v>
      </c>
      <c r="W300" s="145"/>
    </row>
    <row r="301" spans="1:23" s="159" customFormat="1" ht="9" customHeight="1">
      <c r="A301" s="191">
        <v>220</v>
      </c>
      <c r="B301" s="192" t="s">
        <v>5</v>
      </c>
      <c r="C301" s="789" t="s">
        <v>1006</v>
      </c>
      <c r="D301" s="789"/>
      <c r="E301" s="191">
        <v>1972</v>
      </c>
      <c r="F301" s="191"/>
      <c r="G301" s="191" t="s">
        <v>88</v>
      </c>
      <c r="H301" s="191">
        <v>2</v>
      </c>
      <c r="I301" s="191">
        <v>2</v>
      </c>
      <c r="J301" s="193">
        <v>718.86</v>
      </c>
      <c r="K301" s="193">
        <v>651.79999999999995</v>
      </c>
      <c r="L301" s="193">
        <v>651.79999999999995</v>
      </c>
      <c r="M301" s="197">
        <v>29</v>
      </c>
      <c r="N301" s="195">
        <f>'Приложение 2'!E304</f>
        <v>1785735.76</v>
      </c>
      <c r="O301" s="195">
        <v>0</v>
      </c>
      <c r="P301" s="195">
        <v>0</v>
      </c>
      <c r="Q301" s="195">
        <v>28178.799999999999</v>
      </c>
      <c r="R301" s="195">
        <f>N301-Q301</f>
        <v>1757556.96</v>
      </c>
      <c r="S301" s="797">
        <f>N301/K301</f>
        <v>2739.6989260509363</v>
      </c>
      <c r="T301" s="797">
        <v>4503.95</v>
      </c>
      <c r="U301" s="196" t="s">
        <v>228</v>
      </c>
      <c r="V301" s="144">
        <f t="shared" si="60"/>
        <v>1764.2510739490635</v>
      </c>
      <c r="W301" s="145"/>
    </row>
    <row r="302" spans="1:23" s="159" customFormat="1" ht="21" customHeight="1">
      <c r="A302" s="825" t="s">
        <v>6</v>
      </c>
      <c r="B302" s="825"/>
      <c r="C302" s="789"/>
      <c r="D302" s="789"/>
      <c r="E302" s="141" t="s">
        <v>391</v>
      </c>
      <c r="F302" s="141" t="s">
        <v>391</v>
      </c>
      <c r="G302" s="141" t="s">
        <v>391</v>
      </c>
      <c r="H302" s="141" t="s">
        <v>391</v>
      </c>
      <c r="I302" s="141" t="s">
        <v>391</v>
      </c>
      <c r="J302" s="195">
        <f t="shared" ref="J302:S302" si="66">SUM(J300:J301)</f>
        <v>1852.42</v>
      </c>
      <c r="K302" s="195">
        <f t="shared" si="66"/>
        <v>1695.48</v>
      </c>
      <c r="L302" s="195">
        <f t="shared" si="66"/>
        <v>1695.48</v>
      </c>
      <c r="M302" s="130">
        <f t="shared" si="66"/>
        <v>53</v>
      </c>
      <c r="N302" s="195">
        <f t="shared" si="66"/>
        <v>2823117.67</v>
      </c>
      <c r="O302" s="195">
        <f t="shared" si="66"/>
        <v>0</v>
      </c>
      <c r="P302" s="195">
        <f t="shared" si="66"/>
        <v>0</v>
      </c>
      <c r="Q302" s="195">
        <f>SUM(Q300:Q301)</f>
        <v>40792.07</v>
      </c>
      <c r="R302" s="195">
        <f>SUM(R300:R301)</f>
        <v>2782325.6</v>
      </c>
      <c r="S302" s="195">
        <f t="shared" si="66"/>
        <v>3733.6644231381661</v>
      </c>
      <c r="T302" s="191"/>
      <c r="U302" s="196"/>
      <c r="V302" s="144">
        <f t="shared" si="60"/>
        <v>-3733.6644231381661</v>
      </c>
      <c r="W302" s="145"/>
    </row>
    <row r="303" spans="1:23" s="159" customFormat="1" ht="9" customHeight="1">
      <c r="A303" s="823" t="s">
        <v>9</v>
      </c>
      <c r="B303" s="823"/>
      <c r="C303" s="823"/>
      <c r="D303" s="823"/>
      <c r="E303" s="823"/>
      <c r="F303" s="823"/>
      <c r="G303" s="823"/>
      <c r="H303" s="823"/>
      <c r="I303" s="823"/>
      <c r="J303" s="823"/>
      <c r="K303" s="823"/>
      <c r="L303" s="823"/>
      <c r="M303" s="823"/>
      <c r="N303" s="823"/>
      <c r="O303" s="823"/>
      <c r="P303" s="823"/>
      <c r="Q303" s="823"/>
      <c r="R303" s="823"/>
      <c r="S303" s="823"/>
      <c r="T303" s="823"/>
      <c r="U303" s="823"/>
      <c r="V303" s="144">
        <f t="shared" si="60"/>
        <v>0</v>
      </c>
      <c r="W303" s="145"/>
    </row>
    <row r="304" spans="1:23" s="159" customFormat="1" ht="9" customHeight="1">
      <c r="A304" s="166">
        <v>221</v>
      </c>
      <c r="B304" s="170" t="s">
        <v>13</v>
      </c>
      <c r="C304" s="787" t="s">
        <v>1005</v>
      </c>
      <c r="D304" s="787"/>
      <c r="E304" s="166">
        <v>1965</v>
      </c>
      <c r="F304" s="166"/>
      <c r="G304" s="191" t="s">
        <v>88</v>
      </c>
      <c r="H304" s="166">
        <v>2</v>
      </c>
      <c r="I304" s="166">
        <v>2</v>
      </c>
      <c r="J304" s="167">
        <v>698.4</v>
      </c>
      <c r="K304" s="167">
        <v>479.3</v>
      </c>
      <c r="L304" s="167">
        <v>421.9</v>
      </c>
      <c r="M304" s="190">
        <v>24</v>
      </c>
      <c r="N304" s="167">
        <f>'Приложение 2'!E307</f>
        <v>1356096.58</v>
      </c>
      <c r="O304" s="167">
        <v>0</v>
      </c>
      <c r="P304" s="167">
        <v>0</v>
      </c>
      <c r="Q304" s="167">
        <v>0</v>
      </c>
      <c r="R304" s="167">
        <f>N304</f>
        <v>1356096.58</v>
      </c>
      <c r="S304" s="797">
        <f>N304/K304</f>
        <v>2829.3273106613815</v>
      </c>
      <c r="T304" s="797">
        <v>4180</v>
      </c>
      <c r="U304" s="196" t="s">
        <v>228</v>
      </c>
      <c r="V304" s="144">
        <f t="shared" si="60"/>
        <v>1350.6726893386185</v>
      </c>
      <c r="W304" s="145"/>
    </row>
    <row r="305" spans="1:23" s="159" customFormat="1" ht="9" customHeight="1">
      <c r="A305" s="166">
        <v>222</v>
      </c>
      <c r="B305" s="170" t="s">
        <v>14</v>
      </c>
      <c r="C305" s="787" t="s">
        <v>1006</v>
      </c>
      <c r="D305" s="787"/>
      <c r="E305" s="166">
        <v>1963</v>
      </c>
      <c r="F305" s="166"/>
      <c r="G305" s="191" t="s">
        <v>88</v>
      </c>
      <c r="H305" s="166">
        <v>2</v>
      </c>
      <c r="I305" s="166">
        <v>2</v>
      </c>
      <c r="J305" s="167">
        <v>460</v>
      </c>
      <c r="K305" s="167">
        <v>446</v>
      </c>
      <c r="L305" s="167">
        <v>276.2</v>
      </c>
      <c r="M305" s="190">
        <v>21</v>
      </c>
      <c r="N305" s="167">
        <f>'Приложение 2'!E308</f>
        <v>1132154.72</v>
      </c>
      <c r="O305" s="167">
        <v>0</v>
      </c>
      <c r="P305" s="167">
        <v>0</v>
      </c>
      <c r="Q305" s="167">
        <v>0</v>
      </c>
      <c r="R305" s="167">
        <f>N305</f>
        <v>1132154.72</v>
      </c>
      <c r="S305" s="797">
        <f>N305/K305</f>
        <v>2538.4634977578476</v>
      </c>
      <c r="T305" s="797">
        <v>4503.95</v>
      </c>
      <c r="U305" s="196" t="s">
        <v>228</v>
      </c>
      <c r="V305" s="144">
        <f t="shared" si="60"/>
        <v>1965.4865022421523</v>
      </c>
      <c r="W305" s="145"/>
    </row>
    <row r="306" spans="1:23" s="159" customFormat="1" ht="21" customHeight="1">
      <c r="A306" s="820" t="s">
        <v>10</v>
      </c>
      <c r="B306" s="820"/>
      <c r="C306" s="787"/>
      <c r="D306" s="787"/>
      <c r="E306" s="141" t="s">
        <v>391</v>
      </c>
      <c r="F306" s="141" t="s">
        <v>391</v>
      </c>
      <c r="G306" s="141" t="s">
        <v>391</v>
      </c>
      <c r="H306" s="141" t="s">
        <v>391</v>
      </c>
      <c r="I306" s="141" t="s">
        <v>391</v>
      </c>
      <c r="J306" s="167">
        <f t="shared" ref="J306:R306" si="67">SUM(J304:J305)</f>
        <v>1158.4000000000001</v>
      </c>
      <c r="K306" s="167">
        <f t="shared" si="67"/>
        <v>925.3</v>
      </c>
      <c r="L306" s="167">
        <f t="shared" si="67"/>
        <v>698.09999999999991</v>
      </c>
      <c r="M306" s="130">
        <f t="shared" si="67"/>
        <v>45</v>
      </c>
      <c r="N306" s="167">
        <f t="shared" si="67"/>
        <v>2488251.2999999998</v>
      </c>
      <c r="O306" s="167">
        <f t="shared" si="67"/>
        <v>0</v>
      </c>
      <c r="P306" s="167">
        <f t="shared" si="67"/>
        <v>0</v>
      </c>
      <c r="Q306" s="167">
        <f t="shared" si="67"/>
        <v>0</v>
      </c>
      <c r="R306" s="167">
        <f t="shared" si="67"/>
        <v>2488251.2999999998</v>
      </c>
      <c r="S306" s="797">
        <f>N306/K306</f>
        <v>2689.1292553766343</v>
      </c>
      <c r="T306" s="166"/>
      <c r="U306" s="174"/>
      <c r="V306" s="144">
        <f t="shared" si="60"/>
        <v>-2689.1292553766343</v>
      </c>
      <c r="W306" s="145"/>
    </row>
    <row r="307" spans="1:23" s="159" customFormat="1" ht="9" customHeight="1">
      <c r="A307" s="823" t="s">
        <v>11</v>
      </c>
      <c r="B307" s="823"/>
      <c r="C307" s="823"/>
      <c r="D307" s="823"/>
      <c r="E307" s="823"/>
      <c r="F307" s="823"/>
      <c r="G307" s="823"/>
      <c r="H307" s="823"/>
      <c r="I307" s="823"/>
      <c r="J307" s="823"/>
      <c r="K307" s="823"/>
      <c r="L307" s="823"/>
      <c r="M307" s="823"/>
      <c r="N307" s="823"/>
      <c r="O307" s="823"/>
      <c r="P307" s="823"/>
      <c r="Q307" s="823"/>
      <c r="R307" s="823"/>
      <c r="S307" s="823"/>
      <c r="T307" s="823"/>
      <c r="U307" s="823"/>
      <c r="V307" s="144">
        <f t="shared" si="60"/>
        <v>0</v>
      </c>
      <c r="W307" s="145"/>
    </row>
    <row r="308" spans="1:23" s="159" customFormat="1" ht="9" customHeight="1">
      <c r="A308" s="166">
        <v>223</v>
      </c>
      <c r="B308" s="170" t="s">
        <v>16</v>
      </c>
      <c r="C308" s="787" t="s">
        <v>1006</v>
      </c>
      <c r="D308" s="787"/>
      <c r="E308" s="166">
        <v>1959</v>
      </c>
      <c r="F308" s="166"/>
      <c r="G308" s="191" t="s">
        <v>88</v>
      </c>
      <c r="H308" s="166">
        <v>2</v>
      </c>
      <c r="I308" s="166">
        <v>1</v>
      </c>
      <c r="J308" s="167">
        <v>401.2</v>
      </c>
      <c r="K308" s="167">
        <v>318.89999999999998</v>
      </c>
      <c r="L308" s="167">
        <v>268.8</v>
      </c>
      <c r="M308" s="190">
        <v>11</v>
      </c>
      <c r="N308" s="167">
        <f>'Приложение 2'!E311</f>
        <v>1114763.93</v>
      </c>
      <c r="O308" s="167">
        <v>0</v>
      </c>
      <c r="P308" s="167">
        <v>0</v>
      </c>
      <c r="Q308" s="167">
        <v>0</v>
      </c>
      <c r="R308" s="167">
        <f>N308</f>
        <v>1114763.93</v>
      </c>
      <c r="S308" s="797">
        <f>N308/K308</f>
        <v>3495.653590467231</v>
      </c>
      <c r="T308" s="797">
        <v>4503.95</v>
      </c>
      <c r="U308" s="196" t="s">
        <v>228</v>
      </c>
      <c r="V308" s="144">
        <f t="shared" si="60"/>
        <v>1008.2964095327688</v>
      </c>
      <c r="W308" s="145"/>
    </row>
    <row r="309" spans="1:23" s="159" customFormat="1" ht="9" customHeight="1">
      <c r="A309" s="166">
        <v>224</v>
      </c>
      <c r="B309" s="170" t="s">
        <v>15</v>
      </c>
      <c r="C309" s="787" t="s">
        <v>1006</v>
      </c>
      <c r="D309" s="787"/>
      <c r="E309" s="166">
        <v>1941</v>
      </c>
      <c r="F309" s="166"/>
      <c r="G309" s="191" t="s">
        <v>88</v>
      </c>
      <c r="H309" s="166">
        <v>3</v>
      </c>
      <c r="I309" s="166">
        <v>1</v>
      </c>
      <c r="J309" s="167">
        <v>347.3</v>
      </c>
      <c r="K309" s="167">
        <v>279.2</v>
      </c>
      <c r="L309" s="167">
        <v>243.2</v>
      </c>
      <c r="M309" s="190">
        <v>19</v>
      </c>
      <c r="N309" s="167">
        <f>'Приложение 2'!E312</f>
        <v>1182887.76</v>
      </c>
      <c r="O309" s="167">
        <v>0</v>
      </c>
      <c r="P309" s="167">
        <v>0</v>
      </c>
      <c r="Q309" s="167">
        <v>0</v>
      </c>
      <c r="R309" s="167">
        <f>N309</f>
        <v>1182887.76</v>
      </c>
      <c r="S309" s="797">
        <f>N309/K309</f>
        <v>4236.7040114613183</v>
      </c>
      <c r="T309" s="797">
        <v>4503.95</v>
      </c>
      <c r="U309" s="196" t="s">
        <v>228</v>
      </c>
      <c r="V309" s="144">
        <f t="shared" si="60"/>
        <v>267.24598853868156</v>
      </c>
      <c r="W309" s="145"/>
    </row>
    <row r="310" spans="1:23" s="159" customFormat="1" ht="9" customHeight="1">
      <c r="A310" s="166">
        <v>225</v>
      </c>
      <c r="B310" s="170" t="s">
        <v>17</v>
      </c>
      <c r="C310" s="787" t="s">
        <v>1006</v>
      </c>
      <c r="D310" s="787"/>
      <c r="E310" s="166">
        <v>1968</v>
      </c>
      <c r="F310" s="166"/>
      <c r="G310" s="191" t="s">
        <v>88</v>
      </c>
      <c r="H310" s="166">
        <v>3</v>
      </c>
      <c r="I310" s="166">
        <v>2</v>
      </c>
      <c r="J310" s="167">
        <v>992.2</v>
      </c>
      <c r="K310" s="167">
        <v>927.4</v>
      </c>
      <c r="L310" s="167">
        <v>927.4</v>
      </c>
      <c r="M310" s="190">
        <v>38</v>
      </c>
      <c r="N310" s="167">
        <f>'Приложение 2'!E313</f>
        <v>1588788.78</v>
      </c>
      <c r="O310" s="167">
        <v>0</v>
      </c>
      <c r="P310" s="167">
        <v>0</v>
      </c>
      <c r="Q310" s="167">
        <v>0</v>
      </c>
      <c r="R310" s="167">
        <f>N310</f>
        <v>1588788.78</v>
      </c>
      <c r="S310" s="797">
        <f>N310/K310</f>
        <v>1713.1645244770327</v>
      </c>
      <c r="T310" s="797">
        <v>4503.95</v>
      </c>
      <c r="U310" s="196" t="s">
        <v>228</v>
      </c>
      <c r="V310" s="144">
        <f t="shared" si="60"/>
        <v>2790.7854755229673</v>
      </c>
      <c r="W310" s="145"/>
    </row>
    <row r="311" spans="1:23" s="159" customFormat="1" ht="9" customHeight="1">
      <c r="A311" s="166">
        <v>226</v>
      </c>
      <c r="B311" s="170" t="s">
        <v>18</v>
      </c>
      <c r="C311" s="787" t="s">
        <v>1006</v>
      </c>
      <c r="D311" s="787"/>
      <c r="E311" s="166">
        <v>1941</v>
      </c>
      <c r="F311" s="166"/>
      <c r="G311" s="191" t="s">
        <v>88</v>
      </c>
      <c r="H311" s="166">
        <v>2</v>
      </c>
      <c r="I311" s="166">
        <v>2</v>
      </c>
      <c r="J311" s="167">
        <v>580.9</v>
      </c>
      <c r="K311" s="167">
        <v>526.1</v>
      </c>
      <c r="L311" s="167">
        <v>434.5</v>
      </c>
      <c r="M311" s="190">
        <v>18</v>
      </c>
      <c r="N311" s="167">
        <f>'Приложение 2'!E314</f>
        <v>1762304.38</v>
      </c>
      <c r="O311" s="167">
        <v>0</v>
      </c>
      <c r="P311" s="167">
        <v>0</v>
      </c>
      <c r="Q311" s="167">
        <v>0</v>
      </c>
      <c r="R311" s="167">
        <f>N311</f>
        <v>1762304.38</v>
      </c>
      <c r="S311" s="797">
        <f>N311/K311</f>
        <v>3349.7517202052836</v>
      </c>
      <c r="T311" s="797">
        <v>4503.95</v>
      </c>
      <c r="U311" s="196" t="s">
        <v>228</v>
      </c>
      <c r="V311" s="144">
        <f t="shared" si="60"/>
        <v>1154.1982797947162</v>
      </c>
      <c r="W311" s="145"/>
    </row>
    <row r="312" spans="1:23" s="198" customFormat="1" ht="21" customHeight="1">
      <c r="A312" s="820" t="s">
        <v>12</v>
      </c>
      <c r="B312" s="820"/>
      <c r="C312" s="787"/>
      <c r="D312" s="787"/>
      <c r="E312" s="141" t="s">
        <v>391</v>
      </c>
      <c r="F312" s="141" t="s">
        <v>391</v>
      </c>
      <c r="G312" s="141" t="s">
        <v>391</v>
      </c>
      <c r="H312" s="141" t="s">
        <v>391</v>
      </c>
      <c r="I312" s="141" t="s">
        <v>391</v>
      </c>
      <c r="J312" s="167">
        <f t="shared" ref="J312:R312" si="68">SUM(J308:J311)</f>
        <v>2321.6</v>
      </c>
      <c r="K312" s="167">
        <f t="shared" si="68"/>
        <v>2051.6</v>
      </c>
      <c r="L312" s="167">
        <f t="shared" si="68"/>
        <v>1873.9</v>
      </c>
      <c r="M312" s="130">
        <f t="shared" si="68"/>
        <v>86</v>
      </c>
      <c r="N312" s="167">
        <f t="shared" si="68"/>
        <v>5648744.8499999996</v>
      </c>
      <c r="O312" s="167">
        <f t="shared" si="68"/>
        <v>0</v>
      </c>
      <c r="P312" s="167">
        <f t="shared" si="68"/>
        <v>0</v>
      </c>
      <c r="Q312" s="167">
        <f t="shared" si="68"/>
        <v>0</v>
      </c>
      <c r="R312" s="167">
        <f t="shared" si="68"/>
        <v>5648744.8499999996</v>
      </c>
      <c r="S312" s="797">
        <f>N312/K312</f>
        <v>2753.3363472411775</v>
      </c>
      <c r="T312" s="166"/>
      <c r="U312" s="174"/>
      <c r="V312" s="144">
        <f t="shared" si="60"/>
        <v>-2753.3363472411775</v>
      </c>
      <c r="W312" s="145"/>
    </row>
    <row r="313" spans="1:23" s="198" customFormat="1" ht="9" customHeight="1">
      <c r="A313" s="823" t="s">
        <v>392</v>
      </c>
      <c r="B313" s="823"/>
      <c r="C313" s="823"/>
      <c r="D313" s="823"/>
      <c r="E313" s="823"/>
      <c r="F313" s="823"/>
      <c r="G313" s="823"/>
      <c r="H313" s="823"/>
      <c r="I313" s="823"/>
      <c r="J313" s="823"/>
      <c r="K313" s="823"/>
      <c r="L313" s="823"/>
      <c r="M313" s="823"/>
      <c r="N313" s="823"/>
      <c r="O313" s="823"/>
      <c r="P313" s="823"/>
      <c r="Q313" s="823"/>
      <c r="R313" s="823"/>
      <c r="S313" s="823"/>
      <c r="T313" s="823"/>
      <c r="U313" s="823"/>
      <c r="V313" s="144">
        <f t="shared" si="60"/>
        <v>0</v>
      </c>
      <c r="W313" s="145"/>
    </row>
    <row r="314" spans="1:23" s="198" customFormat="1" ht="9" customHeight="1">
      <c r="A314" s="166">
        <v>227</v>
      </c>
      <c r="B314" s="170" t="s">
        <v>19</v>
      </c>
      <c r="C314" s="170" t="s">
        <v>1005</v>
      </c>
      <c r="D314" s="170"/>
      <c r="E314" s="166">
        <v>1976</v>
      </c>
      <c r="F314" s="166"/>
      <c r="G314" s="166" t="s">
        <v>90</v>
      </c>
      <c r="H314" s="170">
        <v>2</v>
      </c>
      <c r="I314" s="166">
        <v>3</v>
      </c>
      <c r="J314" s="199">
        <v>980</v>
      </c>
      <c r="K314" s="166">
        <v>901.17</v>
      </c>
      <c r="L314" s="166">
        <v>901.17</v>
      </c>
      <c r="M314" s="166">
        <v>36</v>
      </c>
      <c r="N314" s="167">
        <f>'Приложение 2'!E317</f>
        <v>2502922.84</v>
      </c>
      <c r="O314" s="166" t="s">
        <v>393</v>
      </c>
      <c r="P314" s="199">
        <v>0</v>
      </c>
      <c r="Q314" s="167">
        <v>68483.17</v>
      </c>
      <c r="R314" s="167">
        <f>N314-Q314</f>
        <v>2434439.67</v>
      </c>
      <c r="S314" s="797">
        <f>N314/K314</f>
        <v>2777.414738617575</v>
      </c>
      <c r="T314" s="797">
        <v>4180</v>
      </c>
      <c r="U314" s="196" t="s">
        <v>228</v>
      </c>
      <c r="V314" s="144">
        <f t="shared" si="60"/>
        <v>1402.585261382425</v>
      </c>
      <c r="W314" s="145"/>
    </row>
    <row r="315" spans="1:23" s="198" customFormat="1" ht="9" customHeight="1">
      <c r="A315" s="166">
        <v>228</v>
      </c>
      <c r="B315" s="170" t="s">
        <v>20</v>
      </c>
      <c r="C315" s="170" t="s">
        <v>1005</v>
      </c>
      <c r="D315" s="170"/>
      <c r="E315" s="166">
        <v>1990</v>
      </c>
      <c r="F315" s="166"/>
      <c r="G315" s="166" t="s">
        <v>88</v>
      </c>
      <c r="H315" s="170">
        <v>2</v>
      </c>
      <c r="I315" s="166">
        <v>3</v>
      </c>
      <c r="J315" s="199">
        <v>980</v>
      </c>
      <c r="K315" s="166">
        <v>901.17</v>
      </c>
      <c r="L315" s="166">
        <v>901.17</v>
      </c>
      <c r="M315" s="166">
        <v>35</v>
      </c>
      <c r="N315" s="167">
        <f>'Приложение 2'!E318</f>
        <v>2551675.7200000002</v>
      </c>
      <c r="O315" s="166" t="s">
        <v>393</v>
      </c>
      <c r="P315" s="199">
        <v>0</v>
      </c>
      <c r="Q315" s="167">
        <v>96421.88</v>
      </c>
      <c r="R315" s="167">
        <f>N315-Q315</f>
        <v>2455253.8400000003</v>
      </c>
      <c r="S315" s="797">
        <f>N315/K315</f>
        <v>2831.5142758857933</v>
      </c>
      <c r="T315" s="797">
        <v>4180</v>
      </c>
      <c r="U315" s="196" t="s">
        <v>228</v>
      </c>
      <c r="V315" s="144">
        <f t="shared" si="60"/>
        <v>1348.4857241142067</v>
      </c>
      <c r="W315" s="145"/>
    </row>
    <row r="316" spans="1:23" s="198" customFormat="1" ht="22.5" customHeight="1">
      <c r="A316" s="820" t="s">
        <v>21</v>
      </c>
      <c r="B316" s="820"/>
      <c r="C316" s="787"/>
      <c r="D316" s="787"/>
      <c r="E316" s="141" t="s">
        <v>391</v>
      </c>
      <c r="F316" s="141" t="s">
        <v>391</v>
      </c>
      <c r="G316" s="141" t="s">
        <v>391</v>
      </c>
      <c r="H316" s="141" t="s">
        <v>391</v>
      </c>
      <c r="I316" s="141" t="s">
        <v>391</v>
      </c>
      <c r="J316" s="167">
        <f t="shared" ref="J316:P316" si="69">SUM(J314:J315)</f>
        <v>1960</v>
      </c>
      <c r="K316" s="167">
        <f t="shared" si="69"/>
        <v>1802.34</v>
      </c>
      <c r="L316" s="167">
        <f t="shared" si="69"/>
        <v>1802.34</v>
      </c>
      <c r="M316" s="130">
        <f t="shared" si="69"/>
        <v>71</v>
      </c>
      <c r="N316" s="167">
        <f t="shared" si="69"/>
        <v>5054598.5600000005</v>
      </c>
      <c r="O316" s="167">
        <f t="shared" si="69"/>
        <v>0</v>
      </c>
      <c r="P316" s="167">
        <f t="shared" si="69"/>
        <v>0</v>
      </c>
      <c r="Q316" s="167">
        <f>SUM(Q314:Q315)</f>
        <v>164905.04999999999</v>
      </c>
      <c r="R316" s="167">
        <f>SUM(R314:R315)</f>
        <v>4889693.51</v>
      </c>
      <c r="S316" s="797">
        <f>N316/K316</f>
        <v>2804.4645072516842</v>
      </c>
      <c r="T316" s="166"/>
      <c r="U316" s="170"/>
      <c r="V316" s="144">
        <f t="shared" si="60"/>
        <v>-2804.4645072516842</v>
      </c>
      <c r="W316" s="145"/>
    </row>
    <row r="317" spans="1:23" s="198" customFormat="1" ht="9" customHeight="1">
      <c r="A317" s="823" t="s">
        <v>1071</v>
      </c>
      <c r="B317" s="823"/>
      <c r="C317" s="823"/>
      <c r="D317" s="823"/>
      <c r="E317" s="823"/>
      <c r="F317" s="823"/>
      <c r="G317" s="823"/>
      <c r="H317" s="823"/>
      <c r="I317" s="823"/>
      <c r="J317" s="823"/>
      <c r="K317" s="823"/>
      <c r="L317" s="823"/>
      <c r="M317" s="823"/>
      <c r="N317" s="823"/>
      <c r="O317" s="823"/>
      <c r="P317" s="823"/>
      <c r="Q317" s="823"/>
      <c r="R317" s="823"/>
      <c r="S317" s="823"/>
      <c r="T317" s="823"/>
      <c r="U317" s="823"/>
      <c r="V317" s="144">
        <f t="shared" si="60"/>
        <v>0</v>
      </c>
      <c r="W317" s="145"/>
    </row>
    <row r="318" spans="1:23" s="198" customFormat="1" ht="9" customHeight="1">
      <c r="A318" s="166">
        <v>229</v>
      </c>
      <c r="B318" s="170" t="s">
        <v>22</v>
      </c>
      <c r="C318" s="170" t="s">
        <v>1008</v>
      </c>
      <c r="D318" s="170"/>
      <c r="E318" s="166">
        <v>1964</v>
      </c>
      <c r="F318" s="166"/>
      <c r="G318" s="166" t="s">
        <v>90</v>
      </c>
      <c r="H318" s="170">
        <v>2</v>
      </c>
      <c r="I318" s="166">
        <v>2</v>
      </c>
      <c r="J318" s="199">
        <v>800.6</v>
      </c>
      <c r="K318" s="199">
        <v>744.8</v>
      </c>
      <c r="L318" s="199">
        <v>701.7</v>
      </c>
      <c r="M318" s="166">
        <v>37</v>
      </c>
      <c r="N318" s="167">
        <f>'Приложение 2'!E321</f>
        <v>551093.68000000005</v>
      </c>
      <c r="O318" s="797">
        <v>0</v>
      </c>
      <c r="P318" s="199">
        <v>0</v>
      </c>
      <c r="Q318" s="199">
        <v>0</v>
      </c>
      <c r="R318" s="167">
        <f>N318</f>
        <v>551093.68000000005</v>
      </c>
      <c r="S318" s="797">
        <f>N318/K318</f>
        <v>739.92169709989275</v>
      </c>
      <c r="T318" s="797">
        <v>4984.6499999999996</v>
      </c>
      <c r="U318" s="170" t="s">
        <v>228</v>
      </c>
      <c r="V318" s="144">
        <f t="shared" si="60"/>
        <v>4244.7283029001064</v>
      </c>
      <c r="W318" s="145"/>
    </row>
    <row r="319" spans="1:23" s="198" customFormat="1" ht="21.75" customHeight="1">
      <c r="A319" s="820" t="s">
        <v>1072</v>
      </c>
      <c r="B319" s="820"/>
      <c r="C319" s="787"/>
      <c r="D319" s="787"/>
      <c r="E319" s="141" t="s">
        <v>391</v>
      </c>
      <c r="F319" s="141" t="s">
        <v>391</v>
      </c>
      <c r="G319" s="141" t="s">
        <v>391</v>
      </c>
      <c r="H319" s="141" t="s">
        <v>391</v>
      </c>
      <c r="I319" s="141" t="s">
        <v>391</v>
      </c>
      <c r="J319" s="167">
        <f t="shared" ref="J319:R319" si="70">J318</f>
        <v>800.6</v>
      </c>
      <c r="K319" s="167">
        <f t="shared" si="70"/>
        <v>744.8</v>
      </c>
      <c r="L319" s="167">
        <f t="shared" si="70"/>
        <v>701.7</v>
      </c>
      <c r="M319" s="168">
        <f t="shared" si="70"/>
        <v>37</v>
      </c>
      <c r="N319" s="167">
        <f t="shared" si="70"/>
        <v>551093.68000000005</v>
      </c>
      <c r="O319" s="167">
        <f t="shared" si="70"/>
        <v>0</v>
      </c>
      <c r="P319" s="167">
        <f t="shared" si="70"/>
        <v>0</v>
      </c>
      <c r="Q319" s="167">
        <f t="shared" si="70"/>
        <v>0</v>
      </c>
      <c r="R319" s="167">
        <f t="shared" si="70"/>
        <v>551093.68000000005</v>
      </c>
      <c r="S319" s="797">
        <f>N319/K319</f>
        <v>739.92169709989275</v>
      </c>
      <c r="T319" s="170"/>
      <c r="U319" s="170"/>
      <c r="V319" s="144">
        <f t="shared" si="60"/>
        <v>-739.92169709989275</v>
      </c>
      <c r="W319" s="145"/>
    </row>
    <row r="320" spans="1:23" s="198" customFormat="1" ht="9" customHeight="1">
      <c r="A320" s="823" t="s">
        <v>437</v>
      </c>
      <c r="B320" s="823"/>
      <c r="C320" s="823"/>
      <c r="D320" s="823"/>
      <c r="E320" s="823"/>
      <c r="F320" s="823"/>
      <c r="G320" s="823"/>
      <c r="H320" s="823"/>
      <c r="I320" s="823"/>
      <c r="J320" s="823"/>
      <c r="K320" s="823"/>
      <c r="L320" s="823"/>
      <c r="M320" s="823"/>
      <c r="N320" s="823"/>
      <c r="O320" s="823"/>
      <c r="P320" s="823"/>
      <c r="Q320" s="823"/>
      <c r="R320" s="823"/>
      <c r="S320" s="823"/>
      <c r="T320" s="823"/>
      <c r="U320" s="823"/>
      <c r="V320" s="144">
        <f t="shared" si="60"/>
        <v>0</v>
      </c>
      <c r="W320" s="145"/>
    </row>
    <row r="321" spans="1:23" s="198" customFormat="1" ht="9" customHeight="1">
      <c r="A321" s="794">
        <v>230</v>
      </c>
      <c r="B321" s="156" t="s">
        <v>26</v>
      </c>
      <c r="C321" s="785" t="s">
        <v>1013</v>
      </c>
      <c r="D321" s="785"/>
      <c r="E321" s="794">
        <v>1980</v>
      </c>
      <c r="F321" s="794"/>
      <c r="G321" s="794" t="s">
        <v>88</v>
      </c>
      <c r="H321" s="794">
        <v>2</v>
      </c>
      <c r="I321" s="794">
        <v>3</v>
      </c>
      <c r="J321" s="797">
        <v>936</v>
      </c>
      <c r="K321" s="797">
        <v>871.3</v>
      </c>
      <c r="L321" s="797">
        <v>871.3</v>
      </c>
      <c r="M321" s="130">
        <v>55</v>
      </c>
      <c r="N321" s="797">
        <f>'Приложение 2'!E324</f>
        <v>3606258</v>
      </c>
      <c r="O321" s="797">
        <v>0</v>
      </c>
      <c r="P321" s="797">
        <v>0</v>
      </c>
      <c r="Q321" s="797">
        <v>0</v>
      </c>
      <c r="R321" s="797">
        <f>N321-Q321</f>
        <v>3606258</v>
      </c>
      <c r="S321" s="797">
        <f>N321/K321</f>
        <v>4138.9395156662458</v>
      </c>
      <c r="T321" s="797">
        <v>4733.8500000000004</v>
      </c>
      <c r="U321" s="170" t="s">
        <v>228</v>
      </c>
      <c r="V321" s="144">
        <f t="shared" si="60"/>
        <v>594.91048433375454</v>
      </c>
      <c r="W321" s="145"/>
    </row>
    <row r="322" spans="1:23" s="198" customFormat="1" ht="21.75" customHeight="1">
      <c r="A322" s="822" t="s">
        <v>438</v>
      </c>
      <c r="B322" s="822"/>
      <c r="C322" s="785"/>
      <c r="D322" s="785"/>
      <c r="E322" s="141" t="s">
        <v>391</v>
      </c>
      <c r="F322" s="141" t="s">
        <v>391</v>
      </c>
      <c r="G322" s="141" t="s">
        <v>391</v>
      </c>
      <c r="H322" s="141" t="s">
        <v>391</v>
      </c>
      <c r="I322" s="141" t="s">
        <v>391</v>
      </c>
      <c r="J322" s="797">
        <f t="shared" ref="J322:Q322" si="71">SUM(J321:J321)</f>
        <v>936</v>
      </c>
      <c r="K322" s="797">
        <f t="shared" si="71"/>
        <v>871.3</v>
      </c>
      <c r="L322" s="797">
        <f t="shared" si="71"/>
        <v>871.3</v>
      </c>
      <c r="M322" s="130">
        <f t="shared" si="71"/>
        <v>55</v>
      </c>
      <c r="N322" s="797">
        <f t="shared" si="71"/>
        <v>3606258</v>
      </c>
      <c r="O322" s="797">
        <f t="shared" si="71"/>
        <v>0</v>
      </c>
      <c r="P322" s="797">
        <f t="shared" si="71"/>
        <v>0</v>
      </c>
      <c r="Q322" s="797">
        <f t="shared" si="71"/>
        <v>0</v>
      </c>
      <c r="R322" s="797">
        <f>SUM(R321:R321)</f>
        <v>3606258</v>
      </c>
      <c r="S322" s="797">
        <f>N322/K322</f>
        <v>4138.9395156662458</v>
      </c>
      <c r="T322" s="797"/>
      <c r="U322" s="170"/>
      <c r="V322" s="144">
        <f t="shared" si="60"/>
        <v>-4138.9395156662458</v>
      </c>
      <c r="W322" s="145"/>
    </row>
    <row r="323" spans="1:23" s="198" customFormat="1" ht="9" customHeight="1">
      <c r="A323" s="823" t="s">
        <v>429</v>
      </c>
      <c r="B323" s="823"/>
      <c r="C323" s="823"/>
      <c r="D323" s="823"/>
      <c r="E323" s="823"/>
      <c r="F323" s="823"/>
      <c r="G323" s="823"/>
      <c r="H323" s="823"/>
      <c r="I323" s="823"/>
      <c r="J323" s="823"/>
      <c r="K323" s="823"/>
      <c r="L323" s="823"/>
      <c r="M323" s="823"/>
      <c r="N323" s="823"/>
      <c r="O323" s="823"/>
      <c r="P323" s="823"/>
      <c r="Q323" s="823"/>
      <c r="R323" s="823"/>
      <c r="S323" s="823"/>
      <c r="T323" s="823"/>
      <c r="U323" s="823"/>
      <c r="V323" s="144">
        <f t="shared" si="60"/>
        <v>0</v>
      </c>
      <c r="W323" s="145"/>
    </row>
    <row r="324" spans="1:23" s="198" customFormat="1" ht="9" customHeight="1">
      <c r="A324" s="794">
        <v>231</v>
      </c>
      <c r="B324" s="156" t="s">
        <v>27</v>
      </c>
      <c r="C324" s="785" t="s">
        <v>1006</v>
      </c>
      <c r="D324" s="785"/>
      <c r="E324" s="794">
        <v>1962</v>
      </c>
      <c r="F324" s="794"/>
      <c r="G324" s="794" t="s">
        <v>88</v>
      </c>
      <c r="H324" s="794">
        <v>2</v>
      </c>
      <c r="I324" s="794">
        <v>4</v>
      </c>
      <c r="J324" s="797">
        <v>597.29999999999995</v>
      </c>
      <c r="K324" s="797">
        <v>450</v>
      </c>
      <c r="L324" s="797">
        <v>450</v>
      </c>
      <c r="M324" s="794">
        <v>12</v>
      </c>
      <c r="N324" s="797">
        <f>'Приложение 2'!E327</f>
        <v>1551397.34</v>
      </c>
      <c r="O324" s="797">
        <v>0</v>
      </c>
      <c r="P324" s="797">
        <v>0</v>
      </c>
      <c r="Q324" s="797">
        <v>0</v>
      </c>
      <c r="R324" s="797">
        <f>N324</f>
        <v>1551397.34</v>
      </c>
      <c r="S324" s="797">
        <f>N324/K324</f>
        <v>3447.5496444444448</v>
      </c>
      <c r="T324" s="797">
        <v>4503.95</v>
      </c>
      <c r="U324" s="132" t="s">
        <v>228</v>
      </c>
      <c r="V324" s="144">
        <f t="shared" si="60"/>
        <v>1056.4003555555551</v>
      </c>
      <c r="W324" s="145"/>
    </row>
    <row r="325" spans="1:23" s="198" customFormat="1" ht="9" customHeight="1">
      <c r="A325" s="794">
        <v>232</v>
      </c>
      <c r="B325" s="156" t="s">
        <v>28</v>
      </c>
      <c r="C325" s="785" t="s">
        <v>1006</v>
      </c>
      <c r="D325" s="785"/>
      <c r="E325" s="794">
        <v>1969</v>
      </c>
      <c r="F325" s="794"/>
      <c r="G325" s="794" t="s">
        <v>88</v>
      </c>
      <c r="H325" s="794" t="s">
        <v>73</v>
      </c>
      <c r="I325" s="794">
        <v>2</v>
      </c>
      <c r="J325" s="797">
        <v>480</v>
      </c>
      <c r="K325" s="797">
        <v>370</v>
      </c>
      <c r="L325" s="797">
        <v>370</v>
      </c>
      <c r="M325" s="794">
        <v>13</v>
      </c>
      <c r="N325" s="797">
        <f>'Приложение 2'!E328</f>
        <v>1350576.98</v>
      </c>
      <c r="O325" s="797">
        <v>0</v>
      </c>
      <c r="P325" s="797">
        <v>0</v>
      </c>
      <c r="Q325" s="797">
        <v>0</v>
      </c>
      <c r="R325" s="797">
        <f>N325</f>
        <v>1350576.98</v>
      </c>
      <c r="S325" s="797">
        <f>N325/K325</f>
        <v>3650.2080540540542</v>
      </c>
      <c r="T325" s="797">
        <v>4503.95</v>
      </c>
      <c r="U325" s="132" t="s">
        <v>228</v>
      </c>
      <c r="V325" s="144">
        <f t="shared" si="60"/>
        <v>853.74194594594564</v>
      </c>
      <c r="W325" s="145"/>
    </row>
    <row r="326" spans="1:23" s="198" customFormat="1" ht="21" customHeight="1">
      <c r="A326" s="822" t="s">
        <v>430</v>
      </c>
      <c r="B326" s="822"/>
      <c r="C326" s="785"/>
      <c r="D326" s="785"/>
      <c r="E326" s="141" t="s">
        <v>391</v>
      </c>
      <c r="F326" s="141" t="s">
        <v>391</v>
      </c>
      <c r="G326" s="141" t="s">
        <v>391</v>
      </c>
      <c r="H326" s="141" t="s">
        <v>391</v>
      </c>
      <c r="I326" s="141" t="s">
        <v>391</v>
      </c>
      <c r="J326" s="797">
        <f t="shared" ref="J326:R326" si="72">SUM(J324:J325)</f>
        <v>1077.3</v>
      </c>
      <c r="K326" s="797">
        <f t="shared" si="72"/>
        <v>820</v>
      </c>
      <c r="L326" s="797">
        <f t="shared" si="72"/>
        <v>820</v>
      </c>
      <c r="M326" s="130">
        <f t="shared" si="72"/>
        <v>25</v>
      </c>
      <c r="N326" s="797">
        <f t="shared" si="72"/>
        <v>2901974.3200000003</v>
      </c>
      <c r="O326" s="797">
        <f t="shared" si="72"/>
        <v>0</v>
      </c>
      <c r="P326" s="797">
        <f t="shared" si="72"/>
        <v>0</v>
      </c>
      <c r="Q326" s="797">
        <f t="shared" si="72"/>
        <v>0</v>
      </c>
      <c r="R326" s="797">
        <f t="shared" si="72"/>
        <v>2901974.3200000003</v>
      </c>
      <c r="S326" s="797">
        <f>N326/K326</f>
        <v>3538.9930731707323</v>
      </c>
      <c r="T326" s="802"/>
      <c r="U326" s="132"/>
      <c r="V326" s="144">
        <f t="shared" si="60"/>
        <v>-3538.9930731707323</v>
      </c>
      <c r="W326" s="145"/>
    </row>
    <row r="327" spans="1:23" s="198" customFormat="1" ht="9" customHeight="1">
      <c r="A327" s="821" t="s">
        <v>29</v>
      </c>
      <c r="B327" s="821"/>
      <c r="C327" s="821"/>
      <c r="D327" s="821"/>
      <c r="E327" s="821"/>
      <c r="F327" s="821"/>
      <c r="G327" s="821"/>
      <c r="H327" s="821"/>
      <c r="I327" s="821"/>
      <c r="J327" s="821"/>
      <c r="K327" s="821"/>
      <c r="L327" s="821"/>
      <c r="M327" s="821"/>
      <c r="N327" s="821"/>
      <c r="O327" s="821"/>
      <c r="P327" s="821"/>
      <c r="Q327" s="821"/>
      <c r="R327" s="821"/>
      <c r="S327" s="821"/>
      <c r="T327" s="821"/>
      <c r="U327" s="821"/>
      <c r="V327" s="144">
        <f t="shared" si="60"/>
        <v>0</v>
      </c>
      <c r="W327" s="145"/>
    </row>
    <row r="328" spans="1:23" s="198" customFormat="1" ht="9" customHeight="1">
      <c r="A328" s="794">
        <v>233</v>
      </c>
      <c r="B328" s="156" t="s">
        <v>31</v>
      </c>
      <c r="C328" s="785" t="s">
        <v>1006</v>
      </c>
      <c r="D328" s="785"/>
      <c r="E328" s="794">
        <v>1970</v>
      </c>
      <c r="F328" s="794"/>
      <c r="G328" s="794" t="s">
        <v>88</v>
      </c>
      <c r="H328" s="794" t="s">
        <v>73</v>
      </c>
      <c r="I328" s="794" t="s">
        <v>73</v>
      </c>
      <c r="J328" s="797">
        <v>490.5</v>
      </c>
      <c r="K328" s="797">
        <v>459.7</v>
      </c>
      <c r="L328" s="797">
        <v>298.2</v>
      </c>
      <c r="M328" s="130">
        <v>13</v>
      </c>
      <c r="N328" s="797">
        <f>'Приложение 2'!E331</f>
        <v>1578037.99</v>
      </c>
      <c r="O328" s="797">
        <v>0</v>
      </c>
      <c r="P328" s="797">
        <v>0</v>
      </c>
      <c r="Q328" s="797">
        <v>0</v>
      </c>
      <c r="R328" s="797">
        <f t="shared" ref="R328:R331" si="73">N328</f>
        <v>1578037.99</v>
      </c>
      <c r="S328" s="797">
        <v>3328.11</v>
      </c>
      <c r="T328" s="797">
        <v>4503.95</v>
      </c>
      <c r="U328" s="132" t="s">
        <v>228</v>
      </c>
      <c r="V328" s="144">
        <f t="shared" si="60"/>
        <v>1175.8399999999997</v>
      </c>
      <c r="W328" s="145"/>
    </row>
    <row r="329" spans="1:23" s="198" customFormat="1" ht="9" customHeight="1">
      <c r="A329" s="794">
        <v>234</v>
      </c>
      <c r="B329" s="156" t="s">
        <v>32</v>
      </c>
      <c r="C329" s="785" t="s">
        <v>1006</v>
      </c>
      <c r="D329" s="785"/>
      <c r="E329" s="794">
        <v>1948</v>
      </c>
      <c r="F329" s="794"/>
      <c r="G329" s="794" t="s">
        <v>88</v>
      </c>
      <c r="H329" s="794" t="s">
        <v>73</v>
      </c>
      <c r="I329" s="794">
        <v>1</v>
      </c>
      <c r="J329" s="797">
        <v>558.29999999999995</v>
      </c>
      <c r="K329" s="797">
        <v>498.1</v>
      </c>
      <c r="L329" s="797">
        <v>326.39999999999998</v>
      </c>
      <c r="M329" s="130">
        <v>15</v>
      </c>
      <c r="N329" s="797">
        <f>'Приложение 2'!E332</f>
        <v>1647365.1099999999</v>
      </c>
      <c r="O329" s="797">
        <v>0</v>
      </c>
      <c r="P329" s="797">
        <v>0</v>
      </c>
      <c r="Q329" s="797">
        <v>0</v>
      </c>
      <c r="R329" s="797">
        <f t="shared" si="73"/>
        <v>1647365.1099999999</v>
      </c>
      <c r="S329" s="797">
        <v>3223.39</v>
      </c>
      <c r="T329" s="797">
        <v>4503.95</v>
      </c>
      <c r="U329" s="132" t="s">
        <v>228</v>
      </c>
      <c r="V329" s="144">
        <f t="shared" si="60"/>
        <v>1280.56</v>
      </c>
      <c r="W329" s="145"/>
    </row>
    <row r="330" spans="1:23" s="198" customFormat="1" ht="9" customHeight="1">
      <c r="A330" s="794">
        <v>235</v>
      </c>
      <c r="B330" s="156" t="s">
        <v>33</v>
      </c>
      <c r="C330" s="785" t="s">
        <v>1006</v>
      </c>
      <c r="D330" s="785"/>
      <c r="E330" s="794">
        <v>1962</v>
      </c>
      <c r="F330" s="794"/>
      <c r="G330" s="794" t="s">
        <v>88</v>
      </c>
      <c r="H330" s="794">
        <v>2</v>
      </c>
      <c r="I330" s="794">
        <v>1</v>
      </c>
      <c r="J330" s="797">
        <v>240.3</v>
      </c>
      <c r="K330" s="797">
        <v>218.3</v>
      </c>
      <c r="L330" s="797">
        <v>143.9</v>
      </c>
      <c r="M330" s="130">
        <v>12</v>
      </c>
      <c r="N330" s="797">
        <f>'Приложение 2'!E333</f>
        <v>729456.35</v>
      </c>
      <c r="O330" s="797">
        <v>0</v>
      </c>
      <c r="P330" s="797">
        <v>0</v>
      </c>
      <c r="Q330" s="797">
        <v>0</v>
      </c>
      <c r="R330" s="797">
        <f t="shared" si="73"/>
        <v>729456.35</v>
      </c>
      <c r="S330" s="797">
        <v>3354.58</v>
      </c>
      <c r="T330" s="797">
        <v>4503.95</v>
      </c>
      <c r="U330" s="132" t="s">
        <v>228</v>
      </c>
      <c r="V330" s="144">
        <f t="shared" si="60"/>
        <v>1149.3699999999999</v>
      </c>
      <c r="W330" s="145"/>
    </row>
    <row r="331" spans="1:23" s="198" customFormat="1" ht="9" customHeight="1">
      <c r="A331" s="794">
        <v>236</v>
      </c>
      <c r="B331" s="156" t="s">
        <v>34</v>
      </c>
      <c r="C331" s="785" t="s">
        <v>1006</v>
      </c>
      <c r="D331" s="785"/>
      <c r="E331" s="794">
        <v>1960</v>
      </c>
      <c r="F331" s="794"/>
      <c r="G331" s="794" t="s">
        <v>88</v>
      </c>
      <c r="H331" s="794" t="s">
        <v>73</v>
      </c>
      <c r="I331" s="794" t="s">
        <v>72</v>
      </c>
      <c r="J331" s="797">
        <v>297.2</v>
      </c>
      <c r="K331" s="797">
        <v>276.2</v>
      </c>
      <c r="L331" s="797">
        <v>173.9</v>
      </c>
      <c r="M331" s="130">
        <v>10</v>
      </c>
      <c r="N331" s="797">
        <f>'Приложение 2'!E334</f>
        <v>911451.9</v>
      </c>
      <c r="O331" s="797">
        <v>0</v>
      </c>
      <c r="P331" s="797">
        <v>0</v>
      </c>
      <c r="Q331" s="797">
        <v>0</v>
      </c>
      <c r="R331" s="797">
        <f t="shared" si="73"/>
        <v>911451.9</v>
      </c>
      <c r="S331" s="797">
        <v>3211.5</v>
      </c>
      <c r="T331" s="797">
        <v>4503.95</v>
      </c>
      <c r="U331" s="132" t="s">
        <v>228</v>
      </c>
      <c r="V331" s="144">
        <f t="shared" si="60"/>
        <v>1292.4499999999998</v>
      </c>
      <c r="W331" s="145"/>
    </row>
    <row r="332" spans="1:23" s="198" customFormat="1" ht="21" customHeight="1">
      <c r="A332" s="822" t="s">
        <v>30</v>
      </c>
      <c r="B332" s="822"/>
      <c r="C332" s="785"/>
      <c r="D332" s="785"/>
      <c r="E332" s="141" t="s">
        <v>391</v>
      </c>
      <c r="F332" s="141" t="s">
        <v>391</v>
      </c>
      <c r="G332" s="141" t="s">
        <v>391</v>
      </c>
      <c r="H332" s="141" t="s">
        <v>391</v>
      </c>
      <c r="I332" s="141" t="s">
        <v>391</v>
      </c>
      <c r="J332" s="797">
        <f t="shared" ref="J332:R332" si="74">SUM(J328:J331)</f>
        <v>1586.3</v>
      </c>
      <c r="K332" s="797">
        <f t="shared" si="74"/>
        <v>1452.3</v>
      </c>
      <c r="L332" s="797">
        <f t="shared" si="74"/>
        <v>942.39999999999986</v>
      </c>
      <c r="M332" s="130">
        <f t="shared" si="74"/>
        <v>50</v>
      </c>
      <c r="N332" s="797">
        <f t="shared" si="74"/>
        <v>4866311.3499999996</v>
      </c>
      <c r="O332" s="797">
        <f t="shared" si="74"/>
        <v>0</v>
      </c>
      <c r="P332" s="797">
        <f t="shared" si="74"/>
        <v>0</v>
      </c>
      <c r="Q332" s="797">
        <f t="shared" si="74"/>
        <v>0</v>
      </c>
      <c r="R332" s="797">
        <f t="shared" si="74"/>
        <v>4866311.3499999996</v>
      </c>
      <c r="S332" s="797">
        <f>N332/K332</f>
        <v>3350.7617916408453</v>
      </c>
      <c r="T332" s="797"/>
      <c r="U332" s="132"/>
      <c r="V332" s="144">
        <f t="shared" si="60"/>
        <v>-3350.7617916408453</v>
      </c>
      <c r="W332" s="145"/>
    </row>
    <row r="333" spans="1:23" s="198" customFormat="1" ht="9" customHeight="1">
      <c r="A333" s="821" t="s">
        <v>35</v>
      </c>
      <c r="B333" s="821"/>
      <c r="C333" s="821"/>
      <c r="D333" s="821"/>
      <c r="E333" s="821"/>
      <c r="F333" s="821"/>
      <c r="G333" s="821"/>
      <c r="H333" s="821"/>
      <c r="I333" s="821"/>
      <c r="J333" s="821"/>
      <c r="K333" s="821"/>
      <c r="L333" s="821"/>
      <c r="M333" s="821"/>
      <c r="N333" s="821"/>
      <c r="O333" s="821"/>
      <c r="P333" s="821"/>
      <c r="Q333" s="821"/>
      <c r="R333" s="821"/>
      <c r="S333" s="821"/>
      <c r="T333" s="821"/>
      <c r="U333" s="821"/>
      <c r="V333" s="144">
        <f t="shared" si="60"/>
        <v>0</v>
      </c>
      <c r="W333" s="145"/>
    </row>
    <row r="334" spans="1:23" s="198" customFormat="1" ht="9" customHeight="1">
      <c r="A334" s="794">
        <v>237</v>
      </c>
      <c r="B334" s="156" t="s">
        <v>37</v>
      </c>
      <c r="C334" s="785" t="s">
        <v>1005</v>
      </c>
      <c r="D334" s="785"/>
      <c r="E334" s="794">
        <v>1983</v>
      </c>
      <c r="F334" s="794">
        <v>1983</v>
      </c>
      <c r="G334" s="794" t="s">
        <v>88</v>
      </c>
      <c r="H334" s="794">
        <v>5</v>
      </c>
      <c r="I334" s="794">
        <v>10</v>
      </c>
      <c r="J334" s="797">
        <v>7782.18</v>
      </c>
      <c r="K334" s="797">
        <v>7582.18</v>
      </c>
      <c r="L334" s="797">
        <v>6998.18</v>
      </c>
      <c r="M334" s="794">
        <v>277</v>
      </c>
      <c r="N334" s="797">
        <f>'Приложение 2'!E337</f>
        <v>8244894.0599999996</v>
      </c>
      <c r="O334" s="797">
        <v>0</v>
      </c>
      <c r="P334" s="797">
        <v>0</v>
      </c>
      <c r="Q334" s="797">
        <v>0</v>
      </c>
      <c r="R334" s="797">
        <f>N334</f>
        <v>8244894.0599999996</v>
      </c>
      <c r="S334" s="797">
        <f>N334/K334</f>
        <v>1087.4041581708689</v>
      </c>
      <c r="T334" s="797">
        <v>4180</v>
      </c>
      <c r="U334" s="132" t="s">
        <v>228</v>
      </c>
      <c r="V334" s="144">
        <f t="shared" si="60"/>
        <v>3092.5958418291311</v>
      </c>
      <c r="W334" s="145"/>
    </row>
    <row r="335" spans="1:23" s="198" customFormat="1" ht="9" customHeight="1">
      <c r="A335" s="794">
        <v>238</v>
      </c>
      <c r="B335" s="156" t="s">
        <v>38</v>
      </c>
      <c r="C335" s="785" t="s">
        <v>1006</v>
      </c>
      <c r="D335" s="785"/>
      <c r="E335" s="794">
        <v>1961</v>
      </c>
      <c r="F335" s="794">
        <v>1961</v>
      </c>
      <c r="G335" s="794" t="s">
        <v>88</v>
      </c>
      <c r="H335" s="794">
        <v>2</v>
      </c>
      <c r="I335" s="794">
        <v>1</v>
      </c>
      <c r="J335" s="797">
        <v>320</v>
      </c>
      <c r="K335" s="797">
        <v>305</v>
      </c>
      <c r="L335" s="797">
        <v>278</v>
      </c>
      <c r="M335" s="794">
        <v>7</v>
      </c>
      <c r="N335" s="797">
        <f>'Приложение 2'!E338</f>
        <v>799522.22</v>
      </c>
      <c r="O335" s="797">
        <v>0</v>
      </c>
      <c r="P335" s="797">
        <v>0</v>
      </c>
      <c r="Q335" s="797">
        <v>0</v>
      </c>
      <c r="R335" s="797">
        <f>N335</f>
        <v>799522.22</v>
      </c>
      <c r="S335" s="797">
        <f>N335/K335</f>
        <v>2621.3843278688523</v>
      </c>
      <c r="T335" s="797">
        <v>4503.95</v>
      </c>
      <c r="U335" s="132" t="s">
        <v>228</v>
      </c>
      <c r="V335" s="144">
        <f t="shared" si="60"/>
        <v>1882.5656721311475</v>
      </c>
      <c r="W335" s="145"/>
    </row>
    <row r="336" spans="1:23" s="198" customFormat="1" ht="9" customHeight="1">
      <c r="A336" s="794">
        <v>239</v>
      </c>
      <c r="B336" s="156" t="s">
        <v>372</v>
      </c>
      <c r="C336" s="785" t="s">
        <v>1005</v>
      </c>
      <c r="D336" s="785"/>
      <c r="E336" s="794">
        <v>1985</v>
      </c>
      <c r="F336" s="794">
        <v>1985</v>
      </c>
      <c r="G336" s="794" t="s">
        <v>88</v>
      </c>
      <c r="H336" s="794">
        <v>1</v>
      </c>
      <c r="I336" s="794">
        <v>12</v>
      </c>
      <c r="J336" s="797">
        <v>639</v>
      </c>
      <c r="K336" s="797">
        <v>523.70000000000005</v>
      </c>
      <c r="L336" s="797">
        <v>523.70000000000005</v>
      </c>
      <c r="M336" s="794">
        <v>18</v>
      </c>
      <c r="N336" s="797">
        <f>'Приложение 2'!E339</f>
        <v>1237806.0900000001</v>
      </c>
      <c r="O336" s="797">
        <v>0</v>
      </c>
      <c r="P336" s="797">
        <v>0</v>
      </c>
      <c r="Q336" s="797">
        <v>0</v>
      </c>
      <c r="R336" s="797">
        <f>N336</f>
        <v>1237806.0900000001</v>
      </c>
      <c r="S336" s="797">
        <f>N336/K336</f>
        <v>2363.5785564254343</v>
      </c>
      <c r="T336" s="797">
        <v>4180</v>
      </c>
      <c r="U336" s="132" t="s">
        <v>228</v>
      </c>
      <c r="V336" s="144">
        <f t="shared" si="60"/>
        <v>1816.4214435745657</v>
      </c>
      <c r="W336" s="145"/>
    </row>
    <row r="337" spans="1:23" s="198" customFormat="1" ht="21.75" customHeight="1">
      <c r="A337" s="822" t="s">
        <v>36</v>
      </c>
      <c r="B337" s="822"/>
      <c r="C337" s="785"/>
      <c r="D337" s="785"/>
      <c r="E337" s="141" t="s">
        <v>391</v>
      </c>
      <c r="F337" s="141" t="s">
        <v>391</v>
      </c>
      <c r="G337" s="141" t="s">
        <v>391</v>
      </c>
      <c r="H337" s="141" t="s">
        <v>391</v>
      </c>
      <c r="I337" s="141" t="s">
        <v>391</v>
      </c>
      <c r="J337" s="797">
        <f t="shared" ref="J337:R337" si="75">SUM(J334:J336)</f>
        <v>8741.18</v>
      </c>
      <c r="K337" s="797">
        <f t="shared" si="75"/>
        <v>8410.880000000001</v>
      </c>
      <c r="L337" s="797">
        <f t="shared" si="75"/>
        <v>7799.88</v>
      </c>
      <c r="M337" s="130">
        <f t="shared" si="75"/>
        <v>302</v>
      </c>
      <c r="N337" s="797">
        <f t="shared" si="75"/>
        <v>10282222.369999999</v>
      </c>
      <c r="O337" s="797">
        <f t="shared" si="75"/>
        <v>0</v>
      </c>
      <c r="P337" s="797">
        <f t="shared" si="75"/>
        <v>0</v>
      </c>
      <c r="Q337" s="797">
        <f t="shared" si="75"/>
        <v>0</v>
      </c>
      <c r="R337" s="797">
        <f t="shared" si="75"/>
        <v>10282222.369999999</v>
      </c>
      <c r="S337" s="797">
        <f>N337/K337</f>
        <v>1222.4906751731089</v>
      </c>
      <c r="T337" s="797"/>
      <c r="U337" s="132"/>
      <c r="V337" s="144">
        <f t="shared" si="60"/>
        <v>-1222.4906751731089</v>
      </c>
      <c r="W337" s="145"/>
    </row>
    <row r="338" spans="1:23" s="198" customFormat="1" ht="9" customHeight="1">
      <c r="A338" s="821" t="s">
        <v>40</v>
      </c>
      <c r="B338" s="821"/>
      <c r="C338" s="821"/>
      <c r="D338" s="821"/>
      <c r="E338" s="821"/>
      <c r="F338" s="821"/>
      <c r="G338" s="821"/>
      <c r="H338" s="821"/>
      <c r="I338" s="821"/>
      <c r="J338" s="821"/>
      <c r="K338" s="821"/>
      <c r="L338" s="821"/>
      <c r="M338" s="821"/>
      <c r="N338" s="821"/>
      <c r="O338" s="821"/>
      <c r="P338" s="821"/>
      <c r="Q338" s="821"/>
      <c r="R338" s="821"/>
      <c r="S338" s="821"/>
      <c r="T338" s="821"/>
      <c r="U338" s="821"/>
      <c r="V338" s="144">
        <f t="shared" ref="V338:V357" si="76">T338-S338</f>
        <v>0</v>
      </c>
      <c r="W338" s="145"/>
    </row>
    <row r="339" spans="1:23" s="198" customFormat="1" ht="9" customHeight="1">
      <c r="A339" s="794">
        <v>240</v>
      </c>
      <c r="B339" s="156" t="s">
        <v>42</v>
      </c>
      <c r="C339" s="785" t="s">
        <v>1006</v>
      </c>
      <c r="D339" s="785"/>
      <c r="E339" s="794">
        <v>1963</v>
      </c>
      <c r="F339" s="794"/>
      <c r="G339" s="794" t="s">
        <v>88</v>
      </c>
      <c r="H339" s="794">
        <v>4</v>
      </c>
      <c r="I339" s="794">
        <v>2</v>
      </c>
      <c r="J339" s="149">
        <v>1419.3</v>
      </c>
      <c r="K339" s="804">
        <v>1293.46</v>
      </c>
      <c r="L339" s="794">
        <v>1249.95</v>
      </c>
      <c r="M339" s="804">
        <v>53</v>
      </c>
      <c r="N339" s="797">
        <f>'Приложение 2'!E342</f>
        <v>2068137.48</v>
      </c>
      <c r="O339" s="797">
        <v>0</v>
      </c>
      <c r="P339" s="797">
        <v>0</v>
      </c>
      <c r="Q339" s="797">
        <v>0</v>
      </c>
      <c r="R339" s="797">
        <f>N339</f>
        <v>2068137.48</v>
      </c>
      <c r="S339" s="797">
        <f>N339/K339</f>
        <v>1598.9187759961653</v>
      </c>
      <c r="T339" s="797">
        <v>4503.95</v>
      </c>
      <c r="U339" s="132" t="s">
        <v>228</v>
      </c>
      <c r="V339" s="144">
        <f t="shared" si="76"/>
        <v>2905.0312240038347</v>
      </c>
      <c r="W339" s="145"/>
    </row>
    <row r="340" spans="1:23" s="198" customFormat="1" ht="9" customHeight="1">
      <c r="A340" s="794">
        <v>241</v>
      </c>
      <c r="B340" s="156" t="s">
        <v>41</v>
      </c>
      <c r="C340" s="785" t="s">
        <v>1008</v>
      </c>
      <c r="D340" s="785"/>
      <c r="E340" s="794">
        <v>1950</v>
      </c>
      <c r="F340" s="794"/>
      <c r="G340" s="794" t="s">
        <v>88</v>
      </c>
      <c r="H340" s="794" t="s">
        <v>73</v>
      </c>
      <c r="I340" s="794" t="s">
        <v>73</v>
      </c>
      <c r="J340" s="797">
        <v>695.18</v>
      </c>
      <c r="K340" s="797">
        <v>638.03</v>
      </c>
      <c r="L340" s="797">
        <v>638.03</v>
      </c>
      <c r="M340" s="130">
        <v>26</v>
      </c>
      <c r="N340" s="797">
        <f>'Приложение 2'!E343</f>
        <v>2772758.46</v>
      </c>
      <c r="O340" s="797">
        <v>0</v>
      </c>
      <c r="P340" s="797">
        <v>0</v>
      </c>
      <c r="Q340" s="797">
        <v>0</v>
      </c>
      <c r="R340" s="797">
        <f>N340</f>
        <v>2772758.46</v>
      </c>
      <c r="S340" s="797">
        <f>N340/K340</f>
        <v>4345.8120464554959</v>
      </c>
      <c r="T340" s="797">
        <v>4984.6499999999996</v>
      </c>
      <c r="U340" s="132" t="s">
        <v>228</v>
      </c>
      <c r="V340" s="144">
        <f t="shared" si="76"/>
        <v>638.83795354450376</v>
      </c>
      <c r="W340" s="145"/>
    </row>
    <row r="341" spans="1:23" s="198" customFormat="1" ht="21.75" customHeight="1">
      <c r="A341" s="822" t="s">
        <v>39</v>
      </c>
      <c r="B341" s="822"/>
      <c r="C341" s="785"/>
      <c r="D341" s="785"/>
      <c r="E341" s="141" t="s">
        <v>391</v>
      </c>
      <c r="F341" s="141" t="s">
        <v>391</v>
      </c>
      <c r="G341" s="141" t="s">
        <v>391</v>
      </c>
      <c r="H341" s="141" t="s">
        <v>391</v>
      </c>
      <c r="I341" s="141" t="s">
        <v>391</v>
      </c>
      <c r="J341" s="797">
        <f t="shared" ref="J341:R341" si="77">SUM(J339:J340)</f>
        <v>2114.48</v>
      </c>
      <c r="K341" s="797">
        <f t="shared" si="77"/>
        <v>1931.49</v>
      </c>
      <c r="L341" s="797">
        <f t="shared" si="77"/>
        <v>1887.98</v>
      </c>
      <c r="M341" s="130">
        <f t="shared" si="77"/>
        <v>79</v>
      </c>
      <c r="N341" s="797">
        <f t="shared" si="77"/>
        <v>4840895.9399999995</v>
      </c>
      <c r="O341" s="797">
        <f t="shared" si="77"/>
        <v>0</v>
      </c>
      <c r="P341" s="797">
        <f t="shared" si="77"/>
        <v>0</v>
      </c>
      <c r="Q341" s="797">
        <f t="shared" si="77"/>
        <v>0</v>
      </c>
      <c r="R341" s="797">
        <f t="shared" si="77"/>
        <v>4840895.9399999995</v>
      </c>
      <c r="S341" s="797">
        <f>N341/K341</f>
        <v>2506.3013217774874</v>
      </c>
      <c r="T341" s="797"/>
      <c r="U341" s="132"/>
      <c r="V341" s="144">
        <f t="shared" si="76"/>
        <v>-2506.3013217774874</v>
      </c>
      <c r="W341" s="145"/>
    </row>
    <row r="342" spans="1:23" s="198" customFormat="1" ht="9" customHeight="1">
      <c r="A342" s="821" t="s">
        <v>45</v>
      </c>
      <c r="B342" s="821"/>
      <c r="C342" s="821"/>
      <c r="D342" s="821"/>
      <c r="E342" s="821"/>
      <c r="F342" s="821"/>
      <c r="G342" s="821"/>
      <c r="H342" s="821"/>
      <c r="I342" s="821"/>
      <c r="J342" s="821"/>
      <c r="K342" s="821"/>
      <c r="L342" s="821"/>
      <c r="M342" s="821"/>
      <c r="N342" s="821"/>
      <c r="O342" s="821"/>
      <c r="P342" s="821"/>
      <c r="Q342" s="821"/>
      <c r="R342" s="821"/>
      <c r="S342" s="821"/>
      <c r="T342" s="821"/>
      <c r="U342" s="821"/>
      <c r="V342" s="144">
        <f t="shared" si="76"/>
        <v>0</v>
      </c>
      <c r="W342" s="145"/>
    </row>
    <row r="343" spans="1:23" s="198" customFormat="1" ht="9" customHeight="1">
      <c r="A343" s="794">
        <v>242</v>
      </c>
      <c r="B343" s="156" t="s">
        <v>46</v>
      </c>
      <c r="C343" s="785" t="s">
        <v>1006</v>
      </c>
      <c r="D343" s="785"/>
      <c r="E343" s="794">
        <v>1937</v>
      </c>
      <c r="F343" s="794"/>
      <c r="G343" s="794" t="s">
        <v>88</v>
      </c>
      <c r="H343" s="794">
        <v>2</v>
      </c>
      <c r="I343" s="794">
        <v>3</v>
      </c>
      <c r="J343" s="797">
        <v>651.4</v>
      </c>
      <c r="K343" s="797">
        <v>573.4</v>
      </c>
      <c r="L343" s="797">
        <v>573.4</v>
      </c>
      <c r="M343" s="130">
        <v>24</v>
      </c>
      <c r="N343" s="797">
        <f>'Приложение 2'!E346</f>
        <v>1720751.65</v>
      </c>
      <c r="O343" s="149">
        <v>0</v>
      </c>
      <c r="P343" s="149">
        <v>0</v>
      </c>
      <c r="Q343" s="149">
        <v>0</v>
      </c>
      <c r="R343" s="797">
        <f>N343</f>
        <v>1720751.65</v>
      </c>
      <c r="S343" s="797">
        <f t="shared" ref="S343:S356" si="78">N343/K343</f>
        <v>3000.9620683641438</v>
      </c>
      <c r="T343" s="797">
        <v>4503.95</v>
      </c>
      <c r="U343" s="132" t="s">
        <v>228</v>
      </c>
      <c r="V343" s="144">
        <f t="shared" si="76"/>
        <v>1502.9879316358561</v>
      </c>
      <c r="W343" s="145"/>
    </row>
    <row r="344" spans="1:23" s="198" customFormat="1" ht="9" customHeight="1">
      <c r="A344" s="794">
        <v>243</v>
      </c>
      <c r="B344" s="156" t="s">
        <v>47</v>
      </c>
      <c r="C344" s="785" t="s">
        <v>1006</v>
      </c>
      <c r="D344" s="785"/>
      <c r="E344" s="794">
        <v>1957</v>
      </c>
      <c r="F344" s="794"/>
      <c r="G344" s="794" t="s">
        <v>88</v>
      </c>
      <c r="H344" s="794">
        <v>2</v>
      </c>
      <c r="I344" s="794">
        <v>1</v>
      </c>
      <c r="J344" s="797">
        <v>481.9</v>
      </c>
      <c r="K344" s="797">
        <v>440.79999999999995</v>
      </c>
      <c r="L344" s="797">
        <v>373.9</v>
      </c>
      <c r="M344" s="130">
        <v>17</v>
      </c>
      <c r="N344" s="797">
        <f>'Приложение 2'!E347</f>
        <v>1370972.8199999998</v>
      </c>
      <c r="O344" s="149">
        <v>0</v>
      </c>
      <c r="P344" s="149">
        <v>0</v>
      </c>
      <c r="Q344" s="149">
        <v>0</v>
      </c>
      <c r="R344" s="797">
        <f t="shared" ref="R344:R357" si="79">N344</f>
        <v>1370972.8199999998</v>
      </c>
      <c r="S344" s="797">
        <f t="shared" si="78"/>
        <v>3110.1924228675134</v>
      </c>
      <c r="T344" s="797">
        <v>4503.95</v>
      </c>
      <c r="U344" s="132" t="s">
        <v>228</v>
      </c>
      <c r="V344" s="144">
        <f t="shared" si="76"/>
        <v>1393.7575771324864</v>
      </c>
      <c r="W344" s="145"/>
    </row>
    <row r="345" spans="1:23" s="198" customFormat="1" ht="9" customHeight="1">
      <c r="A345" s="794">
        <v>244</v>
      </c>
      <c r="B345" s="156" t="s">
        <v>48</v>
      </c>
      <c r="C345" s="785" t="s">
        <v>1006</v>
      </c>
      <c r="D345" s="785"/>
      <c r="E345" s="794">
        <v>1972</v>
      </c>
      <c r="F345" s="794"/>
      <c r="G345" s="794" t="s">
        <v>88</v>
      </c>
      <c r="H345" s="794">
        <v>2</v>
      </c>
      <c r="I345" s="794">
        <v>2</v>
      </c>
      <c r="J345" s="797">
        <v>775.6</v>
      </c>
      <c r="K345" s="797">
        <v>716</v>
      </c>
      <c r="L345" s="797">
        <v>716</v>
      </c>
      <c r="M345" s="130">
        <v>28</v>
      </c>
      <c r="N345" s="797">
        <f>'Приложение 2'!E348</f>
        <v>2079205.7999999998</v>
      </c>
      <c r="O345" s="149">
        <v>0</v>
      </c>
      <c r="P345" s="149">
        <v>0</v>
      </c>
      <c r="Q345" s="149">
        <v>0</v>
      </c>
      <c r="R345" s="797">
        <f t="shared" si="79"/>
        <v>2079205.7999999998</v>
      </c>
      <c r="S345" s="797">
        <f t="shared" si="78"/>
        <v>2903.9187150837988</v>
      </c>
      <c r="T345" s="797">
        <v>4503.95</v>
      </c>
      <c r="U345" s="132" t="s">
        <v>228</v>
      </c>
      <c r="V345" s="144">
        <f t="shared" si="76"/>
        <v>1600.031284916201</v>
      </c>
      <c r="W345" s="145"/>
    </row>
    <row r="346" spans="1:23" s="198" customFormat="1" ht="9" customHeight="1">
      <c r="A346" s="794">
        <v>245</v>
      </c>
      <c r="B346" s="156" t="s">
        <v>59</v>
      </c>
      <c r="C346" s="785" t="s">
        <v>1005</v>
      </c>
      <c r="D346" s="785"/>
      <c r="E346" s="794">
        <v>1970</v>
      </c>
      <c r="F346" s="794"/>
      <c r="G346" s="794" t="s">
        <v>88</v>
      </c>
      <c r="H346" s="794">
        <v>4</v>
      </c>
      <c r="I346" s="794">
        <v>1</v>
      </c>
      <c r="J346" s="797">
        <v>2711.3</v>
      </c>
      <c r="K346" s="797">
        <v>1386.1</v>
      </c>
      <c r="L346" s="797">
        <v>1386.1</v>
      </c>
      <c r="M346" s="130">
        <v>212</v>
      </c>
      <c r="N346" s="797">
        <f>'Приложение 2'!E349</f>
        <v>3171266.41</v>
      </c>
      <c r="O346" s="149">
        <v>0</v>
      </c>
      <c r="P346" s="149">
        <v>0</v>
      </c>
      <c r="Q346" s="149">
        <v>0</v>
      </c>
      <c r="R346" s="797">
        <f t="shared" si="79"/>
        <v>3171266.41</v>
      </c>
      <c r="S346" s="797">
        <f t="shared" si="78"/>
        <v>2287.9059303080589</v>
      </c>
      <c r="T346" s="797">
        <v>4180</v>
      </c>
      <c r="U346" s="132" t="s">
        <v>228</v>
      </c>
      <c r="V346" s="144">
        <f t="shared" si="76"/>
        <v>1892.0940696919411</v>
      </c>
      <c r="W346" s="145"/>
    </row>
    <row r="347" spans="1:23" s="198" customFormat="1" ht="9" customHeight="1">
      <c r="A347" s="794">
        <v>246</v>
      </c>
      <c r="B347" s="156" t="s">
        <v>49</v>
      </c>
      <c r="C347" s="785" t="s">
        <v>1005</v>
      </c>
      <c r="D347" s="785"/>
      <c r="E347" s="794">
        <v>1971</v>
      </c>
      <c r="F347" s="794"/>
      <c r="G347" s="794" t="s">
        <v>88</v>
      </c>
      <c r="H347" s="794">
        <v>5</v>
      </c>
      <c r="I347" s="794">
        <v>4</v>
      </c>
      <c r="J347" s="797">
        <v>3479.9</v>
      </c>
      <c r="K347" s="797">
        <v>3211.5</v>
      </c>
      <c r="L347" s="797">
        <v>3211.5</v>
      </c>
      <c r="M347" s="130">
        <v>127</v>
      </c>
      <c r="N347" s="797">
        <f>'Приложение 2'!E350</f>
        <v>3050452.81</v>
      </c>
      <c r="O347" s="797">
        <v>0</v>
      </c>
      <c r="P347" s="797">
        <v>0</v>
      </c>
      <c r="Q347" s="797">
        <v>0</v>
      </c>
      <c r="R347" s="797">
        <f t="shared" si="79"/>
        <v>3050452.81</v>
      </c>
      <c r="S347" s="797">
        <f t="shared" si="78"/>
        <v>949.85296901759307</v>
      </c>
      <c r="T347" s="797">
        <v>4180</v>
      </c>
      <c r="U347" s="132" t="s">
        <v>228</v>
      </c>
      <c r="V347" s="144">
        <f t="shared" si="76"/>
        <v>3230.1470309824072</v>
      </c>
      <c r="W347" s="145"/>
    </row>
    <row r="348" spans="1:23" s="198" customFormat="1" ht="9" customHeight="1">
      <c r="A348" s="794">
        <v>247</v>
      </c>
      <c r="B348" s="156" t="s">
        <v>56</v>
      </c>
      <c r="C348" s="785" t="s">
        <v>1006</v>
      </c>
      <c r="D348" s="785"/>
      <c r="E348" s="794">
        <v>1964</v>
      </c>
      <c r="F348" s="794"/>
      <c r="G348" s="794" t="s">
        <v>88</v>
      </c>
      <c r="H348" s="794">
        <v>2</v>
      </c>
      <c r="I348" s="794">
        <v>3</v>
      </c>
      <c r="J348" s="797">
        <v>543</v>
      </c>
      <c r="K348" s="797">
        <v>480.7</v>
      </c>
      <c r="L348" s="797">
        <v>480.7</v>
      </c>
      <c r="M348" s="130">
        <v>15</v>
      </c>
      <c r="N348" s="797">
        <f>'Приложение 2'!E351</f>
        <v>1651139.81</v>
      </c>
      <c r="O348" s="797">
        <v>0</v>
      </c>
      <c r="P348" s="797">
        <v>0</v>
      </c>
      <c r="Q348" s="797">
        <v>0</v>
      </c>
      <c r="R348" s="797">
        <f t="shared" si="79"/>
        <v>1651139.81</v>
      </c>
      <c r="S348" s="797">
        <f t="shared" si="78"/>
        <v>3434.8654254212611</v>
      </c>
      <c r="T348" s="797">
        <v>4503.95</v>
      </c>
      <c r="U348" s="132" t="s">
        <v>228</v>
      </c>
      <c r="V348" s="144">
        <f t="shared" si="76"/>
        <v>1069.0845745787387</v>
      </c>
      <c r="W348" s="145"/>
    </row>
    <row r="349" spans="1:23" s="198" customFormat="1" ht="9" customHeight="1">
      <c r="A349" s="794">
        <v>248</v>
      </c>
      <c r="B349" s="156" t="s">
        <v>50</v>
      </c>
      <c r="C349" s="785" t="s">
        <v>1006</v>
      </c>
      <c r="D349" s="785"/>
      <c r="E349" s="794">
        <v>1953</v>
      </c>
      <c r="F349" s="794"/>
      <c r="G349" s="794" t="s">
        <v>88</v>
      </c>
      <c r="H349" s="794">
        <v>2</v>
      </c>
      <c r="I349" s="794">
        <v>2</v>
      </c>
      <c r="J349" s="797">
        <v>411.73</v>
      </c>
      <c r="K349" s="797">
        <v>378.8</v>
      </c>
      <c r="L349" s="797">
        <v>378.8</v>
      </c>
      <c r="M349" s="130">
        <v>21</v>
      </c>
      <c r="N349" s="797">
        <f>'Приложение 2'!E352</f>
        <v>1301044.3699999999</v>
      </c>
      <c r="O349" s="797">
        <v>0</v>
      </c>
      <c r="P349" s="797">
        <v>0</v>
      </c>
      <c r="Q349" s="797">
        <v>0</v>
      </c>
      <c r="R349" s="797">
        <f t="shared" si="79"/>
        <v>1301044.3699999999</v>
      </c>
      <c r="S349" s="797">
        <f t="shared" si="78"/>
        <v>3434.6472280887006</v>
      </c>
      <c r="T349" s="797">
        <v>4503.95</v>
      </c>
      <c r="U349" s="132" t="s">
        <v>228</v>
      </c>
      <c r="V349" s="144">
        <f t="shared" si="76"/>
        <v>1069.3027719112993</v>
      </c>
      <c r="W349" s="145"/>
    </row>
    <row r="350" spans="1:23" s="198" customFormat="1" ht="9" customHeight="1">
      <c r="A350" s="794">
        <v>249</v>
      </c>
      <c r="B350" s="156" t="s">
        <v>51</v>
      </c>
      <c r="C350" s="785" t="s">
        <v>1005</v>
      </c>
      <c r="D350" s="785"/>
      <c r="E350" s="794">
        <v>1971</v>
      </c>
      <c r="F350" s="794"/>
      <c r="G350" s="794" t="s">
        <v>90</v>
      </c>
      <c r="H350" s="794">
        <v>2</v>
      </c>
      <c r="I350" s="794">
        <v>2</v>
      </c>
      <c r="J350" s="797">
        <v>691.1</v>
      </c>
      <c r="K350" s="797">
        <v>634</v>
      </c>
      <c r="L350" s="797">
        <v>634</v>
      </c>
      <c r="M350" s="130">
        <v>25</v>
      </c>
      <c r="N350" s="797">
        <f>'Приложение 2'!E353</f>
        <v>1641356.28</v>
      </c>
      <c r="O350" s="797">
        <v>0</v>
      </c>
      <c r="P350" s="797">
        <v>0</v>
      </c>
      <c r="Q350" s="797">
        <v>0</v>
      </c>
      <c r="R350" s="797">
        <f t="shared" si="79"/>
        <v>1641356.28</v>
      </c>
      <c r="S350" s="797">
        <f t="shared" si="78"/>
        <v>2588.8900315457413</v>
      </c>
      <c r="T350" s="797">
        <v>4180</v>
      </c>
      <c r="U350" s="132" t="s">
        <v>228</v>
      </c>
      <c r="V350" s="144">
        <f t="shared" si="76"/>
        <v>1591.1099684542587</v>
      </c>
      <c r="W350" s="145"/>
    </row>
    <row r="351" spans="1:23" s="198" customFormat="1" ht="9" customHeight="1">
      <c r="A351" s="794">
        <v>250</v>
      </c>
      <c r="B351" s="156" t="s">
        <v>52</v>
      </c>
      <c r="C351" s="785" t="s">
        <v>1005</v>
      </c>
      <c r="D351" s="785"/>
      <c r="E351" s="794">
        <v>1973</v>
      </c>
      <c r="F351" s="794"/>
      <c r="G351" s="794" t="s">
        <v>88</v>
      </c>
      <c r="H351" s="794">
        <v>5</v>
      </c>
      <c r="I351" s="794">
        <v>2</v>
      </c>
      <c r="J351" s="797">
        <v>1895.3</v>
      </c>
      <c r="K351" s="797">
        <v>1652.1</v>
      </c>
      <c r="L351" s="797">
        <v>1652.1</v>
      </c>
      <c r="M351" s="130">
        <v>87</v>
      </c>
      <c r="N351" s="797">
        <f>'Приложение 2'!E354</f>
        <v>1892023.06</v>
      </c>
      <c r="O351" s="797">
        <v>0</v>
      </c>
      <c r="P351" s="797">
        <v>0</v>
      </c>
      <c r="Q351" s="797">
        <v>0</v>
      </c>
      <c r="R351" s="797">
        <f t="shared" si="79"/>
        <v>1892023.06</v>
      </c>
      <c r="S351" s="797">
        <f t="shared" si="78"/>
        <v>1145.2230857696266</v>
      </c>
      <c r="T351" s="797">
        <v>4180</v>
      </c>
      <c r="U351" s="132" t="s">
        <v>228</v>
      </c>
      <c r="V351" s="144">
        <f t="shared" si="76"/>
        <v>3034.7769142303732</v>
      </c>
      <c r="W351" s="145"/>
    </row>
    <row r="352" spans="1:23" s="198" customFormat="1" ht="9" customHeight="1">
      <c r="A352" s="794">
        <v>251</v>
      </c>
      <c r="B352" s="156" t="s">
        <v>53</v>
      </c>
      <c r="C352" s="785" t="s">
        <v>1005</v>
      </c>
      <c r="D352" s="785"/>
      <c r="E352" s="794">
        <v>1971</v>
      </c>
      <c r="F352" s="794"/>
      <c r="G352" s="794" t="s">
        <v>90</v>
      </c>
      <c r="H352" s="794">
        <v>5</v>
      </c>
      <c r="I352" s="794">
        <v>4</v>
      </c>
      <c r="J352" s="797">
        <v>2885.1</v>
      </c>
      <c r="K352" s="797">
        <v>2504.6</v>
      </c>
      <c r="L352" s="797">
        <v>2504.6</v>
      </c>
      <c r="M352" s="130">
        <v>104</v>
      </c>
      <c r="N352" s="797">
        <f>'Приложение 2'!E355</f>
        <v>2531240.13</v>
      </c>
      <c r="O352" s="797">
        <v>0</v>
      </c>
      <c r="P352" s="797">
        <v>0</v>
      </c>
      <c r="Q352" s="797">
        <v>0</v>
      </c>
      <c r="R352" s="797">
        <f t="shared" si="79"/>
        <v>2531240.13</v>
      </c>
      <c r="S352" s="797">
        <f t="shared" si="78"/>
        <v>1010.6364808751896</v>
      </c>
      <c r="T352" s="797">
        <v>4180</v>
      </c>
      <c r="U352" s="132" t="s">
        <v>228</v>
      </c>
      <c r="V352" s="144">
        <f t="shared" si="76"/>
        <v>3169.3635191248104</v>
      </c>
      <c r="W352" s="145"/>
    </row>
    <row r="353" spans="1:23" s="198" customFormat="1" ht="9" customHeight="1">
      <c r="A353" s="794">
        <v>252</v>
      </c>
      <c r="B353" s="156" t="s">
        <v>54</v>
      </c>
      <c r="C353" s="785" t="s">
        <v>1005</v>
      </c>
      <c r="D353" s="785"/>
      <c r="E353" s="794">
        <v>1970</v>
      </c>
      <c r="F353" s="794"/>
      <c r="G353" s="794" t="s">
        <v>90</v>
      </c>
      <c r="H353" s="794">
        <v>5</v>
      </c>
      <c r="I353" s="794">
        <v>4</v>
      </c>
      <c r="J353" s="797">
        <v>2866.7</v>
      </c>
      <c r="K353" s="797">
        <v>2605.6</v>
      </c>
      <c r="L353" s="797">
        <v>2605.6</v>
      </c>
      <c r="M353" s="130">
        <v>111</v>
      </c>
      <c r="N353" s="797">
        <f>'Приложение 2'!E356</f>
        <v>2534340.3199999998</v>
      </c>
      <c r="O353" s="797">
        <v>0</v>
      </c>
      <c r="P353" s="797">
        <v>0</v>
      </c>
      <c r="Q353" s="797">
        <v>0</v>
      </c>
      <c r="R353" s="797">
        <f t="shared" si="79"/>
        <v>2534340.3199999998</v>
      </c>
      <c r="S353" s="797">
        <f t="shared" si="78"/>
        <v>972.65133558489401</v>
      </c>
      <c r="T353" s="797">
        <v>4180</v>
      </c>
      <c r="U353" s="132" t="s">
        <v>228</v>
      </c>
      <c r="V353" s="144">
        <f t="shared" si="76"/>
        <v>3207.3486644151062</v>
      </c>
      <c r="W353" s="145"/>
    </row>
    <row r="354" spans="1:23" s="198" customFormat="1" ht="9" customHeight="1">
      <c r="A354" s="794">
        <v>253</v>
      </c>
      <c r="B354" s="156" t="s">
        <v>55</v>
      </c>
      <c r="C354" s="785" t="s">
        <v>1006</v>
      </c>
      <c r="D354" s="785"/>
      <c r="E354" s="794">
        <v>1964</v>
      </c>
      <c r="F354" s="794"/>
      <c r="G354" s="794" t="s">
        <v>88</v>
      </c>
      <c r="H354" s="794">
        <v>4</v>
      </c>
      <c r="I354" s="794">
        <v>2</v>
      </c>
      <c r="J354" s="797">
        <v>1354.6</v>
      </c>
      <c r="K354" s="797">
        <v>1221.2</v>
      </c>
      <c r="L354" s="797">
        <v>1221.2</v>
      </c>
      <c r="M354" s="130">
        <v>54</v>
      </c>
      <c r="N354" s="797">
        <f>'Приложение 2'!E357</f>
        <v>1921449.6500000001</v>
      </c>
      <c r="O354" s="797">
        <v>0</v>
      </c>
      <c r="P354" s="797">
        <v>0</v>
      </c>
      <c r="Q354" s="797">
        <v>0</v>
      </c>
      <c r="R354" s="797">
        <f t="shared" si="79"/>
        <v>1921449.6500000001</v>
      </c>
      <c r="S354" s="797">
        <f t="shared" si="78"/>
        <v>1573.4111120209629</v>
      </c>
      <c r="T354" s="797">
        <v>4503.95</v>
      </c>
      <c r="U354" s="132" t="s">
        <v>228</v>
      </c>
      <c r="V354" s="144">
        <f t="shared" si="76"/>
        <v>2930.5388879790371</v>
      </c>
      <c r="W354" s="145"/>
    </row>
    <row r="355" spans="1:23" s="198" customFormat="1" ht="9" customHeight="1">
      <c r="A355" s="794">
        <v>254</v>
      </c>
      <c r="B355" s="156" t="s">
        <v>58</v>
      </c>
      <c r="C355" s="785" t="s">
        <v>1005</v>
      </c>
      <c r="D355" s="785"/>
      <c r="E355" s="794">
        <v>1975</v>
      </c>
      <c r="F355" s="794"/>
      <c r="G355" s="794" t="s">
        <v>88</v>
      </c>
      <c r="H355" s="794">
        <v>2</v>
      </c>
      <c r="I355" s="794">
        <v>1</v>
      </c>
      <c r="J355" s="797">
        <v>783.2</v>
      </c>
      <c r="K355" s="797">
        <v>519</v>
      </c>
      <c r="L355" s="797">
        <v>519</v>
      </c>
      <c r="M355" s="130">
        <v>55</v>
      </c>
      <c r="N355" s="797">
        <f>'Приложение 2'!E358</f>
        <v>2089278.1</v>
      </c>
      <c r="O355" s="797">
        <v>0</v>
      </c>
      <c r="P355" s="797">
        <v>0</v>
      </c>
      <c r="Q355" s="797">
        <v>0</v>
      </c>
      <c r="R355" s="797">
        <f t="shared" si="79"/>
        <v>2089278.1</v>
      </c>
      <c r="S355" s="797">
        <f t="shared" si="78"/>
        <v>4025.5840077071293</v>
      </c>
      <c r="T355" s="797">
        <f>IF('Приложение 2'!J358="скатная",3605.25,4180)</f>
        <v>4180</v>
      </c>
      <c r="U355" s="132" t="s">
        <v>228</v>
      </c>
      <c r="V355" s="144">
        <f t="shared" si="76"/>
        <v>154.41599229287067</v>
      </c>
      <c r="W355" s="145"/>
    </row>
    <row r="356" spans="1:23" s="198" customFormat="1" ht="9" customHeight="1">
      <c r="A356" s="794">
        <v>255</v>
      </c>
      <c r="B356" s="156" t="s">
        <v>57</v>
      </c>
      <c r="C356" s="785" t="s">
        <v>1005</v>
      </c>
      <c r="D356" s="785"/>
      <c r="E356" s="794">
        <v>1979</v>
      </c>
      <c r="F356" s="794"/>
      <c r="G356" s="794" t="s">
        <v>88</v>
      </c>
      <c r="H356" s="794">
        <v>5</v>
      </c>
      <c r="I356" s="794">
        <v>1</v>
      </c>
      <c r="J356" s="797">
        <v>2181.9</v>
      </c>
      <c r="K356" s="797">
        <v>846.1</v>
      </c>
      <c r="L356" s="797">
        <v>846.1</v>
      </c>
      <c r="M356" s="130">
        <v>131</v>
      </c>
      <c r="N356" s="797">
        <f>'Приложение 2'!E359</f>
        <v>1869179.81</v>
      </c>
      <c r="O356" s="797">
        <v>0</v>
      </c>
      <c r="P356" s="797">
        <v>0</v>
      </c>
      <c r="Q356" s="797">
        <v>0</v>
      </c>
      <c r="R356" s="797">
        <f t="shared" si="79"/>
        <v>1869179.81</v>
      </c>
      <c r="S356" s="797">
        <f t="shared" si="78"/>
        <v>2209.1712681716108</v>
      </c>
      <c r="T356" s="797">
        <v>4180</v>
      </c>
      <c r="U356" s="132" t="s">
        <v>228</v>
      </c>
      <c r="V356" s="144">
        <f t="shared" si="76"/>
        <v>1970.8287318283892</v>
      </c>
      <c r="W356" s="145"/>
    </row>
    <row r="357" spans="1:23" s="198" customFormat="1" ht="23.25" customHeight="1">
      <c r="A357" s="822" t="s">
        <v>44</v>
      </c>
      <c r="B357" s="822"/>
      <c r="C357" s="785"/>
      <c r="D357" s="785"/>
      <c r="E357" s="141" t="s">
        <v>391</v>
      </c>
      <c r="F357" s="141" t="s">
        <v>391</v>
      </c>
      <c r="G357" s="141" t="s">
        <v>391</v>
      </c>
      <c r="H357" s="141" t="s">
        <v>391</v>
      </c>
      <c r="I357" s="141" t="s">
        <v>391</v>
      </c>
      <c r="J357" s="797">
        <f t="shared" ref="J357:Q357" si="80">SUM(J343:J356)</f>
        <v>21712.73</v>
      </c>
      <c r="K357" s="797">
        <f t="shared" si="80"/>
        <v>17169.900000000001</v>
      </c>
      <c r="L357" s="797">
        <f t="shared" si="80"/>
        <v>17103</v>
      </c>
      <c r="M357" s="130">
        <f t="shared" si="80"/>
        <v>1011</v>
      </c>
      <c r="N357" s="797">
        <f t="shared" si="80"/>
        <v>28823701.019999996</v>
      </c>
      <c r="O357" s="797">
        <f t="shared" si="80"/>
        <v>0</v>
      </c>
      <c r="P357" s="797">
        <f t="shared" si="80"/>
        <v>0</v>
      </c>
      <c r="Q357" s="797">
        <f t="shared" si="80"/>
        <v>0</v>
      </c>
      <c r="R357" s="797">
        <f t="shared" si="79"/>
        <v>28823701.019999996</v>
      </c>
      <c r="S357" s="797">
        <f>N357/K357</f>
        <v>1678.7343560533254</v>
      </c>
      <c r="T357" s="797"/>
      <c r="U357" s="132"/>
      <c r="V357" s="144">
        <f t="shared" si="76"/>
        <v>-1678.7343560533254</v>
      </c>
      <c r="W357" s="145"/>
    </row>
    <row r="358" spans="1:23" ht="9" customHeight="1">
      <c r="B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W358" s="119"/>
    </row>
    <row r="359" spans="1:23" s="128" customFormat="1" ht="14.25" customHeight="1">
      <c r="A359" s="856" t="s">
        <v>1046</v>
      </c>
      <c r="B359" s="856"/>
      <c r="C359" s="856"/>
      <c r="D359" s="856"/>
      <c r="E359" s="856"/>
      <c r="F359" s="856"/>
      <c r="G359" s="856"/>
      <c r="H359" s="856"/>
      <c r="I359" s="856"/>
      <c r="J359" s="856"/>
      <c r="K359" s="856"/>
      <c r="L359" s="856"/>
      <c r="M359" s="856"/>
      <c r="N359" s="856"/>
      <c r="O359" s="856"/>
      <c r="P359" s="856"/>
      <c r="Q359" s="856"/>
      <c r="R359" s="856"/>
      <c r="S359" s="856"/>
      <c r="T359" s="856"/>
      <c r="U359" s="856"/>
      <c r="W359" s="521"/>
    </row>
    <row r="360" spans="1:23" s="198" customFormat="1" ht="9" customHeight="1">
      <c r="A360" s="822" t="s">
        <v>1025</v>
      </c>
      <c r="B360" s="822"/>
      <c r="C360" s="785"/>
      <c r="D360" s="785" t="s">
        <v>1024</v>
      </c>
      <c r="E360" s="141" t="s">
        <v>391</v>
      </c>
      <c r="F360" s="141" t="s">
        <v>391</v>
      </c>
      <c r="G360" s="141" t="s">
        <v>391</v>
      </c>
      <c r="H360" s="141" t="s">
        <v>391</v>
      </c>
      <c r="I360" s="141" t="s">
        <v>391</v>
      </c>
      <c r="J360" s="797">
        <f t="shared" ref="J360:R360" si="81">J504+J513+J528+J533+J542+J547+J553+J570+J574+J578+J581+J584+J587+J590+J603+J606+J609+J615+J618+J626+J631+J634+J637+J644+J647+J655+J659+J664+J667+J670+J673+J678+J687+J690+J702+J651</f>
        <v>797609.43999999971</v>
      </c>
      <c r="K360" s="797">
        <f t="shared" si="81"/>
        <v>678125.87999999989</v>
      </c>
      <c r="L360" s="797">
        <f t="shared" si="81"/>
        <v>517144.02999999974</v>
      </c>
      <c r="M360" s="133">
        <f t="shared" si="81"/>
        <v>27667</v>
      </c>
      <c r="N360" s="797">
        <f>N504+N513+N528+N533+N542+N547+N553+N570+N574+N578+N581+N584+N587+N590+N603+N606+N609+N615+N618+N626+N631+N634+N637+N644+N647+N655+N659+N664+N667+N670+N673+N678+N687+N690+N702+N651</f>
        <v>826545902.33000016</v>
      </c>
      <c r="O360" s="797">
        <f t="shared" si="81"/>
        <v>0</v>
      </c>
      <c r="P360" s="797">
        <f t="shared" si="81"/>
        <v>0</v>
      </c>
      <c r="Q360" s="797">
        <f t="shared" si="81"/>
        <v>200000</v>
      </c>
      <c r="R360" s="797">
        <f t="shared" si="81"/>
        <v>826345902.33000016</v>
      </c>
      <c r="S360" s="797"/>
      <c r="T360" s="797"/>
      <c r="U360" s="132"/>
      <c r="W360" s="521"/>
    </row>
    <row r="361" spans="1:23" s="159" customFormat="1" ht="9" customHeight="1">
      <c r="A361" s="821" t="s">
        <v>217</v>
      </c>
      <c r="B361" s="821"/>
      <c r="C361" s="821"/>
      <c r="D361" s="821"/>
      <c r="E361" s="821"/>
      <c r="F361" s="821"/>
      <c r="G361" s="821"/>
      <c r="H361" s="821"/>
      <c r="I361" s="821"/>
      <c r="J361" s="821"/>
      <c r="K361" s="821"/>
      <c r="L361" s="821"/>
      <c r="M361" s="821"/>
      <c r="N361" s="821"/>
      <c r="O361" s="821"/>
      <c r="P361" s="821"/>
      <c r="Q361" s="821"/>
      <c r="R361" s="821"/>
      <c r="S361" s="821"/>
      <c r="T361" s="821"/>
      <c r="U361" s="821"/>
      <c r="W361" s="521"/>
    </row>
    <row r="362" spans="1:23" ht="9" customHeight="1">
      <c r="A362" s="794">
        <v>1</v>
      </c>
      <c r="B362" s="200" t="s">
        <v>476</v>
      </c>
      <c r="C362" s="522" t="s">
        <v>1192</v>
      </c>
      <c r="D362" s="201" t="s">
        <v>111</v>
      </c>
      <c r="E362" s="202">
        <v>1966</v>
      </c>
      <c r="F362" s="141"/>
      <c r="G362" s="203" t="s">
        <v>88</v>
      </c>
      <c r="H362" s="204">
        <v>3</v>
      </c>
      <c r="I362" s="204">
        <v>4</v>
      </c>
      <c r="J362" s="205">
        <v>1605.85</v>
      </c>
      <c r="K362" s="205">
        <v>1337.92</v>
      </c>
      <c r="L362" s="205">
        <v>1337.92</v>
      </c>
      <c r="M362" s="203">
        <v>57</v>
      </c>
      <c r="N362" s="797">
        <f>'Приложение 2'!E364</f>
        <v>3156384</v>
      </c>
      <c r="O362" s="797">
        <v>0</v>
      </c>
      <c r="P362" s="797">
        <v>0</v>
      </c>
      <c r="Q362" s="797">
        <v>0</v>
      </c>
      <c r="R362" s="797">
        <f t="shared" ref="R362:R425" si="82">N362</f>
        <v>3156384</v>
      </c>
      <c r="S362" s="797">
        <f t="shared" ref="S362:S425" si="83">N362/K362</f>
        <v>2359.1724467830663</v>
      </c>
      <c r="T362" s="797">
        <v>4503.95</v>
      </c>
      <c r="U362" s="132" t="s">
        <v>589</v>
      </c>
      <c r="V362" s="144">
        <f>T362-S362</f>
        <v>2144.7775532169335</v>
      </c>
    </row>
    <row r="363" spans="1:23" ht="9" customHeight="1">
      <c r="A363" s="794">
        <v>2</v>
      </c>
      <c r="B363" s="200" t="s">
        <v>477</v>
      </c>
      <c r="C363" s="522" t="s">
        <v>1192</v>
      </c>
      <c r="D363" s="201" t="s">
        <v>110</v>
      </c>
      <c r="E363" s="202">
        <v>1977</v>
      </c>
      <c r="F363" s="141"/>
      <c r="G363" s="203" t="s">
        <v>90</v>
      </c>
      <c r="H363" s="204">
        <v>5</v>
      </c>
      <c r="I363" s="204">
        <v>4</v>
      </c>
      <c r="J363" s="205">
        <v>3650.6</v>
      </c>
      <c r="K363" s="205">
        <v>3113.8</v>
      </c>
      <c r="L363" s="205">
        <v>3113.8</v>
      </c>
      <c r="M363" s="203">
        <v>158</v>
      </c>
      <c r="N363" s="797">
        <f>'Приложение 2'!E365</f>
        <v>2770554</v>
      </c>
      <c r="O363" s="797">
        <v>0</v>
      </c>
      <c r="P363" s="797">
        <v>0</v>
      </c>
      <c r="Q363" s="797">
        <v>0</v>
      </c>
      <c r="R363" s="797">
        <f t="shared" si="82"/>
        <v>2770554</v>
      </c>
      <c r="S363" s="797">
        <f t="shared" si="83"/>
        <v>889.76620206821246</v>
      </c>
      <c r="T363" s="797">
        <v>4180</v>
      </c>
      <c r="U363" s="132" t="s">
        <v>589</v>
      </c>
      <c r="V363" s="144">
        <f t="shared" ref="V363:V426" si="84">T363-S363</f>
        <v>3290.2337979317876</v>
      </c>
    </row>
    <row r="364" spans="1:23" ht="9" customHeight="1">
      <c r="A364" s="794">
        <v>3</v>
      </c>
      <c r="B364" s="200" t="s">
        <v>478</v>
      </c>
      <c r="C364" s="522" t="s">
        <v>1192</v>
      </c>
      <c r="D364" s="201" t="s">
        <v>110</v>
      </c>
      <c r="E364" s="202">
        <v>1977</v>
      </c>
      <c r="F364" s="141"/>
      <c r="G364" s="203" t="s">
        <v>90</v>
      </c>
      <c r="H364" s="204">
        <v>5</v>
      </c>
      <c r="I364" s="204">
        <v>4</v>
      </c>
      <c r="J364" s="205">
        <v>3638.2</v>
      </c>
      <c r="K364" s="205">
        <v>3103.7</v>
      </c>
      <c r="L364" s="205">
        <v>3103.7</v>
      </c>
      <c r="M364" s="203">
        <v>161</v>
      </c>
      <c r="N364" s="797">
        <f>'Приложение 2'!E366</f>
        <v>2770554</v>
      </c>
      <c r="O364" s="797">
        <v>0</v>
      </c>
      <c r="P364" s="797">
        <v>0</v>
      </c>
      <c r="Q364" s="797">
        <v>0</v>
      </c>
      <c r="R364" s="797">
        <f t="shared" si="82"/>
        <v>2770554</v>
      </c>
      <c r="S364" s="797">
        <f t="shared" si="83"/>
        <v>892.66166188742477</v>
      </c>
      <c r="T364" s="797">
        <v>4180</v>
      </c>
      <c r="U364" s="132" t="s">
        <v>589</v>
      </c>
      <c r="V364" s="144">
        <f t="shared" si="84"/>
        <v>3287.338338112575</v>
      </c>
    </row>
    <row r="365" spans="1:23" ht="9" customHeight="1">
      <c r="A365" s="794">
        <v>4</v>
      </c>
      <c r="B365" s="523" t="s">
        <v>479</v>
      </c>
      <c r="C365" s="524" t="s">
        <v>1192</v>
      </c>
      <c r="D365" s="525" t="s">
        <v>110</v>
      </c>
      <c r="E365" s="526">
        <v>1977</v>
      </c>
      <c r="F365" s="527"/>
      <c r="G365" s="528" t="s">
        <v>90</v>
      </c>
      <c r="H365" s="529">
        <v>5</v>
      </c>
      <c r="I365" s="529">
        <v>4</v>
      </c>
      <c r="J365" s="530">
        <v>3667.4</v>
      </c>
      <c r="K365" s="530">
        <v>3133</v>
      </c>
      <c r="L365" s="530">
        <v>3133</v>
      </c>
      <c r="M365" s="528">
        <v>148</v>
      </c>
      <c r="N365" s="797">
        <f>'Приложение 2'!E367</f>
        <v>2770554</v>
      </c>
      <c r="O365" s="162">
        <v>0</v>
      </c>
      <c r="P365" s="162">
        <v>0</v>
      </c>
      <c r="Q365" s="162">
        <v>0</v>
      </c>
      <c r="R365" s="162">
        <f t="shared" si="82"/>
        <v>2770554</v>
      </c>
      <c r="S365" s="162">
        <f t="shared" si="83"/>
        <v>884.3134375997447</v>
      </c>
      <c r="T365" s="162">
        <v>4180</v>
      </c>
      <c r="U365" s="177" t="s">
        <v>589</v>
      </c>
      <c r="V365" s="144">
        <f t="shared" si="84"/>
        <v>3295.6865624002553</v>
      </c>
    </row>
    <row r="366" spans="1:23" ht="9" customHeight="1">
      <c r="A366" s="794">
        <v>5</v>
      </c>
      <c r="B366" s="531" t="s">
        <v>480</v>
      </c>
      <c r="C366" s="532" t="s">
        <v>1192</v>
      </c>
      <c r="D366" s="533" t="s">
        <v>110</v>
      </c>
      <c r="E366" s="534">
        <v>1977</v>
      </c>
      <c r="F366" s="141"/>
      <c r="G366" s="535" t="s">
        <v>90</v>
      </c>
      <c r="H366" s="536">
        <v>5</v>
      </c>
      <c r="I366" s="536">
        <v>4</v>
      </c>
      <c r="J366" s="537">
        <v>3663.7</v>
      </c>
      <c r="K366" s="537">
        <v>3234.4</v>
      </c>
      <c r="L366" s="537">
        <v>3234.4</v>
      </c>
      <c r="M366" s="535">
        <v>169</v>
      </c>
      <c r="N366" s="797">
        <f>'Приложение 2'!E368</f>
        <v>2770554</v>
      </c>
      <c r="O366" s="797">
        <v>0</v>
      </c>
      <c r="P366" s="797">
        <v>0</v>
      </c>
      <c r="Q366" s="797">
        <v>0</v>
      </c>
      <c r="R366" s="797">
        <f t="shared" si="82"/>
        <v>2770554</v>
      </c>
      <c r="S366" s="797">
        <f t="shared" si="83"/>
        <v>856.58978481325744</v>
      </c>
      <c r="T366" s="797">
        <v>4180</v>
      </c>
      <c r="U366" s="132" t="s">
        <v>589</v>
      </c>
      <c r="V366" s="144">
        <f t="shared" si="84"/>
        <v>3323.4102151867428</v>
      </c>
    </row>
    <row r="367" spans="1:23" ht="9" customHeight="1">
      <c r="A367" s="794">
        <v>6</v>
      </c>
      <c r="B367" s="531" t="s">
        <v>481</v>
      </c>
      <c r="C367" s="532" t="s">
        <v>1192</v>
      </c>
      <c r="D367" s="533" t="s">
        <v>110</v>
      </c>
      <c r="E367" s="534">
        <v>1989</v>
      </c>
      <c r="F367" s="141"/>
      <c r="G367" s="535" t="s">
        <v>90</v>
      </c>
      <c r="H367" s="536">
        <v>5</v>
      </c>
      <c r="I367" s="536">
        <v>4</v>
      </c>
      <c r="J367" s="537">
        <v>3222.9</v>
      </c>
      <c r="K367" s="537">
        <v>2881.9</v>
      </c>
      <c r="L367" s="537">
        <v>2881.9</v>
      </c>
      <c r="M367" s="535">
        <v>124</v>
      </c>
      <c r="N367" s="797">
        <f>'Приложение 2'!E369</f>
        <v>2417150</v>
      </c>
      <c r="O367" s="797">
        <v>0</v>
      </c>
      <c r="P367" s="797">
        <v>0</v>
      </c>
      <c r="Q367" s="797">
        <v>0</v>
      </c>
      <c r="R367" s="797">
        <f t="shared" si="82"/>
        <v>2417150</v>
      </c>
      <c r="S367" s="797">
        <f t="shared" si="83"/>
        <v>838.73486241715534</v>
      </c>
      <c r="T367" s="797">
        <v>4180</v>
      </c>
      <c r="U367" s="132" t="s">
        <v>589</v>
      </c>
      <c r="V367" s="144">
        <f t="shared" si="84"/>
        <v>3341.2651375828445</v>
      </c>
    </row>
    <row r="368" spans="1:23" ht="9" customHeight="1">
      <c r="A368" s="794">
        <v>7</v>
      </c>
      <c r="B368" s="531" t="s">
        <v>482</v>
      </c>
      <c r="C368" s="532" t="s">
        <v>1192</v>
      </c>
      <c r="D368" s="533" t="s">
        <v>110</v>
      </c>
      <c r="E368" s="534">
        <v>1987</v>
      </c>
      <c r="F368" s="141"/>
      <c r="G368" s="535" t="s">
        <v>620</v>
      </c>
      <c r="H368" s="536">
        <v>5</v>
      </c>
      <c r="I368" s="536">
        <v>2</v>
      </c>
      <c r="J368" s="537">
        <v>2505.6</v>
      </c>
      <c r="K368" s="537">
        <f>2256.2+121.4</f>
        <v>2377.6</v>
      </c>
      <c r="L368" s="537">
        <v>2256.1999999999998</v>
      </c>
      <c r="M368" s="536">
        <v>166</v>
      </c>
      <c r="N368" s="797">
        <f>'Приложение 2'!E370</f>
        <v>2890578</v>
      </c>
      <c r="O368" s="797">
        <v>0</v>
      </c>
      <c r="P368" s="797">
        <v>0</v>
      </c>
      <c r="Q368" s="797">
        <v>0</v>
      </c>
      <c r="R368" s="797">
        <f t="shared" si="82"/>
        <v>2890578</v>
      </c>
      <c r="S368" s="797">
        <f t="shared" si="83"/>
        <v>1215.7545423956931</v>
      </c>
      <c r="T368" s="797">
        <v>4180</v>
      </c>
      <c r="U368" s="132" t="s">
        <v>589</v>
      </c>
      <c r="V368" s="144">
        <f t="shared" si="84"/>
        <v>2964.2454576043069</v>
      </c>
    </row>
    <row r="369" spans="1:22" ht="9" customHeight="1">
      <c r="A369" s="794">
        <v>8</v>
      </c>
      <c r="B369" s="531" t="s">
        <v>483</v>
      </c>
      <c r="C369" s="532" t="s">
        <v>1192</v>
      </c>
      <c r="D369" s="533" t="s">
        <v>111</v>
      </c>
      <c r="E369" s="534">
        <v>1964</v>
      </c>
      <c r="F369" s="141"/>
      <c r="G369" s="535" t="s">
        <v>88</v>
      </c>
      <c r="H369" s="536">
        <v>5</v>
      </c>
      <c r="I369" s="536">
        <v>3</v>
      </c>
      <c r="J369" s="537">
        <v>2741.4</v>
      </c>
      <c r="K369" s="537">
        <v>2525.73</v>
      </c>
      <c r="L369" s="537">
        <v>2525.73</v>
      </c>
      <c r="M369" s="536">
        <v>105</v>
      </c>
      <c r="N369" s="797">
        <f>'Приложение 2'!E371</f>
        <v>2865324</v>
      </c>
      <c r="O369" s="797">
        <v>0</v>
      </c>
      <c r="P369" s="797">
        <v>0</v>
      </c>
      <c r="Q369" s="797">
        <v>0</v>
      </c>
      <c r="R369" s="797">
        <f t="shared" si="82"/>
        <v>2865324</v>
      </c>
      <c r="S369" s="797">
        <f t="shared" si="83"/>
        <v>1134.453801475217</v>
      </c>
      <c r="T369" s="797">
        <v>4503.95</v>
      </c>
      <c r="U369" s="132" t="s">
        <v>589</v>
      </c>
      <c r="V369" s="144">
        <f t="shared" si="84"/>
        <v>3369.4961985247828</v>
      </c>
    </row>
    <row r="370" spans="1:22" ht="9" customHeight="1">
      <c r="A370" s="794">
        <v>9</v>
      </c>
      <c r="B370" s="531" t="s">
        <v>484</v>
      </c>
      <c r="C370" s="532" t="s">
        <v>1192</v>
      </c>
      <c r="D370" s="533" t="s">
        <v>110</v>
      </c>
      <c r="E370" s="534">
        <v>1977</v>
      </c>
      <c r="F370" s="141"/>
      <c r="G370" s="535" t="s">
        <v>88</v>
      </c>
      <c r="H370" s="536">
        <v>10</v>
      </c>
      <c r="I370" s="536">
        <v>1</v>
      </c>
      <c r="J370" s="537">
        <v>3485.9</v>
      </c>
      <c r="K370" s="537">
        <v>3098.8</v>
      </c>
      <c r="L370" s="537">
        <v>3098.8</v>
      </c>
      <c r="M370" s="535">
        <v>105</v>
      </c>
      <c r="N370" s="797">
        <f>'Приложение 2'!E372</f>
        <v>1600320</v>
      </c>
      <c r="O370" s="797">
        <v>0</v>
      </c>
      <c r="P370" s="797">
        <v>0</v>
      </c>
      <c r="Q370" s="797">
        <v>0</v>
      </c>
      <c r="R370" s="797">
        <f t="shared" si="82"/>
        <v>1600320</v>
      </c>
      <c r="S370" s="797">
        <f t="shared" si="83"/>
        <v>516.43216729056405</v>
      </c>
      <c r="T370" s="797">
        <v>4180</v>
      </c>
      <c r="U370" s="132" t="s">
        <v>589</v>
      </c>
      <c r="V370" s="144">
        <f t="shared" si="84"/>
        <v>3663.5678327094361</v>
      </c>
    </row>
    <row r="371" spans="1:22" ht="9" customHeight="1">
      <c r="A371" s="794">
        <v>10</v>
      </c>
      <c r="B371" s="531" t="s">
        <v>485</v>
      </c>
      <c r="C371" s="532" t="s">
        <v>1192</v>
      </c>
      <c r="D371" s="533" t="s">
        <v>111</v>
      </c>
      <c r="E371" s="534">
        <v>1964</v>
      </c>
      <c r="F371" s="141"/>
      <c r="G371" s="535" t="s">
        <v>88</v>
      </c>
      <c r="H371" s="536">
        <v>5</v>
      </c>
      <c r="I371" s="536">
        <v>2</v>
      </c>
      <c r="J371" s="537">
        <v>1563.6</v>
      </c>
      <c r="K371" s="537">
        <v>1410.6</v>
      </c>
      <c r="L371" s="537">
        <v>1410.6</v>
      </c>
      <c r="M371" s="536">
        <v>56</v>
      </c>
      <c r="N371" s="797">
        <f>'Приложение 2'!E373</f>
        <v>1853082</v>
      </c>
      <c r="O371" s="797">
        <v>0</v>
      </c>
      <c r="P371" s="797">
        <v>0</v>
      </c>
      <c r="Q371" s="797">
        <v>0</v>
      </c>
      <c r="R371" s="797">
        <f t="shared" si="82"/>
        <v>1853082</v>
      </c>
      <c r="S371" s="797">
        <f t="shared" si="83"/>
        <v>1313.6835389196087</v>
      </c>
      <c r="T371" s="797">
        <v>4503.95</v>
      </c>
      <c r="U371" s="132" t="s">
        <v>589</v>
      </c>
      <c r="V371" s="144">
        <f t="shared" si="84"/>
        <v>3190.2664610803913</v>
      </c>
    </row>
    <row r="372" spans="1:22" ht="9" customHeight="1">
      <c r="A372" s="794">
        <v>11</v>
      </c>
      <c r="B372" s="531" t="s">
        <v>486</v>
      </c>
      <c r="C372" s="532" t="s">
        <v>1192</v>
      </c>
      <c r="D372" s="533" t="s">
        <v>111</v>
      </c>
      <c r="E372" s="534">
        <v>1965</v>
      </c>
      <c r="F372" s="141"/>
      <c r="G372" s="535" t="s">
        <v>88</v>
      </c>
      <c r="H372" s="536">
        <v>5</v>
      </c>
      <c r="I372" s="536">
        <v>4</v>
      </c>
      <c r="J372" s="537">
        <v>3417.1</v>
      </c>
      <c r="K372" s="537">
        <v>2579.1</v>
      </c>
      <c r="L372" s="537">
        <v>2579.1</v>
      </c>
      <c r="M372" s="536">
        <v>144</v>
      </c>
      <c r="N372" s="797">
        <f>'Приложение 2'!E374</f>
        <v>3363360</v>
      </c>
      <c r="O372" s="797">
        <v>0</v>
      </c>
      <c r="P372" s="797">
        <v>0</v>
      </c>
      <c r="Q372" s="797">
        <v>0</v>
      </c>
      <c r="R372" s="797">
        <f t="shared" si="82"/>
        <v>3363360</v>
      </c>
      <c r="S372" s="797">
        <f t="shared" si="83"/>
        <v>1304.0828195882284</v>
      </c>
      <c r="T372" s="797">
        <v>4503.95</v>
      </c>
      <c r="U372" s="132" t="s">
        <v>589</v>
      </c>
      <c r="V372" s="144">
        <f t="shared" si="84"/>
        <v>3199.8671804117712</v>
      </c>
    </row>
    <row r="373" spans="1:22" ht="9" customHeight="1">
      <c r="A373" s="794">
        <v>12</v>
      </c>
      <c r="B373" s="531" t="s">
        <v>487</v>
      </c>
      <c r="C373" s="532" t="s">
        <v>1192</v>
      </c>
      <c r="D373" s="533" t="s">
        <v>111</v>
      </c>
      <c r="E373" s="534">
        <v>1970</v>
      </c>
      <c r="F373" s="141"/>
      <c r="G373" s="535" t="s">
        <v>88</v>
      </c>
      <c r="H373" s="536">
        <v>5</v>
      </c>
      <c r="I373" s="536">
        <v>6</v>
      </c>
      <c r="J373" s="537">
        <v>5372.1</v>
      </c>
      <c r="K373" s="537">
        <v>3781.6</v>
      </c>
      <c r="L373" s="537">
        <v>3781.6</v>
      </c>
      <c r="M373" s="535">
        <v>114</v>
      </c>
      <c r="N373" s="797">
        <f>'Приложение 2'!E375</f>
        <v>6073452</v>
      </c>
      <c r="O373" s="797">
        <v>0</v>
      </c>
      <c r="P373" s="797">
        <v>0</v>
      </c>
      <c r="Q373" s="797">
        <v>0</v>
      </c>
      <c r="R373" s="797">
        <f t="shared" si="82"/>
        <v>6073452</v>
      </c>
      <c r="S373" s="797">
        <f t="shared" si="83"/>
        <v>1606.0535223185952</v>
      </c>
      <c r="T373" s="797">
        <v>4503.95</v>
      </c>
      <c r="U373" s="132" t="s">
        <v>589</v>
      </c>
      <c r="V373" s="144">
        <f t="shared" si="84"/>
        <v>2897.8964776814046</v>
      </c>
    </row>
    <row r="374" spans="1:22" ht="9" customHeight="1">
      <c r="A374" s="794">
        <v>13</v>
      </c>
      <c r="B374" s="531" t="s">
        <v>488</v>
      </c>
      <c r="C374" s="532" t="s">
        <v>1192</v>
      </c>
      <c r="D374" s="533" t="s">
        <v>111</v>
      </c>
      <c r="E374" s="534">
        <v>1972</v>
      </c>
      <c r="F374" s="141"/>
      <c r="G374" s="535" t="s">
        <v>88</v>
      </c>
      <c r="H374" s="536">
        <v>5</v>
      </c>
      <c r="I374" s="536">
        <v>6</v>
      </c>
      <c r="J374" s="537">
        <v>5261.1</v>
      </c>
      <c r="K374" s="537">
        <v>3819.7</v>
      </c>
      <c r="L374" s="537">
        <v>3819.7</v>
      </c>
      <c r="M374" s="536">
        <v>184</v>
      </c>
      <c r="N374" s="797">
        <f>'Приложение 2'!E376</f>
        <v>5724180</v>
      </c>
      <c r="O374" s="797">
        <v>0</v>
      </c>
      <c r="P374" s="797">
        <v>0</v>
      </c>
      <c r="Q374" s="797">
        <v>0</v>
      </c>
      <c r="R374" s="797">
        <f t="shared" si="82"/>
        <v>5724180</v>
      </c>
      <c r="S374" s="797">
        <f t="shared" si="83"/>
        <v>1498.5941304290914</v>
      </c>
      <c r="T374" s="797">
        <v>4503.95</v>
      </c>
      <c r="U374" s="132" t="s">
        <v>589</v>
      </c>
      <c r="V374" s="144">
        <f t="shared" si="84"/>
        <v>3005.3558695709085</v>
      </c>
    </row>
    <row r="375" spans="1:22" ht="9" customHeight="1">
      <c r="A375" s="794">
        <v>14</v>
      </c>
      <c r="B375" s="531" t="s">
        <v>489</v>
      </c>
      <c r="C375" s="532" t="s">
        <v>1192</v>
      </c>
      <c r="D375" s="533" t="s">
        <v>111</v>
      </c>
      <c r="E375" s="534">
        <v>1971</v>
      </c>
      <c r="F375" s="141"/>
      <c r="G375" s="535" t="s">
        <v>88</v>
      </c>
      <c r="H375" s="536">
        <v>5</v>
      </c>
      <c r="I375" s="536">
        <v>6</v>
      </c>
      <c r="J375" s="537">
        <v>4907.6000000000004</v>
      </c>
      <c r="K375" s="537">
        <v>4509.6000000000004</v>
      </c>
      <c r="L375" s="537">
        <v>4509.6000000000004</v>
      </c>
      <c r="M375" s="535">
        <v>245</v>
      </c>
      <c r="N375" s="797">
        <f>'Приложение 2'!E377</f>
        <v>4624620</v>
      </c>
      <c r="O375" s="797">
        <v>0</v>
      </c>
      <c r="P375" s="797">
        <v>0</v>
      </c>
      <c r="Q375" s="797">
        <v>0</v>
      </c>
      <c r="R375" s="797">
        <f t="shared" si="82"/>
        <v>4624620</v>
      </c>
      <c r="S375" s="797">
        <f t="shared" si="83"/>
        <v>1025.5055880787652</v>
      </c>
      <c r="T375" s="797">
        <v>4503.95</v>
      </c>
      <c r="U375" s="132" t="s">
        <v>589</v>
      </c>
      <c r="V375" s="144">
        <f t="shared" si="84"/>
        <v>3478.4444119212349</v>
      </c>
    </row>
    <row r="376" spans="1:22" ht="9" customHeight="1">
      <c r="A376" s="794">
        <v>15</v>
      </c>
      <c r="B376" s="531" t="s">
        <v>490</v>
      </c>
      <c r="C376" s="532" t="s">
        <v>1192</v>
      </c>
      <c r="D376" s="533" t="s">
        <v>110</v>
      </c>
      <c r="E376" s="534">
        <v>1983</v>
      </c>
      <c r="F376" s="141"/>
      <c r="G376" s="535" t="s">
        <v>90</v>
      </c>
      <c r="H376" s="536">
        <v>5</v>
      </c>
      <c r="I376" s="536">
        <v>6</v>
      </c>
      <c r="J376" s="537">
        <v>4539</v>
      </c>
      <c r="K376" s="537">
        <v>4084.6</v>
      </c>
      <c r="L376" s="537">
        <v>4084.6</v>
      </c>
      <c r="M376" s="535">
        <v>186</v>
      </c>
      <c r="N376" s="797">
        <f>'Приложение 2'!E378</f>
        <v>3624058</v>
      </c>
      <c r="O376" s="797">
        <v>0</v>
      </c>
      <c r="P376" s="797">
        <v>0</v>
      </c>
      <c r="Q376" s="797">
        <v>0</v>
      </c>
      <c r="R376" s="797">
        <f t="shared" si="82"/>
        <v>3624058</v>
      </c>
      <c r="S376" s="797">
        <f t="shared" si="83"/>
        <v>887.24917984625176</v>
      </c>
      <c r="T376" s="797">
        <v>4180</v>
      </c>
      <c r="U376" s="132" t="s">
        <v>589</v>
      </c>
      <c r="V376" s="144">
        <f t="shared" si="84"/>
        <v>3292.7508201537485</v>
      </c>
    </row>
    <row r="377" spans="1:22" ht="9" customHeight="1">
      <c r="A377" s="794">
        <v>16</v>
      </c>
      <c r="B377" s="531" t="s">
        <v>491</v>
      </c>
      <c r="C377" s="532" t="s">
        <v>1192</v>
      </c>
      <c r="D377" s="533" t="s">
        <v>110</v>
      </c>
      <c r="E377" s="534">
        <v>1982</v>
      </c>
      <c r="F377" s="141"/>
      <c r="G377" s="535" t="s">
        <v>90</v>
      </c>
      <c r="H377" s="536">
        <v>5</v>
      </c>
      <c r="I377" s="536">
        <v>6</v>
      </c>
      <c r="J377" s="537">
        <v>4702.7</v>
      </c>
      <c r="K377" s="537">
        <v>4230.7</v>
      </c>
      <c r="L377" s="537">
        <v>4230.7</v>
      </c>
      <c r="M377" s="535">
        <v>205</v>
      </c>
      <c r="N377" s="797">
        <f>'Приложение 2'!E379</f>
        <v>3647396</v>
      </c>
      <c r="O377" s="797">
        <v>0</v>
      </c>
      <c r="P377" s="797">
        <v>0</v>
      </c>
      <c r="Q377" s="797">
        <v>0</v>
      </c>
      <c r="R377" s="797">
        <f t="shared" si="82"/>
        <v>3647396</v>
      </c>
      <c r="S377" s="797">
        <f t="shared" si="83"/>
        <v>862.12588933273457</v>
      </c>
      <c r="T377" s="797">
        <v>4180</v>
      </c>
      <c r="U377" s="132" t="s">
        <v>589</v>
      </c>
      <c r="V377" s="144">
        <f t="shared" si="84"/>
        <v>3317.8741106672655</v>
      </c>
    </row>
    <row r="378" spans="1:22" ht="9" customHeight="1">
      <c r="A378" s="794">
        <v>17</v>
      </c>
      <c r="B378" s="531" t="s">
        <v>492</v>
      </c>
      <c r="C378" s="532" t="s">
        <v>1192</v>
      </c>
      <c r="D378" s="533" t="s">
        <v>110</v>
      </c>
      <c r="E378" s="534">
        <v>1986</v>
      </c>
      <c r="F378" s="141"/>
      <c r="G378" s="535" t="s">
        <v>90</v>
      </c>
      <c r="H378" s="536">
        <v>5</v>
      </c>
      <c r="I378" s="536">
        <v>6</v>
      </c>
      <c r="J378" s="537">
        <v>4776.8</v>
      </c>
      <c r="K378" s="537">
        <v>4184.3</v>
      </c>
      <c r="L378" s="537">
        <v>4184.3</v>
      </c>
      <c r="M378" s="535">
        <v>195</v>
      </c>
      <c r="N378" s="797">
        <f>'Приложение 2'!E380</f>
        <v>3630726</v>
      </c>
      <c r="O378" s="797">
        <v>0</v>
      </c>
      <c r="P378" s="797">
        <v>0</v>
      </c>
      <c r="Q378" s="797">
        <v>0</v>
      </c>
      <c r="R378" s="797">
        <f t="shared" si="82"/>
        <v>3630726</v>
      </c>
      <c r="S378" s="797">
        <f t="shared" si="83"/>
        <v>867.70212460865616</v>
      </c>
      <c r="T378" s="797">
        <v>4180</v>
      </c>
      <c r="U378" s="132" t="s">
        <v>589</v>
      </c>
      <c r="V378" s="144">
        <f t="shared" si="84"/>
        <v>3312.297875391344</v>
      </c>
    </row>
    <row r="379" spans="1:22" ht="9" customHeight="1">
      <c r="A379" s="794">
        <v>18</v>
      </c>
      <c r="B379" s="531" t="s">
        <v>493</v>
      </c>
      <c r="C379" s="532" t="s">
        <v>1192</v>
      </c>
      <c r="D379" s="533" t="s">
        <v>110</v>
      </c>
      <c r="E379" s="534">
        <v>1983</v>
      </c>
      <c r="F379" s="141"/>
      <c r="G379" s="535" t="s">
        <v>90</v>
      </c>
      <c r="H379" s="536">
        <v>5</v>
      </c>
      <c r="I379" s="536">
        <v>2</v>
      </c>
      <c r="J379" s="537">
        <v>1616.8</v>
      </c>
      <c r="K379" s="537">
        <v>1458.8</v>
      </c>
      <c r="L379" s="537">
        <v>1458.8</v>
      </c>
      <c r="M379" s="535">
        <v>54</v>
      </c>
      <c r="N379" s="797">
        <f>'Приложение 2'!E381</f>
        <v>1246916</v>
      </c>
      <c r="O379" s="797">
        <v>0</v>
      </c>
      <c r="P379" s="797">
        <v>0</v>
      </c>
      <c r="Q379" s="797">
        <v>0</v>
      </c>
      <c r="R379" s="797">
        <f t="shared" si="82"/>
        <v>1246916</v>
      </c>
      <c r="S379" s="797">
        <f t="shared" si="83"/>
        <v>854.7545928160132</v>
      </c>
      <c r="T379" s="797">
        <v>4180</v>
      </c>
      <c r="U379" s="132" t="s">
        <v>589</v>
      </c>
      <c r="V379" s="144">
        <f t="shared" si="84"/>
        <v>3325.2454071839866</v>
      </c>
    </row>
    <row r="380" spans="1:22" ht="9" customHeight="1">
      <c r="A380" s="794">
        <v>19</v>
      </c>
      <c r="B380" s="531" t="s">
        <v>494</v>
      </c>
      <c r="C380" s="532" t="s">
        <v>1192</v>
      </c>
      <c r="D380" s="533" t="s">
        <v>110</v>
      </c>
      <c r="E380" s="534">
        <v>1989</v>
      </c>
      <c r="F380" s="141"/>
      <c r="G380" s="535" t="s">
        <v>90</v>
      </c>
      <c r="H380" s="536">
        <v>5</v>
      </c>
      <c r="I380" s="536">
        <v>4</v>
      </c>
      <c r="J380" s="537">
        <v>2898.6</v>
      </c>
      <c r="K380" s="537">
        <v>2594.6</v>
      </c>
      <c r="L380" s="537">
        <v>577</v>
      </c>
      <c r="M380" s="536">
        <v>30</v>
      </c>
      <c r="N380" s="797">
        <f>'Приложение 2'!E382</f>
        <v>2587184</v>
      </c>
      <c r="O380" s="797">
        <v>0</v>
      </c>
      <c r="P380" s="797">
        <v>0</v>
      </c>
      <c r="Q380" s="797">
        <v>0</v>
      </c>
      <c r="R380" s="797">
        <f t="shared" si="82"/>
        <v>2587184</v>
      </c>
      <c r="S380" s="797">
        <f t="shared" si="83"/>
        <v>997.14175595467509</v>
      </c>
      <c r="T380" s="797">
        <v>4180</v>
      </c>
      <c r="U380" s="132" t="s">
        <v>589</v>
      </c>
      <c r="V380" s="144">
        <f t="shared" si="84"/>
        <v>3182.8582440453247</v>
      </c>
    </row>
    <row r="381" spans="1:22" ht="9" customHeight="1">
      <c r="A381" s="794">
        <v>20</v>
      </c>
      <c r="B381" s="531" t="s">
        <v>495</v>
      </c>
      <c r="C381" s="532" t="s">
        <v>1192</v>
      </c>
      <c r="D381" s="533" t="s">
        <v>110</v>
      </c>
      <c r="E381" s="534">
        <v>1979</v>
      </c>
      <c r="F381" s="141"/>
      <c r="G381" s="535" t="s">
        <v>88</v>
      </c>
      <c r="H381" s="536">
        <v>5</v>
      </c>
      <c r="I381" s="536">
        <v>4</v>
      </c>
      <c r="J381" s="537">
        <v>4030.7</v>
      </c>
      <c r="K381" s="537">
        <v>3421.9</v>
      </c>
      <c r="L381" s="537">
        <v>3421.9</v>
      </c>
      <c r="M381" s="535">
        <v>146</v>
      </c>
      <c r="N381" s="797">
        <f>'Приложение 2'!E383</f>
        <v>3327332</v>
      </c>
      <c r="O381" s="797">
        <v>0</v>
      </c>
      <c r="P381" s="797">
        <v>0</v>
      </c>
      <c r="Q381" s="797">
        <v>0</v>
      </c>
      <c r="R381" s="797">
        <f t="shared" si="82"/>
        <v>3327332</v>
      </c>
      <c r="S381" s="797">
        <f t="shared" si="83"/>
        <v>972.3638914053596</v>
      </c>
      <c r="T381" s="797">
        <v>4180</v>
      </c>
      <c r="U381" s="132" t="s">
        <v>589</v>
      </c>
      <c r="V381" s="144">
        <f t="shared" si="84"/>
        <v>3207.6361085946405</v>
      </c>
    </row>
    <row r="382" spans="1:22" ht="9" customHeight="1">
      <c r="A382" s="794">
        <v>21</v>
      </c>
      <c r="B382" s="531" t="s">
        <v>496</v>
      </c>
      <c r="C382" s="532" t="s">
        <v>1192</v>
      </c>
      <c r="D382" s="533" t="s">
        <v>111</v>
      </c>
      <c r="E382" s="534">
        <v>1954</v>
      </c>
      <c r="F382" s="141"/>
      <c r="G382" s="535" t="s">
        <v>88</v>
      </c>
      <c r="H382" s="536">
        <v>5</v>
      </c>
      <c r="I382" s="536">
        <v>2</v>
      </c>
      <c r="J382" s="537">
        <v>2521.3000000000002</v>
      </c>
      <c r="K382" s="537">
        <v>1981.6</v>
      </c>
      <c r="L382" s="537">
        <v>1981.6</v>
      </c>
      <c r="M382" s="535">
        <v>79</v>
      </c>
      <c r="N382" s="797">
        <f>'Приложение 2'!E384</f>
        <v>2865324</v>
      </c>
      <c r="O382" s="797">
        <v>0</v>
      </c>
      <c r="P382" s="797">
        <v>0</v>
      </c>
      <c r="Q382" s="797">
        <v>0</v>
      </c>
      <c r="R382" s="797">
        <f t="shared" si="82"/>
        <v>2865324</v>
      </c>
      <c r="S382" s="797">
        <f t="shared" si="83"/>
        <v>1445.9648768671782</v>
      </c>
      <c r="T382" s="797">
        <v>4503.95</v>
      </c>
      <c r="U382" s="132" t="s">
        <v>589</v>
      </c>
      <c r="V382" s="144">
        <f t="shared" si="84"/>
        <v>3057.9851231328216</v>
      </c>
    </row>
    <row r="383" spans="1:22" ht="9" customHeight="1">
      <c r="A383" s="794">
        <v>22</v>
      </c>
      <c r="B383" s="531" t="s">
        <v>497</v>
      </c>
      <c r="C383" s="532" t="s">
        <v>1192</v>
      </c>
      <c r="D383" s="533" t="s">
        <v>111</v>
      </c>
      <c r="E383" s="534">
        <v>1959</v>
      </c>
      <c r="F383" s="141"/>
      <c r="G383" s="535" t="s">
        <v>88</v>
      </c>
      <c r="H383" s="536">
        <v>4</v>
      </c>
      <c r="I383" s="536">
        <v>3</v>
      </c>
      <c r="J383" s="537">
        <v>3062</v>
      </c>
      <c r="K383" s="537">
        <v>2755.8</v>
      </c>
      <c r="L383" s="537">
        <v>2755.8</v>
      </c>
      <c r="M383" s="535">
        <v>110</v>
      </c>
      <c r="N383" s="797">
        <f>'Приложение 2'!E385</f>
        <v>2823282</v>
      </c>
      <c r="O383" s="797">
        <v>0</v>
      </c>
      <c r="P383" s="797">
        <v>0</v>
      </c>
      <c r="Q383" s="797">
        <v>0</v>
      </c>
      <c r="R383" s="797">
        <f t="shared" si="82"/>
        <v>2823282</v>
      </c>
      <c r="S383" s="797">
        <f t="shared" si="83"/>
        <v>1024.4872632266492</v>
      </c>
      <c r="T383" s="797">
        <v>4503.95</v>
      </c>
      <c r="U383" s="132" t="s">
        <v>589</v>
      </c>
      <c r="V383" s="144">
        <f t="shared" si="84"/>
        <v>3479.4627367733506</v>
      </c>
    </row>
    <row r="384" spans="1:22" ht="9" customHeight="1">
      <c r="A384" s="794">
        <v>23</v>
      </c>
      <c r="B384" s="531" t="s">
        <v>498</v>
      </c>
      <c r="C384" s="532" t="s">
        <v>1192</v>
      </c>
      <c r="D384" s="533" t="s">
        <v>111</v>
      </c>
      <c r="E384" s="534">
        <v>1959</v>
      </c>
      <c r="F384" s="141"/>
      <c r="G384" s="535" t="s">
        <v>88</v>
      </c>
      <c r="H384" s="536">
        <v>4</v>
      </c>
      <c r="I384" s="536">
        <v>3</v>
      </c>
      <c r="J384" s="537">
        <v>2145</v>
      </c>
      <c r="K384" s="537">
        <v>1934.6</v>
      </c>
      <c r="L384" s="537">
        <v>1934.6</v>
      </c>
      <c r="M384" s="535">
        <v>65</v>
      </c>
      <c r="N384" s="797">
        <f>'Приложение 2'!E386</f>
        <v>2393160</v>
      </c>
      <c r="O384" s="797">
        <v>0</v>
      </c>
      <c r="P384" s="797">
        <v>0</v>
      </c>
      <c r="Q384" s="797">
        <v>0</v>
      </c>
      <c r="R384" s="797">
        <f t="shared" si="82"/>
        <v>2393160</v>
      </c>
      <c r="S384" s="797">
        <f t="shared" si="83"/>
        <v>1237.0309107825908</v>
      </c>
      <c r="T384" s="797">
        <v>4503.95</v>
      </c>
      <c r="U384" s="132" t="s">
        <v>589</v>
      </c>
      <c r="V384" s="144">
        <f t="shared" si="84"/>
        <v>3266.9190892174092</v>
      </c>
    </row>
    <row r="385" spans="1:24" ht="9" customHeight="1">
      <c r="A385" s="794">
        <v>24</v>
      </c>
      <c r="B385" s="531" t="s">
        <v>499</v>
      </c>
      <c r="C385" s="532" t="s">
        <v>1192</v>
      </c>
      <c r="D385" s="533" t="s">
        <v>111</v>
      </c>
      <c r="E385" s="534">
        <v>1971</v>
      </c>
      <c r="F385" s="141"/>
      <c r="G385" s="535" t="s">
        <v>88</v>
      </c>
      <c r="H385" s="536">
        <v>5</v>
      </c>
      <c r="I385" s="536">
        <v>4</v>
      </c>
      <c r="J385" s="537">
        <v>3709.5</v>
      </c>
      <c r="K385" s="537">
        <v>2711</v>
      </c>
      <c r="L385" s="537">
        <v>2711</v>
      </c>
      <c r="M385" s="535">
        <v>105</v>
      </c>
      <c r="N385" s="797">
        <f>'Приложение 2'!E387</f>
        <v>5821200</v>
      </c>
      <c r="O385" s="797">
        <v>0</v>
      </c>
      <c r="P385" s="797">
        <v>0</v>
      </c>
      <c r="Q385" s="797">
        <v>0</v>
      </c>
      <c r="R385" s="797">
        <f t="shared" si="82"/>
        <v>5821200</v>
      </c>
      <c r="S385" s="797">
        <f t="shared" si="83"/>
        <v>2147.2519365547769</v>
      </c>
      <c r="T385" s="797">
        <v>4503.95</v>
      </c>
      <c r="U385" s="132" t="s">
        <v>589</v>
      </c>
      <c r="V385" s="144">
        <f t="shared" si="84"/>
        <v>2356.6980634452229</v>
      </c>
    </row>
    <row r="386" spans="1:24" ht="9" customHeight="1">
      <c r="A386" s="794">
        <v>25</v>
      </c>
      <c r="B386" s="531" t="s">
        <v>500</v>
      </c>
      <c r="C386" s="532" t="s">
        <v>1192</v>
      </c>
      <c r="D386" s="533" t="s">
        <v>110</v>
      </c>
      <c r="E386" s="534">
        <v>1981</v>
      </c>
      <c r="F386" s="141"/>
      <c r="G386" s="535" t="s">
        <v>88</v>
      </c>
      <c r="H386" s="536">
        <v>5</v>
      </c>
      <c r="I386" s="536">
        <v>10</v>
      </c>
      <c r="J386" s="537">
        <v>7783.55</v>
      </c>
      <c r="K386" s="537">
        <v>6957.45</v>
      </c>
      <c r="L386" s="537">
        <v>6957.45</v>
      </c>
      <c r="M386" s="535">
        <v>269</v>
      </c>
      <c r="N386" s="797">
        <f>'Приложение 2'!E388</f>
        <v>8234980</v>
      </c>
      <c r="O386" s="797">
        <v>0</v>
      </c>
      <c r="P386" s="797">
        <v>0</v>
      </c>
      <c r="Q386" s="797">
        <v>0</v>
      </c>
      <c r="R386" s="797">
        <f t="shared" si="82"/>
        <v>8234980</v>
      </c>
      <c r="S386" s="797">
        <f t="shared" si="83"/>
        <v>1183.6204356481182</v>
      </c>
      <c r="T386" s="797">
        <v>4180</v>
      </c>
      <c r="U386" s="132" t="s">
        <v>589</v>
      </c>
      <c r="V386" s="144">
        <f t="shared" si="84"/>
        <v>2996.3795643518815</v>
      </c>
      <c r="X386" s="134">
        <f>X388+K387</f>
        <v>8365.1</v>
      </c>
    </row>
    <row r="387" spans="1:24" ht="9" customHeight="1">
      <c r="A387" s="794">
        <v>26</v>
      </c>
      <c r="B387" s="531" t="s">
        <v>501</v>
      </c>
      <c r="C387" s="532" t="s">
        <v>1192</v>
      </c>
      <c r="D387" s="533" t="s">
        <v>110</v>
      </c>
      <c r="E387" s="534">
        <v>1988</v>
      </c>
      <c r="F387" s="141"/>
      <c r="G387" s="535" t="s">
        <v>88</v>
      </c>
      <c r="H387" s="536">
        <v>5</v>
      </c>
      <c r="I387" s="536">
        <v>10</v>
      </c>
      <c r="J387" s="537">
        <v>8326.9</v>
      </c>
      <c r="K387" s="537">
        <f>6626.7+869.2</f>
        <v>7495.9</v>
      </c>
      <c r="L387" s="537">
        <v>6932.4</v>
      </c>
      <c r="M387" s="535">
        <v>335</v>
      </c>
      <c r="N387" s="797">
        <f>'Приложение 2'!E389</f>
        <v>4580916</v>
      </c>
      <c r="O387" s="797">
        <v>0</v>
      </c>
      <c r="P387" s="797">
        <v>0</v>
      </c>
      <c r="Q387" s="797">
        <v>0</v>
      </c>
      <c r="R387" s="797">
        <f t="shared" si="82"/>
        <v>4580916</v>
      </c>
      <c r="S387" s="797">
        <f t="shared" si="83"/>
        <v>611.12288050801112</v>
      </c>
      <c r="T387" s="797">
        <v>4180</v>
      </c>
      <c r="U387" s="132" t="s">
        <v>589</v>
      </c>
      <c r="V387" s="144">
        <f t="shared" si="84"/>
        <v>3568.8771194919891</v>
      </c>
    </row>
    <row r="388" spans="1:24" ht="9" customHeight="1">
      <c r="A388" s="794">
        <v>27</v>
      </c>
      <c r="B388" s="531" t="s">
        <v>502</v>
      </c>
      <c r="C388" s="532" t="s">
        <v>1192</v>
      </c>
      <c r="D388" s="533" t="s">
        <v>111</v>
      </c>
      <c r="E388" s="534">
        <v>1962</v>
      </c>
      <c r="F388" s="141"/>
      <c r="G388" s="535" t="s">
        <v>88</v>
      </c>
      <c r="H388" s="536">
        <v>2</v>
      </c>
      <c r="I388" s="536">
        <v>2</v>
      </c>
      <c r="J388" s="537">
        <v>1038.8</v>
      </c>
      <c r="K388" s="537">
        <v>750.8</v>
      </c>
      <c r="L388" s="537">
        <v>482.1</v>
      </c>
      <c r="M388" s="535">
        <v>63</v>
      </c>
      <c r="N388" s="797">
        <f>'Приложение 2'!E390</f>
        <v>2668050</v>
      </c>
      <c r="O388" s="797">
        <v>0</v>
      </c>
      <c r="P388" s="797">
        <v>0</v>
      </c>
      <c r="Q388" s="797">
        <v>0</v>
      </c>
      <c r="R388" s="797">
        <f t="shared" si="82"/>
        <v>2668050</v>
      </c>
      <c r="S388" s="797">
        <f t="shared" si="83"/>
        <v>3553.609483217901</v>
      </c>
      <c r="T388" s="797">
        <v>4503.95</v>
      </c>
      <c r="U388" s="132" t="s">
        <v>589</v>
      </c>
      <c r="V388" s="144">
        <f t="shared" si="84"/>
        <v>950.3405167820988</v>
      </c>
      <c r="X388" s="119">
        <v>869.2</v>
      </c>
    </row>
    <row r="389" spans="1:24" ht="9" customHeight="1">
      <c r="A389" s="794">
        <v>28</v>
      </c>
      <c r="B389" s="531" t="s">
        <v>503</v>
      </c>
      <c r="C389" s="532" t="s">
        <v>1192</v>
      </c>
      <c r="D389" s="533" t="s">
        <v>110</v>
      </c>
      <c r="E389" s="534">
        <v>1976</v>
      </c>
      <c r="F389" s="141"/>
      <c r="G389" s="535" t="s">
        <v>88</v>
      </c>
      <c r="H389" s="536">
        <v>5</v>
      </c>
      <c r="I389" s="536">
        <v>6</v>
      </c>
      <c r="J389" s="537">
        <v>4748.7</v>
      </c>
      <c r="K389" s="537">
        <v>3960.7</v>
      </c>
      <c r="L389" s="537">
        <v>3960.7</v>
      </c>
      <c r="M389" s="535">
        <v>200</v>
      </c>
      <c r="N389" s="797">
        <f>'Приложение 2'!E391</f>
        <v>6668000</v>
      </c>
      <c r="O389" s="797">
        <v>0</v>
      </c>
      <c r="P389" s="797">
        <v>0</v>
      </c>
      <c r="Q389" s="797">
        <v>0</v>
      </c>
      <c r="R389" s="797">
        <f t="shared" si="82"/>
        <v>6668000</v>
      </c>
      <c r="S389" s="797">
        <f t="shared" si="83"/>
        <v>1683.5407882445022</v>
      </c>
      <c r="T389" s="797">
        <v>4180</v>
      </c>
      <c r="U389" s="132" t="s">
        <v>589</v>
      </c>
      <c r="V389" s="144">
        <f t="shared" si="84"/>
        <v>2496.4592117554976</v>
      </c>
    </row>
    <row r="390" spans="1:24" ht="9" customHeight="1">
      <c r="A390" s="794">
        <v>29</v>
      </c>
      <c r="B390" s="531" t="s">
        <v>504</v>
      </c>
      <c r="C390" s="532" t="s">
        <v>1192</v>
      </c>
      <c r="D390" s="533" t="s">
        <v>110</v>
      </c>
      <c r="E390" s="534">
        <v>1976</v>
      </c>
      <c r="F390" s="141"/>
      <c r="G390" s="535" t="s">
        <v>90</v>
      </c>
      <c r="H390" s="536">
        <v>5</v>
      </c>
      <c r="I390" s="536">
        <v>6</v>
      </c>
      <c r="J390" s="537">
        <v>4347.1000000000004</v>
      </c>
      <c r="K390" s="537">
        <v>3936.1</v>
      </c>
      <c r="L390" s="537">
        <v>3936.1</v>
      </c>
      <c r="M390" s="535">
        <v>182</v>
      </c>
      <c r="N390" s="797">
        <f>'Приложение 2'!E392</f>
        <v>4000800</v>
      </c>
      <c r="O390" s="797">
        <v>0</v>
      </c>
      <c r="P390" s="797">
        <v>0</v>
      </c>
      <c r="Q390" s="797">
        <v>0</v>
      </c>
      <c r="R390" s="797">
        <f t="shared" si="82"/>
        <v>4000800</v>
      </c>
      <c r="S390" s="797">
        <f t="shared" si="83"/>
        <v>1016.4375905083713</v>
      </c>
      <c r="T390" s="797">
        <v>4180</v>
      </c>
      <c r="U390" s="132" t="s">
        <v>589</v>
      </c>
      <c r="V390" s="144">
        <f t="shared" si="84"/>
        <v>3163.5624094916288</v>
      </c>
      <c r="W390" s="119"/>
    </row>
    <row r="391" spans="1:24" ht="9" customHeight="1">
      <c r="A391" s="794">
        <v>30</v>
      </c>
      <c r="B391" s="531" t="s">
        <v>505</v>
      </c>
      <c r="C391" s="532" t="s">
        <v>1192</v>
      </c>
      <c r="D391" s="533" t="s">
        <v>110</v>
      </c>
      <c r="E391" s="534">
        <v>1976</v>
      </c>
      <c r="F391" s="141"/>
      <c r="G391" s="535" t="s">
        <v>88</v>
      </c>
      <c r="H391" s="536">
        <v>5</v>
      </c>
      <c r="I391" s="536">
        <v>4</v>
      </c>
      <c r="J391" s="537">
        <v>3433.6</v>
      </c>
      <c r="K391" s="537">
        <v>3164.8</v>
      </c>
      <c r="L391" s="537">
        <v>3164.8</v>
      </c>
      <c r="M391" s="535">
        <v>169</v>
      </c>
      <c r="N391" s="797">
        <f>'Приложение 2'!E393</f>
        <v>3114956.2</v>
      </c>
      <c r="O391" s="797">
        <v>0</v>
      </c>
      <c r="P391" s="797">
        <v>0</v>
      </c>
      <c r="Q391" s="797">
        <v>0</v>
      </c>
      <c r="R391" s="797">
        <f t="shared" si="82"/>
        <v>3114956.2</v>
      </c>
      <c r="S391" s="797">
        <f t="shared" si="83"/>
        <v>984.25056875631947</v>
      </c>
      <c r="T391" s="797">
        <v>4180</v>
      </c>
      <c r="U391" s="132" t="s">
        <v>589</v>
      </c>
      <c r="V391" s="144">
        <f t="shared" si="84"/>
        <v>3195.7494312436806</v>
      </c>
      <c r="W391" s="119"/>
    </row>
    <row r="392" spans="1:24" ht="9" customHeight="1">
      <c r="A392" s="794">
        <v>31</v>
      </c>
      <c r="B392" s="531" t="s">
        <v>506</v>
      </c>
      <c r="C392" s="532" t="s">
        <v>1192</v>
      </c>
      <c r="D392" s="533" t="s">
        <v>110</v>
      </c>
      <c r="E392" s="534">
        <v>1972</v>
      </c>
      <c r="F392" s="141"/>
      <c r="G392" s="535" t="s">
        <v>88</v>
      </c>
      <c r="H392" s="536">
        <v>5</v>
      </c>
      <c r="I392" s="536">
        <v>4</v>
      </c>
      <c r="J392" s="537">
        <v>3331.6</v>
      </c>
      <c r="K392" s="537">
        <v>2990.3</v>
      </c>
      <c r="L392" s="537">
        <v>2990.3</v>
      </c>
      <c r="M392" s="535">
        <v>155</v>
      </c>
      <c r="N392" s="797">
        <f>'Приложение 2'!E394</f>
        <v>3190638</v>
      </c>
      <c r="O392" s="797">
        <v>0</v>
      </c>
      <c r="P392" s="797">
        <v>0</v>
      </c>
      <c r="Q392" s="797">
        <v>0</v>
      </c>
      <c r="R392" s="797">
        <f t="shared" si="82"/>
        <v>3190638</v>
      </c>
      <c r="S392" s="797">
        <f t="shared" si="83"/>
        <v>1066.9959535832525</v>
      </c>
      <c r="T392" s="797">
        <v>4180</v>
      </c>
      <c r="U392" s="132" t="s">
        <v>589</v>
      </c>
      <c r="V392" s="144">
        <f t="shared" si="84"/>
        <v>3113.0040464167478</v>
      </c>
      <c r="W392" s="119"/>
    </row>
    <row r="393" spans="1:24" ht="9" customHeight="1">
      <c r="A393" s="794">
        <v>32</v>
      </c>
      <c r="B393" s="531" t="s">
        <v>507</v>
      </c>
      <c r="C393" s="532" t="s">
        <v>1192</v>
      </c>
      <c r="D393" s="533" t="s">
        <v>110</v>
      </c>
      <c r="E393" s="534">
        <v>1979</v>
      </c>
      <c r="F393" s="141"/>
      <c r="G393" s="535" t="s">
        <v>90</v>
      </c>
      <c r="H393" s="536">
        <v>5</v>
      </c>
      <c r="I393" s="536">
        <v>6</v>
      </c>
      <c r="J393" s="537">
        <v>4305.3999999999996</v>
      </c>
      <c r="K393" s="537">
        <v>3894.4</v>
      </c>
      <c r="L393" s="537">
        <v>3894.4</v>
      </c>
      <c r="M393" s="535">
        <v>205</v>
      </c>
      <c r="N393" s="797">
        <f>'Приложение 2'!E395</f>
        <v>4000800</v>
      </c>
      <c r="O393" s="797">
        <v>0</v>
      </c>
      <c r="P393" s="797">
        <v>0</v>
      </c>
      <c r="Q393" s="797">
        <v>0</v>
      </c>
      <c r="R393" s="797">
        <f t="shared" si="82"/>
        <v>4000800</v>
      </c>
      <c r="S393" s="797">
        <f t="shared" si="83"/>
        <v>1027.3212818405916</v>
      </c>
      <c r="T393" s="797">
        <v>4180</v>
      </c>
      <c r="U393" s="132" t="s">
        <v>589</v>
      </c>
      <c r="V393" s="144">
        <f t="shared" si="84"/>
        <v>3152.6787181594082</v>
      </c>
      <c r="W393" s="119"/>
    </row>
    <row r="394" spans="1:24" ht="9" customHeight="1">
      <c r="A394" s="794">
        <v>33</v>
      </c>
      <c r="B394" s="531" t="s">
        <v>508</v>
      </c>
      <c r="C394" s="532" t="s">
        <v>1192</v>
      </c>
      <c r="D394" s="533" t="s">
        <v>110</v>
      </c>
      <c r="E394" s="534">
        <v>1983</v>
      </c>
      <c r="F394" s="141"/>
      <c r="G394" s="535" t="s">
        <v>88</v>
      </c>
      <c r="H394" s="536">
        <v>5</v>
      </c>
      <c r="I394" s="536">
        <v>8</v>
      </c>
      <c r="J394" s="537">
        <v>6069.4</v>
      </c>
      <c r="K394" s="537">
        <v>4613.5</v>
      </c>
      <c r="L394" s="537">
        <v>4613.5</v>
      </c>
      <c r="M394" s="535">
        <v>202</v>
      </c>
      <c r="N394" s="797">
        <f>'Приложение 2'!E396</f>
        <v>6334600</v>
      </c>
      <c r="O394" s="797">
        <v>0</v>
      </c>
      <c r="P394" s="797">
        <v>0</v>
      </c>
      <c r="Q394" s="797">
        <v>0</v>
      </c>
      <c r="R394" s="797">
        <f t="shared" si="82"/>
        <v>6334600</v>
      </c>
      <c r="S394" s="797">
        <f t="shared" si="83"/>
        <v>1373.0573317437954</v>
      </c>
      <c r="T394" s="797">
        <v>4180</v>
      </c>
      <c r="U394" s="132" t="s">
        <v>589</v>
      </c>
      <c r="V394" s="144">
        <f t="shared" si="84"/>
        <v>2806.9426682562043</v>
      </c>
      <c r="W394" s="119"/>
    </row>
    <row r="395" spans="1:24" ht="9" customHeight="1">
      <c r="A395" s="794">
        <v>34</v>
      </c>
      <c r="B395" s="531" t="s">
        <v>509</v>
      </c>
      <c r="C395" s="532" t="s">
        <v>1192</v>
      </c>
      <c r="D395" s="533" t="s">
        <v>110</v>
      </c>
      <c r="E395" s="534">
        <v>1988</v>
      </c>
      <c r="F395" s="141"/>
      <c r="G395" s="535" t="s">
        <v>88</v>
      </c>
      <c r="H395" s="536">
        <v>5</v>
      </c>
      <c r="I395" s="536">
        <v>2</v>
      </c>
      <c r="J395" s="537">
        <v>1579.9</v>
      </c>
      <c r="K395" s="537">
        <v>1116.4000000000001</v>
      </c>
      <c r="L395" s="537">
        <v>1116.4000000000001</v>
      </c>
      <c r="M395" s="535">
        <v>51</v>
      </c>
      <c r="N395" s="797">
        <f>'Приложение 2'!E397</f>
        <v>1833700</v>
      </c>
      <c r="O395" s="797">
        <v>0</v>
      </c>
      <c r="P395" s="797">
        <v>0</v>
      </c>
      <c r="Q395" s="797">
        <v>0</v>
      </c>
      <c r="R395" s="797">
        <f t="shared" si="82"/>
        <v>1833700</v>
      </c>
      <c r="S395" s="797">
        <f t="shared" si="83"/>
        <v>1642.5116445718379</v>
      </c>
      <c r="T395" s="797">
        <v>4180</v>
      </c>
      <c r="U395" s="132" t="s">
        <v>589</v>
      </c>
      <c r="V395" s="144">
        <f t="shared" si="84"/>
        <v>2537.4883554281623</v>
      </c>
      <c r="W395" s="119"/>
    </row>
    <row r="396" spans="1:24" ht="9" customHeight="1">
      <c r="A396" s="794">
        <v>35</v>
      </c>
      <c r="B396" s="531" t="s">
        <v>511</v>
      </c>
      <c r="C396" s="532" t="s">
        <v>1192</v>
      </c>
      <c r="D396" s="533" t="s">
        <v>110</v>
      </c>
      <c r="E396" s="534">
        <v>1980</v>
      </c>
      <c r="F396" s="141"/>
      <c r="G396" s="535" t="s">
        <v>88</v>
      </c>
      <c r="H396" s="536">
        <v>5</v>
      </c>
      <c r="I396" s="536">
        <v>4</v>
      </c>
      <c r="J396" s="537">
        <v>3652.1</v>
      </c>
      <c r="K396" s="537">
        <v>2676.7</v>
      </c>
      <c r="L396" s="537">
        <v>2676.7</v>
      </c>
      <c r="M396" s="535">
        <v>143</v>
      </c>
      <c r="N396" s="797">
        <f>'Приложение 2'!E398</f>
        <v>3390678</v>
      </c>
      <c r="O396" s="797">
        <v>0</v>
      </c>
      <c r="P396" s="797">
        <v>0</v>
      </c>
      <c r="Q396" s="797">
        <v>0</v>
      </c>
      <c r="R396" s="797">
        <f t="shared" si="82"/>
        <v>3390678</v>
      </c>
      <c r="S396" s="797">
        <f t="shared" si="83"/>
        <v>1266.7381477192066</v>
      </c>
      <c r="T396" s="797">
        <v>4180</v>
      </c>
      <c r="U396" s="132" t="s">
        <v>589</v>
      </c>
      <c r="V396" s="144">
        <f t="shared" si="84"/>
        <v>2913.2618522807934</v>
      </c>
      <c r="W396" s="119"/>
    </row>
    <row r="397" spans="1:24" ht="9" customHeight="1">
      <c r="A397" s="794">
        <v>36</v>
      </c>
      <c r="B397" s="531" t="s">
        <v>512</v>
      </c>
      <c r="C397" s="532" t="s">
        <v>1192</v>
      </c>
      <c r="D397" s="533" t="s">
        <v>111</v>
      </c>
      <c r="E397" s="534">
        <v>1955</v>
      </c>
      <c r="F397" s="141"/>
      <c r="G397" s="535" t="s">
        <v>88</v>
      </c>
      <c r="H397" s="536">
        <v>3</v>
      </c>
      <c r="I397" s="536">
        <v>3</v>
      </c>
      <c r="J397" s="537">
        <v>2187.1999999999998</v>
      </c>
      <c r="K397" s="537">
        <v>1421.4</v>
      </c>
      <c r="L397" s="537">
        <v>1421.4</v>
      </c>
      <c r="M397" s="535">
        <v>66</v>
      </c>
      <c r="N397" s="797">
        <f>'Приложение 2'!E399</f>
        <v>3790248</v>
      </c>
      <c r="O397" s="797">
        <v>0</v>
      </c>
      <c r="P397" s="797">
        <v>0</v>
      </c>
      <c r="Q397" s="797">
        <v>0</v>
      </c>
      <c r="R397" s="797">
        <f t="shared" si="82"/>
        <v>3790248</v>
      </c>
      <c r="S397" s="797">
        <f t="shared" si="83"/>
        <v>2666.5597298438156</v>
      </c>
      <c r="T397" s="797">
        <v>4503.95</v>
      </c>
      <c r="U397" s="132" t="s">
        <v>589</v>
      </c>
      <c r="V397" s="144">
        <f t="shared" si="84"/>
        <v>1837.3902701561842</v>
      </c>
      <c r="W397" s="119"/>
    </row>
    <row r="398" spans="1:24" ht="9" customHeight="1">
      <c r="A398" s="794">
        <v>37</v>
      </c>
      <c r="B398" s="531" t="s">
        <v>513</v>
      </c>
      <c r="C398" s="532" t="s">
        <v>1192</v>
      </c>
      <c r="D398" s="533" t="s">
        <v>111</v>
      </c>
      <c r="E398" s="534">
        <v>1964</v>
      </c>
      <c r="F398" s="141"/>
      <c r="G398" s="535" t="s">
        <v>88</v>
      </c>
      <c r="H398" s="536">
        <v>5</v>
      </c>
      <c r="I398" s="536">
        <v>2</v>
      </c>
      <c r="J398" s="537">
        <v>1713.5</v>
      </c>
      <c r="K398" s="537">
        <v>1549.7</v>
      </c>
      <c r="L398" s="537">
        <v>1549.7</v>
      </c>
      <c r="M398" s="535">
        <v>69</v>
      </c>
      <c r="N398" s="797">
        <f>'Приложение 2'!E400</f>
        <v>1875720</v>
      </c>
      <c r="O398" s="797">
        <v>0</v>
      </c>
      <c r="P398" s="797">
        <v>0</v>
      </c>
      <c r="Q398" s="797">
        <v>0</v>
      </c>
      <c r="R398" s="797">
        <f t="shared" si="82"/>
        <v>1875720</v>
      </c>
      <c r="S398" s="797">
        <f t="shared" si="83"/>
        <v>1210.3762018455184</v>
      </c>
      <c r="T398" s="797">
        <v>4503.95</v>
      </c>
      <c r="U398" s="132" t="s">
        <v>589</v>
      </c>
      <c r="V398" s="144">
        <f t="shared" si="84"/>
        <v>3293.5737981544817</v>
      </c>
      <c r="W398" s="119"/>
    </row>
    <row r="399" spans="1:24" ht="9" customHeight="1">
      <c r="A399" s="794">
        <v>38</v>
      </c>
      <c r="B399" s="531" t="s">
        <v>514</v>
      </c>
      <c r="C399" s="532" t="s">
        <v>1192</v>
      </c>
      <c r="D399" s="533" t="s">
        <v>111</v>
      </c>
      <c r="E399" s="534">
        <v>1963</v>
      </c>
      <c r="F399" s="141"/>
      <c r="G399" s="535" t="s">
        <v>88</v>
      </c>
      <c r="H399" s="536">
        <v>3</v>
      </c>
      <c r="I399" s="536">
        <v>4</v>
      </c>
      <c r="J399" s="537">
        <v>1976.1</v>
      </c>
      <c r="K399" s="537">
        <v>1764.7</v>
      </c>
      <c r="L399" s="537">
        <v>1764.7</v>
      </c>
      <c r="M399" s="535">
        <v>69</v>
      </c>
      <c r="N399" s="797">
        <f>'Приложение 2'!E401</f>
        <v>3557400</v>
      </c>
      <c r="O399" s="797">
        <v>0</v>
      </c>
      <c r="P399" s="797">
        <v>0</v>
      </c>
      <c r="Q399" s="797">
        <v>0</v>
      </c>
      <c r="R399" s="797">
        <f t="shared" si="82"/>
        <v>3557400</v>
      </c>
      <c r="S399" s="797">
        <f t="shared" si="83"/>
        <v>2015.8667195557318</v>
      </c>
      <c r="T399" s="797">
        <v>4503.95</v>
      </c>
      <c r="U399" s="132" t="s">
        <v>589</v>
      </c>
      <c r="V399" s="144">
        <f t="shared" si="84"/>
        <v>2488.083280444268</v>
      </c>
      <c r="W399" s="119"/>
    </row>
    <row r="400" spans="1:24" ht="9" customHeight="1">
      <c r="A400" s="794">
        <v>39</v>
      </c>
      <c r="B400" s="531" t="s">
        <v>515</v>
      </c>
      <c r="C400" s="532" t="s">
        <v>1192</v>
      </c>
      <c r="D400" s="533" t="s">
        <v>110</v>
      </c>
      <c r="E400" s="534">
        <v>1971</v>
      </c>
      <c r="F400" s="141"/>
      <c r="G400" s="535" t="s">
        <v>90</v>
      </c>
      <c r="H400" s="536">
        <v>5</v>
      </c>
      <c r="I400" s="536">
        <v>4</v>
      </c>
      <c r="J400" s="537">
        <v>3537.7</v>
      </c>
      <c r="K400" s="537">
        <v>3164.4</v>
      </c>
      <c r="L400" s="537">
        <v>3164.4</v>
      </c>
      <c r="M400" s="536">
        <v>164</v>
      </c>
      <c r="N400" s="797">
        <f>'Приложение 2'!E402</f>
        <v>2783890</v>
      </c>
      <c r="O400" s="797">
        <v>0</v>
      </c>
      <c r="P400" s="797">
        <v>0</v>
      </c>
      <c r="Q400" s="797">
        <v>0</v>
      </c>
      <c r="R400" s="797">
        <f t="shared" si="82"/>
        <v>2783890</v>
      </c>
      <c r="S400" s="797">
        <f t="shared" si="83"/>
        <v>879.75287574263677</v>
      </c>
      <c r="T400" s="797">
        <v>4180</v>
      </c>
      <c r="U400" s="132" t="s">
        <v>589</v>
      </c>
      <c r="V400" s="144">
        <f t="shared" si="84"/>
        <v>3300.2471242573633</v>
      </c>
      <c r="W400" s="119"/>
    </row>
    <row r="401" spans="1:23" ht="9" customHeight="1">
      <c r="A401" s="794">
        <v>40</v>
      </c>
      <c r="B401" s="531" t="s">
        <v>516</v>
      </c>
      <c r="C401" s="532" t="s">
        <v>1192</v>
      </c>
      <c r="D401" s="533" t="s">
        <v>110</v>
      </c>
      <c r="E401" s="534">
        <v>1977</v>
      </c>
      <c r="F401" s="141"/>
      <c r="G401" s="535" t="s">
        <v>90</v>
      </c>
      <c r="H401" s="536">
        <v>5</v>
      </c>
      <c r="I401" s="536">
        <v>3</v>
      </c>
      <c r="J401" s="537">
        <v>2459.1</v>
      </c>
      <c r="K401" s="537">
        <v>2106.4</v>
      </c>
      <c r="L401" s="537">
        <v>2106.4</v>
      </c>
      <c r="M401" s="535">
        <v>98</v>
      </c>
      <c r="N401" s="797">
        <f>'Приложение 2'!E403</f>
        <v>2167100</v>
      </c>
      <c r="O401" s="797">
        <v>0</v>
      </c>
      <c r="P401" s="797">
        <v>0</v>
      </c>
      <c r="Q401" s="797">
        <v>0</v>
      </c>
      <c r="R401" s="797">
        <f t="shared" si="82"/>
        <v>2167100</v>
      </c>
      <c r="S401" s="797">
        <f t="shared" si="83"/>
        <v>1028.8169388530193</v>
      </c>
      <c r="T401" s="797">
        <v>4180</v>
      </c>
      <c r="U401" s="132" t="s">
        <v>589</v>
      </c>
      <c r="V401" s="144">
        <f t="shared" si="84"/>
        <v>3151.1830611469804</v>
      </c>
      <c r="W401" s="119"/>
    </row>
    <row r="402" spans="1:23" ht="9" customHeight="1">
      <c r="A402" s="794">
        <v>41</v>
      </c>
      <c r="B402" s="531" t="s">
        <v>517</v>
      </c>
      <c r="C402" s="532" t="s">
        <v>1192</v>
      </c>
      <c r="D402" s="533" t="s">
        <v>110</v>
      </c>
      <c r="E402" s="534">
        <v>1989</v>
      </c>
      <c r="F402" s="141"/>
      <c r="G402" s="535" t="s">
        <v>88</v>
      </c>
      <c r="H402" s="536">
        <v>9</v>
      </c>
      <c r="I402" s="536">
        <v>1</v>
      </c>
      <c r="J402" s="537">
        <v>6011.3</v>
      </c>
      <c r="K402" s="537">
        <v>4985</v>
      </c>
      <c r="L402" s="537">
        <v>4985</v>
      </c>
      <c r="M402" s="535">
        <v>186</v>
      </c>
      <c r="N402" s="797">
        <f>'Приложение 2'!E404</f>
        <v>3167300</v>
      </c>
      <c r="O402" s="797">
        <v>0</v>
      </c>
      <c r="P402" s="797">
        <v>0</v>
      </c>
      <c r="Q402" s="797">
        <v>0</v>
      </c>
      <c r="R402" s="797">
        <f t="shared" si="82"/>
        <v>3167300</v>
      </c>
      <c r="S402" s="797">
        <f t="shared" si="83"/>
        <v>635.36609829488464</v>
      </c>
      <c r="T402" s="797">
        <v>4180</v>
      </c>
      <c r="U402" s="132" t="s">
        <v>589</v>
      </c>
      <c r="V402" s="144">
        <f t="shared" si="84"/>
        <v>3544.6339017051155</v>
      </c>
      <c r="W402" s="119"/>
    </row>
    <row r="403" spans="1:23" ht="9" customHeight="1">
      <c r="A403" s="794">
        <v>42</v>
      </c>
      <c r="B403" s="531" t="s">
        <v>518</v>
      </c>
      <c r="C403" s="532" t="s">
        <v>1192</v>
      </c>
      <c r="D403" s="533" t="s">
        <v>110</v>
      </c>
      <c r="E403" s="534">
        <v>1989</v>
      </c>
      <c r="F403" s="141"/>
      <c r="G403" s="535" t="s">
        <v>88</v>
      </c>
      <c r="H403" s="536">
        <v>9</v>
      </c>
      <c r="I403" s="536">
        <v>1</v>
      </c>
      <c r="J403" s="537">
        <v>5957.8</v>
      </c>
      <c r="K403" s="537">
        <v>4964.5</v>
      </c>
      <c r="L403" s="537">
        <v>4964.5</v>
      </c>
      <c r="M403" s="535">
        <v>228</v>
      </c>
      <c r="N403" s="797">
        <f>'Приложение 2'!E405</f>
        <v>3200640</v>
      </c>
      <c r="O403" s="797">
        <v>0</v>
      </c>
      <c r="P403" s="797">
        <v>0</v>
      </c>
      <c r="Q403" s="797">
        <v>0</v>
      </c>
      <c r="R403" s="797">
        <f t="shared" si="82"/>
        <v>3200640</v>
      </c>
      <c r="S403" s="797">
        <f t="shared" si="83"/>
        <v>644.70540839963746</v>
      </c>
      <c r="T403" s="797">
        <v>4180</v>
      </c>
      <c r="U403" s="132" t="s">
        <v>589</v>
      </c>
      <c r="V403" s="144">
        <f t="shared" si="84"/>
        <v>3535.2945916003628</v>
      </c>
      <c r="W403" s="119"/>
    </row>
    <row r="404" spans="1:23" ht="9" customHeight="1">
      <c r="A404" s="794">
        <v>43</v>
      </c>
      <c r="B404" s="531" t="s">
        <v>519</v>
      </c>
      <c r="C404" s="532" t="s">
        <v>1192</v>
      </c>
      <c r="D404" s="533" t="s">
        <v>110</v>
      </c>
      <c r="E404" s="534">
        <v>1966</v>
      </c>
      <c r="F404" s="141"/>
      <c r="G404" s="535" t="s">
        <v>88</v>
      </c>
      <c r="H404" s="536">
        <v>2</v>
      </c>
      <c r="I404" s="536">
        <v>1</v>
      </c>
      <c r="J404" s="537">
        <v>987</v>
      </c>
      <c r="K404" s="537">
        <v>581.4</v>
      </c>
      <c r="L404" s="537">
        <v>581.4</v>
      </c>
      <c r="M404" s="535">
        <v>78</v>
      </c>
      <c r="N404" s="797">
        <f>'Приложение 2'!E406</f>
        <v>2296125.7999999998</v>
      </c>
      <c r="O404" s="797">
        <v>0</v>
      </c>
      <c r="P404" s="797">
        <v>0</v>
      </c>
      <c r="Q404" s="797">
        <v>0</v>
      </c>
      <c r="R404" s="797">
        <f t="shared" si="82"/>
        <v>2296125.7999999998</v>
      </c>
      <c r="S404" s="797">
        <f t="shared" si="83"/>
        <v>3949.3047815617474</v>
      </c>
      <c r="T404" s="797">
        <v>4180</v>
      </c>
      <c r="U404" s="132" t="s">
        <v>589</v>
      </c>
      <c r="V404" s="144">
        <f t="shared" si="84"/>
        <v>230.6952184382526</v>
      </c>
      <c r="W404" s="119"/>
    </row>
    <row r="405" spans="1:23" ht="9" customHeight="1">
      <c r="A405" s="794">
        <v>44</v>
      </c>
      <c r="B405" s="531" t="s">
        <v>520</v>
      </c>
      <c r="C405" s="532" t="s">
        <v>1192</v>
      </c>
      <c r="D405" s="533" t="s">
        <v>110</v>
      </c>
      <c r="E405" s="534">
        <v>1986</v>
      </c>
      <c r="F405" s="141"/>
      <c r="G405" s="535" t="s">
        <v>88</v>
      </c>
      <c r="H405" s="536">
        <v>5</v>
      </c>
      <c r="I405" s="536">
        <v>4</v>
      </c>
      <c r="J405" s="537">
        <v>3125</v>
      </c>
      <c r="K405" s="537">
        <f>78.6+2727.4</f>
        <v>2806</v>
      </c>
      <c r="L405" s="537">
        <v>2727.4</v>
      </c>
      <c r="M405" s="535">
        <v>135</v>
      </c>
      <c r="N405" s="797">
        <f>'Приложение 2'!E407</f>
        <v>3200640</v>
      </c>
      <c r="O405" s="797">
        <v>0</v>
      </c>
      <c r="P405" s="797">
        <v>0</v>
      </c>
      <c r="Q405" s="797">
        <v>0</v>
      </c>
      <c r="R405" s="797">
        <f t="shared" si="82"/>
        <v>3200640</v>
      </c>
      <c r="S405" s="797">
        <f t="shared" si="83"/>
        <v>1140.6414825374197</v>
      </c>
      <c r="T405" s="797">
        <v>4180</v>
      </c>
      <c r="U405" s="132" t="s">
        <v>589</v>
      </c>
      <c r="V405" s="144">
        <f t="shared" si="84"/>
        <v>3039.3585174625805</v>
      </c>
      <c r="W405" s="119"/>
    </row>
    <row r="406" spans="1:23" ht="9" customHeight="1">
      <c r="A406" s="794">
        <v>45</v>
      </c>
      <c r="B406" s="531" t="s">
        <v>521</v>
      </c>
      <c r="C406" s="532" t="s">
        <v>1192</v>
      </c>
      <c r="D406" s="533" t="s">
        <v>110</v>
      </c>
      <c r="E406" s="534">
        <v>1989</v>
      </c>
      <c r="F406" s="141"/>
      <c r="G406" s="535" t="s">
        <v>88</v>
      </c>
      <c r="H406" s="536">
        <v>9</v>
      </c>
      <c r="I406" s="536">
        <v>2</v>
      </c>
      <c r="J406" s="537">
        <v>10082.200000000001</v>
      </c>
      <c r="K406" s="537">
        <f>7850.1+302</f>
        <v>8152.1</v>
      </c>
      <c r="L406" s="537">
        <v>7850.1</v>
      </c>
      <c r="M406" s="535">
        <v>350</v>
      </c>
      <c r="N406" s="797">
        <f>'Приложение 2'!E408</f>
        <v>12002400</v>
      </c>
      <c r="O406" s="797">
        <v>0</v>
      </c>
      <c r="P406" s="797">
        <v>0</v>
      </c>
      <c r="Q406" s="797">
        <v>0</v>
      </c>
      <c r="R406" s="797">
        <f t="shared" si="82"/>
        <v>12002400</v>
      </c>
      <c r="S406" s="797">
        <f t="shared" si="83"/>
        <v>1472.3077489235902</v>
      </c>
      <c r="T406" s="797">
        <v>4180</v>
      </c>
      <c r="U406" s="132" t="s">
        <v>589</v>
      </c>
      <c r="V406" s="144">
        <f t="shared" si="84"/>
        <v>2707.6922510764098</v>
      </c>
      <c r="W406" s="119"/>
    </row>
    <row r="407" spans="1:23" ht="9" customHeight="1">
      <c r="A407" s="794">
        <v>46</v>
      </c>
      <c r="B407" s="531" t="s">
        <v>522</v>
      </c>
      <c r="C407" s="532" t="s">
        <v>1192</v>
      </c>
      <c r="D407" s="533" t="s">
        <v>110</v>
      </c>
      <c r="E407" s="534">
        <v>1967</v>
      </c>
      <c r="F407" s="141"/>
      <c r="G407" s="535" t="s">
        <v>88</v>
      </c>
      <c r="H407" s="536">
        <v>5</v>
      </c>
      <c r="I407" s="536">
        <v>4</v>
      </c>
      <c r="J407" s="537">
        <v>3890.6</v>
      </c>
      <c r="K407" s="537">
        <v>3508.6</v>
      </c>
      <c r="L407" s="537">
        <v>3508.6</v>
      </c>
      <c r="M407" s="536">
        <v>160</v>
      </c>
      <c r="N407" s="797">
        <f>'Приложение 2'!E409</f>
        <v>2920584</v>
      </c>
      <c r="O407" s="797">
        <v>0</v>
      </c>
      <c r="P407" s="797">
        <v>0</v>
      </c>
      <c r="Q407" s="797">
        <v>0</v>
      </c>
      <c r="R407" s="797">
        <f t="shared" si="82"/>
        <v>2920584</v>
      </c>
      <c r="S407" s="797">
        <f t="shared" si="83"/>
        <v>832.4072279541698</v>
      </c>
      <c r="T407" s="797">
        <v>4180</v>
      </c>
      <c r="U407" s="132" t="s">
        <v>589</v>
      </c>
      <c r="V407" s="144">
        <f t="shared" si="84"/>
        <v>3347.5927720458303</v>
      </c>
      <c r="W407" s="119"/>
    </row>
    <row r="408" spans="1:23" ht="9" customHeight="1">
      <c r="A408" s="794">
        <v>47</v>
      </c>
      <c r="B408" s="531" t="s">
        <v>523</v>
      </c>
      <c r="C408" s="532" t="s">
        <v>1192</v>
      </c>
      <c r="D408" s="533" t="s">
        <v>110</v>
      </c>
      <c r="E408" s="534">
        <v>1989</v>
      </c>
      <c r="F408" s="141"/>
      <c r="G408" s="535" t="s">
        <v>88</v>
      </c>
      <c r="H408" s="536">
        <v>5</v>
      </c>
      <c r="I408" s="536">
        <v>3</v>
      </c>
      <c r="J408" s="537">
        <v>3414.9</v>
      </c>
      <c r="K408" s="537">
        <v>3100.9</v>
      </c>
      <c r="L408" s="537">
        <v>2995.5</v>
      </c>
      <c r="M408" s="535">
        <v>202</v>
      </c>
      <c r="N408" s="797">
        <f>'Приложение 2'!E410</f>
        <v>2375289.4</v>
      </c>
      <c r="O408" s="797">
        <v>0</v>
      </c>
      <c r="P408" s="797">
        <v>0</v>
      </c>
      <c r="Q408" s="797">
        <v>0</v>
      </c>
      <c r="R408" s="797">
        <f t="shared" si="82"/>
        <v>2375289.4</v>
      </c>
      <c r="S408" s="797">
        <f t="shared" si="83"/>
        <v>766</v>
      </c>
      <c r="T408" s="797">
        <f>4984.65+322.91</f>
        <v>5307.5599999999995</v>
      </c>
      <c r="U408" s="132" t="s">
        <v>589</v>
      </c>
      <c r="V408" s="144">
        <f t="shared" si="84"/>
        <v>4541.5599999999995</v>
      </c>
      <c r="W408" s="119"/>
    </row>
    <row r="409" spans="1:23" ht="9" customHeight="1">
      <c r="A409" s="794">
        <v>48</v>
      </c>
      <c r="B409" s="531" t="s">
        <v>524</v>
      </c>
      <c r="C409" s="532" t="s">
        <v>1192</v>
      </c>
      <c r="D409" s="533" t="s">
        <v>110</v>
      </c>
      <c r="E409" s="534">
        <v>1988</v>
      </c>
      <c r="F409" s="141"/>
      <c r="G409" s="535" t="s">
        <v>90</v>
      </c>
      <c r="H409" s="536">
        <v>5</v>
      </c>
      <c r="I409" s="536">
        <v>5</v>
      </c>
      <c r="J409" s="537">
        <v>4146.2</v>
      </c>
      <c r="K409" s="537">
        <v>3458.6</v>
      </c>
      <c r="L409" s="537">
        <v>3458.6</v>
      </c>
      <c r="M409" s="535">
        <v>176</v>
      </c>
      <c r="N409" s="797">
        <f>'Приложение 2'!E411</f>
        <v>3050610</v>
      </c>
      <c r="O409" s="797">
        <v>0</v>
      </c>
      <c r="P409" s="797">
        <v>0</v>
      </c>
      <c r="Q409" s="797">
        <v>0</v>
      </c>
      <c r="R409" s="797">
        <f t="shared" si="82"/>
        <v>3050610</v>
      </c>
      <c r="S409" s="797">
        <f t="shared" si="83"/>
        <v>882.03608396460993</v>
      </c>
      <c r="T409" s="797">
        <v>4180</v>
      </c>
      <c r="U409" s="132" t="s">
        <v>589</v>
      </c>
      <c r="V409" s="144">
        <f t="shared" si="84"/>
        <v>3297.96391603539</v>
      </c>
      <c r="W409" s="119"/>
    </row>
    <row r="410" spans="1:23" ht="9" customHeight="1">
      <c r="A410" s="794">
        <v>49</v>
      </c>
      <c r="B410" s="531" t="s">
        <v>525</v>
      </c>
      <c r="C410" s="532" t="s">
        <v>1192</v>
      </c>
      <c r="D410" s="533" t="s">
        <v>111</v>
      </c>
      <c r="E410" s="534">
        <v>1957</v>
      </c>
      <c r="F410" s="141"/>
      <c r="G410" s="535" t="s">
        <v>88</v>
      </c>
      <c r="H410" s="536">
        <v>3</v>
      </c>
      <c r="I410" s="536">
        <v>3</v>
      </c>
      <c r="J410" s="537">
        <v>1443.3</v>
      </c>
      <c r="K410" s="537">
        <v>1329</v>
      </c>
      <c r="L410" s="537">
        <v>1267</v>
      </c>
      <c r="M410" s="536">
        <v>54</v>
      </c>
      <c r="N410" s="797">
        <f>'Приложение 2'!E412</f>
        <v>2170014</v>
      </c>
      <c r="O410" s="797">
        <v>0</v>
      </c>
      <c r="P410" s="797">
        <v>0</v>
      </c>
      <c r="Q410" s="797">
        <v>0</v>
      </c>
      <c r="R410" s="797">
        <f t="shared" si="82"/>
        <v>2170014</v>
      </c>
      <c r="S410" s="797">
        <f t="shared" si="83"/>
        <v>1632.8171557562077</v>
      </c>
      <c r="T410" s="797">
        <v>4503.95</v>
      </c>
      <c r="U410" s="132" t="s">
        <v>589</v>
      </c>
      <c r="V410" s="144">
        <f t="shared" si="84"/>
        <v>2871.1328442437921</v>
      </c>
      <c r="W410" s="119"/>
    </row>
    <row r="411" spans="1:23" ht="9" customHeight="1">
      <c r="A411" s="794">
        <v>50</v>
      </c>
      <c r="B411" s="531" t="s">
        <v>526</v>
      </c>
      <c r="C411" s="532" t="s">
        <v>1192</v>
      </c>
      <c r="D411" s="533" t="s">
        <v>111</v>
      </c>
      <c r="E411" s="534">
        <v>1960</v>
      </c>
      <c r="F411" s="141"/>
      <c r="G411" s="535" t="s">
        <v>88</v>
      </c>
      <c r="H411" s="536">
        <v>4</v>
      </c>
      <c r="I411" s="536">
        <v>4</v>
      </c>
      <c r="J411" s="537">
        <v>2701.5</v>
      </c>
      <c r="K411" s="537">
        <v>2510.5</v>
      </c>
      <c r="L411" s="537">
        <v>956</v>
      </c>
      <c r="M411" s="536">
        <v>130</v>
      </c>
      <c r="N411" s="797">
        <f>'Приложение 2'!E413</f>
        <v>2179716</v>
      </c>
      <c r="O411" s="797">
        <v>0</v>
      </c>
      <c r="P411" s="797">
        <v>0</v>
      </c>
      <c r="Q411" s="797">
        <v>0</v>
      </c>
      <c r="R411" s="797">
        <f t="shared" si="82"/>
        <v>2179716</v>
      </c>
      <c r="S411" s="797">
        <f t="shared" si="83"/>
        <v>868.2397928699462</v>
      </c>
      <c r="T411" s="797">
        <v>4503.95</v>
      </c>
      <c r="U411" s="132" t="s">
        <v>589</v>
      </c>
      <c r="V411" s="144">
        <f t="shared" si="84"/>
        <v>3635.7102071300537</v>
      </c>
      <c r="W411" s="119"/>
    </row>
    <row r="412" spans="1:23" ht="9" customHeight="1">
      <c r="A412" s="794">
        <v>51</v>
      </c>
      <c r="B412" s="531" t="s">
        <v>527</v>
      </c>
      <c r="C412" s="532" t="s">
        <v>1192</v>
      </c>
      <c r="D412" s="533" t="s">
        <v>111</v>
      </c>
      <c r="E412" s="534">
        <v>1964</v>
      </c>
      <c r="F412" s="141"/>
      <c r="G412" s="535" t="s">
        <v>88</v>
      </c>
      <c r="H412" s="536">
        <v>4</v>
      </c>
      <c r="I412" s="536">
        <v>2</v>
      </c>
      <c r="J412" s="537">
        <v>1458.1</v>
      </c>
      <c r="K412" s="537">
        <v>1289.3</v>
      </c>
      <c r="L412" s="537">
        <v>1289.3</v>
      </c>
      <c r="M412" s="536">
        <v>175</v>
      </c>
      <c r="N412" s="797">
        <f>'Приложение 2'!E414</f>
        <v>1853082</v>
      </c>
      <c r="O412" s="797">
        <v>0</v>
      </c>
      <c r="P412" s="797">
        <v>0</v>
      </c>
      <c r="Q412" s="797">
        <v>0</v>
      </c>
      <c r="R412" s="797">
        <f t="shared" si="82"/>
        <v>1853082</v>
      </c>
      <c r="S412" s="797">
        <f t="shared" si="83"/>
        <v>1437.27759249205</v>
      </c>
      <c r="T412" s="797">
        <v>4503.95</v>
      </c>
      <c r="U412" s="132" t="s">
        <v>589</v>
      </c>
      <c r="V412" s="144">
        <f t="shared" si="84"/>
        <v>3066.6724075079501</v>
      </c>
      <c r="W412" s="119"/>
    </row>
    <row r="413" spans="1:23" ht="9" customHeight="1">
      <c r="A413" s="794">
        <v>52</v>
      </c>
      <c r="B413" s="531" t="s">
        <v>528</v>
      </c>
      <c r="C413" s="532" t="s">
        <v>1192</v>
      </c>
      <c r="D413" s="533" t="s">
        <v>110</v>
      </c>
      <c r="E413" s="534">
        <v>1989</v>
      </c>
      <c r="F413" s="141"/>
      <c r="G413" s="535" t="s">
        <v>88</v>
      </c>
      <c r="H413" s="536">
        <v>5</v>
      </c>
      <c r="I413" s="536">
        <v>4</v>
      </c>
      <c r="J413" s="537">
        <v>3816.6</v>
      </c>
      <c r="K413" s="537">
        <v>3491</v>
      </c>
      <c r="L413" s="537">
        <v>3491</v>
      </c>
      <c r="M413" s="535">
        <v>185</v>
      </c>
      <c r="N413" s="797">
        <f>'Приложение 2'!E415</f>
        <v>3660732</v>
      </c>
      <c r="O413" s="797">
        <v>0</v>
      </c>
      <c r="P413" s="797">
        <v>0</v>
      </c>
      <c r="Q413" s="797">
        <v>0</v>
      </c>
      <c r="R413" s="797">
        <f t="shared" si="82"/>
        <v>3660732</v>
      </c>
      <c r="S413" s="797">
        <f t="shared" si="83"/>
        <v>1048.6198796906331</v>
      </c>
      <c r="T413" s="797">
        <v>4180</v>
      </c>
      <c r="U413" s="132" t="s">
        <v>589</v>
      </c>
      <c r="V413" s="144">
        <f t="shared" si="84"/>
        <v>3131.3801203093672</v>
      </c>
      <c r="W413" s="119"/>
    </row>
    <row r="414" spans="1:23" ht="9" customHeight="1">
      <c r="A414" s="794">
        <v>53</v>
      </c>
      <c r="B414" s="531" t="s">
        <v>529</v>
      </c>
      <c r="C414" s="532" t="s">
        <v>1192</v>
      </c>
      <c r="D414" s="533" t="s">
        <v>110</v>
      </c>
      <c r="E414" s="534">
        <v>1988</v>
      </c>
      <c r="F414" s="141"/>
      <c r="G414" s="535" t="s">
        <v>88</v>
      </c>
      <c r="H414" s="536">
        <v>5</v>
      </c>
      <c r="I414" s="536">
        <v>6</v>
      </c>
      <c r="J414" s="537">
        <v>5695.3</v>
      </c>
      <c r="K414" s="537">
        <v>5053</v>
      </c>
      <c r="L414" s="537">
        <v>5053</v>
      </c>
      <c r="M414" s="535">
        <v>227</v>
      </c>
      <c r="N414" s="797">
        <f>'Приложение 2'!E416</f>
        <v>4790958</v>
      </c>
      <c r="O414" s="797">
        <v>0</v>
      </c>
      <c r="P414" s="797">
        <v>0</v>
      </c>
      <c r="Q414" s="797">
        <v>0</v>
      </c>
      <c r="R414" s="797">
        <f t="shared" si="82"/>
        <v>4790958</v>
      </c>
      <c r="S414" s="797">
        <f t="shared" si="83"/>
        <v>948.14130219671483</v>
      </c>
      <c r="T414" s="797">
        <v>4180</v>
      </c>
      <c r="U414" s="132" t="s">
        <v>589</v>
      </c>
      <c r="V414" s="144">
        <f t="shared" si="84"/>
        <v>3231.8586978032854</v>
      </c>
      <c r="W414" s="119"/>
    </row>
    <row r="415" spans="1:23" ht="9" customHeight="1">
      <c r="A415" s="794">
        <v>54</v>
      </c>
      <c r="B415" s="531" t="s">
        <v>530</v>
      </c>
      <c r="C415" s="532" t="s">
        <v>1192</v>
      </c>
      <c r="D415" s="533" t="s">
        <v>110</v>
      </c>
      <c r="E415" s="534">
        <v>1962</v>
      </c>
      <c r="F415" s="141"/>
      <c r="G415" s="535" t="s">
        <v>90</v>
      </c>
      <c r="H415" s="536">
        <v>5</v>
      </c>
      <c r="I415" s="536">
        <v>3</v>
      </c>
      <c r="J415" s="537">
        <v>2757.6</v>
      </c>
      <c r="K415" s="537">
        <f>2486.3+41.8</f>
        <v>2528.1000000000004</v>
      </c>
      <c r="L415" s="537">
        <v>909</v>
      </c>
      <c r="M415" s="536">
        <v>106</v>
      </c>
      <c r="N415" s="797">
        <f>'Приложение 2'!E417</f>
        <v>2371474.2000000002</v>
      </c>
      <c r="O415" s="797">
        <v>0</v>
      </c>
      <c r="P415" s="797">
        <v>0</v>
      </c>
      <c r="Q415" s="797">
        <v>0</v>
      </c>
      <c r="R415" s="797">
        <f t="shared" si="82"/>
        <v>2371474.2000000002</v>
      </c>
      <c r="S415" s="797">
        <f t="shared" si="83"/>
        <v>938.04604248249666</v>
      </c>
      <c r="T415" s="797">
        <v>4180</v>
      </c>
      <c r="U415" s="132" t="s">
        <v>589</v>
      </c>
      <c r="V415" s="144">
        <f t="shared" si="84"/>
        <v>3241.9539575175031</v>
      </c>
      <c r="W415" s="119"/>
    </row>
    <row r="416" spans="1:23" ht="9" customHeight="1">
      <c r="A416" s="794">
        <v>55</v>
      </c>
      <c r="B416" s="531" t="s">
        <v>531</v>
      </c>
      <c r="C416" s="532" t="s">
        <v>1192</v>
      </c>
      <c r="D416" s="533" t="s">
        <v>110</v>
      </c>
      <c r="E416" s="534">
        <v>1980</v>
      </c>
      <c r="F416" s="141"/>
      <c r="G416" s="535" t="s">
        <v>90</v>
      </c>
      <c r="H416" s="536">
        <v>5</v>
      </c>
      <c r="I416" s="536">
        <v>6</v>
      </c>
      <c r="J416" s="537">
        <v>5270.3</v>
      </c>
      <c r="K416" s="537">
        <v>4736.3</v>
      </c>
      <c r="L416" s="537">
        <v>884</v>
      </c>
      <c r="M416" s="536">
        <v>241</v>
      </c>
      <c r="N416" s="797">
        <f>'Приложение 2'!E418</f>
        <v>4380876</v>
      </c>
      <c r="O416" s="797">
        <v>0</v>
      </c>
      <c r="P416" s="797">
        <v>0</v>
      </c>
      <c r="Q416" s="797">
        <v>0</v>
      </c>
      <c r="R416" s="797">
        <f t="shared" si="82"/>
        <v>4380876</v>
      </c>
      <c r="S416" s="797">
        <f t="shared" si="83"/>
        <v>924.95745624221433</v>
      </c>
      <c r="T416" s="797">
        <v>4180</v>
      </c>
      <c r="U416" s="132" t="s">
        <v>589</v>
      </c>
      <c r="V416" s="144">
        <f t="shared" si="84"/>
        <v>3255.0425437577856</v>
      </c>
      <c r="W416" s="119"/>
    </row>
    <row r="417" spans="1:23" ht="9" customHeight="1">
      <c r="A417" s="794">
        <v>56</v>
      </c>
      <c r="B417" s="531" t="s">
        <v>532</v>
      </c>
      <c r="C417" s="532" t="s">
        <v>1192</v>
      </c>
      <c r="D417" s="533" t="s">
        <v>111</v>
      </c>
      <c r="E417" s="534">
        <v>1968</v>
      </c>
      <c r="F417" s="141"/>
      <c r="G417" s="535" t="s">
        <v>88</v>
      </c>
      <c r="H417" s="536">
        <v>5</v>
      </c>
      <c r="I417" s="536">
        <v>1</v>
      </c>
      <c r="J417" s="537">
        <v>4393</v>
      </c>
      <c r="K417" s="537">
        <v>1897.7</v>
      </c>
      <c r="L417" s="537">
        <v>87</v>
      </c>
      <c r="M417" s="536">
        <v>145</v>
      </c>
      <c r="N417" s="797">
        <f>'Приложение 2'!E419</f>
        <v>5303760</v>
      </c>
      <c r="O417" s="797">
        <v>0</v>
      </c>
      <c r="P417" s="797">
        <v>0</v>
      </c>
      <c r="Q417" s="797">
        <v>0</v>
      </c>
      <c r="R417" s="797">
        <f t="shared" si="82"/>
        <v>5303760</v>
      </c>
      <c r="S417" s="797">
        <f t="shared" si="83"/>
        <v>2794.8358539284395</v>
      </c>
      <c r="T417" s="797">
        <v>4503.95</v>
      </c>
      <c r="U417" s="132" t="s">
        <v>589</v>
      </c>
      <c r="V417" s="144">
        <f t="shared" si="84"/>
        <v>1709.1141460715603</v>
      </c>
      <c r="W417" s="119"/>
    </row>
    <row r="418" spans="1:23" ht="9" customHeight="1">
      <c r="A418" s="794">
        <v>57</v>
      </c>
      <c r="B418" s="531" t="s">
        <v>533</v>
      </c>
      <c r="C418" s="532" t="s">
        <v>1192</v>
      </c>
      <c r="D418" s="533" t="s">
        <v>110</v>
      </c>
      <c r="E418" s="534">
        <v>1988</v>
      </c>
      <c r="F418" s="141"/>
      <c r="G418" s="535" t="s">
        <v>90</v>
      </c>
      <c r="H418" s="536">
        <v>9</v>
      </c>
      <c r="I418" s="536">
        <v>14</v>
      </c>
      <c r="J418" s="537">
        <v>31511.8</v>
      </c>
      <c r="K418" s="537">
        <v>27311.7</v>
      </c>
      <c r="L418" s="537">
        <v>130</v>
      </c>
      <c r="M418" s="536">
        <v>6</v>
      </c>
      <c r="N418" s="797">
        <f>'Приложение 2'!E420</f>
        <v>15546442</v>
      </c>
      <c r="O418" s="797">
        <v>0</v>
      </c>
      <c r="P418" s="797">
        <v>0</v>
      </c>
      <c r="Q418" s="797">
        <v>0</v>
      </c>
      <c r="R418" s="797">
        <f t="shared" si="82"/>
        <v>15546442</v>
      </c>
      <c r="S418" s="797">
        <f t="shared" si="83"/>
        <v>569.22278730360983</v>
      </c>
      <c r="T418" s="797">
        <v>4180</v>
      </c>
      <c r="U418" s="132" t="s">
        <v>589</v>
      </c>
      <c r="V418" s="144">
        <f t="shared" si="84"/>
        <v>3610.7772126963901</v>
      </c>
      <c r="W418" s="119"/>
    </row>
    <row r="419" spans="1:23" ht="9" customHeight="1">
      <c r="A419" s="794">
        <v>58</v>
      </c>
      <c r="B419" s="531" t="s">
        <v>534</v>
      </c>
      <c r="C419" s="532" t="s">
        <v>1192</v>
      </c>
      <c r="D419" s="533" t="s">
        <v>110</v>
      </c>
      <c r="E419" s="534">
        <v>1986</v>
      </c>
      <c r="F419" s="141"/>
      <c r="G419" s="535" t="s">
        <v>88</v>
      </c>
      <c r="H419" s="536">
        <v>5</v>
      </c>
      <c r="I419" s="536">
        <v>4</v>
      </c>
      <c r="J419" s="537">
        <v>3057.7</v>
      </c>
      <c r="K419" s="537">
        <v>2768.4</v>
      </c>
      <c r="L419" s="537">
        <v>338</v>
      </c>
      <c r="M419" s="536">
        <v>25</v>
      </c>
      <c r="N419" s="797">
        <f>'Приложение 2'!E421</f>
        <v>3040608</v>
      </c>
      <c r="O419" s="797">
        <v>0</v>
      </c>
      <c r="P419" s="797">
        <v>0</v>
      </c>
      <c r="Q419" s="797">
        <v>0</v>
      </c>
      <c r="R419" s="797">
        <f t="shared" si="82"/>
        <v>3040608</v>
      </c>
      <c r="S419" s="797">
        <f t="shared" si="83"/>
        <v>1098.3268313827482</v>
      </c>
      <c r="T419" s="797">
        <v>4180</v>
      </c>
      <c r="U419" s="132" t="s">
        <v>589</v>
      </c>
      <c r="V419" s="144">
        <f t="shared" si="84"/>
        <v>3081.6731686172516</v>
      </c>
      <c r="W419" s="119"/>
    </row>
    <row r="420" spans="1:23" ht="9" customHeight="1">
      <c r="A420" s="794">
        <v>59</v>
      </c>
      <c r="B420" s="531" t="s">
        <v>535</v>
      </c>
      <c r="C420" s="532" t="s">
        <v>1192</v>
      </c>
      <c r="D420" s="533" t="s">
        <v>110</v>
      </c>
      <c r="E420" s="534">
        <v>1973</v>
      </c>
      <c r="F420" s="141"/>
      <c r="G420" s="535" t="s">
        <v>88</v>
      </c>
      <c r="H420" s="536">
        <v>5</v>
      </c>
      <c r="I420" s="536">
        <v>1</v>
      </c>
      <c r="J420" s="537">
        <v>3992.7</v>
      </c>
      <c r="K420" s="537">
        <v>2680.2</v>
      </c>
      <c r="L420" s="537">
        <v>402</v>
      </c>
      <c r="M420" s="536">
        <v>11</v>
      </c>
      <c r="N420" s="797">
        <f>'Приложение 2'!E422</f>
        <v>3764086</v>
      </c>
      <c r="O420" s="797">
        <v>0</v>
      </c>
      <c r="P420" s="797">
        <v>0</v>
      </c>
      <c r="Q420" s="797">
        <v>0</v>
      </c>
      <c r="R420" s="797">
        <f t="shared" si="82"/>
        <v>3764086</v>
      </c>
      <c r="S420" s="797">
        <f t="shared" si="83"/>
        <v>1404.4048951570778</v>
      </c>
      <c r="T420" s="797">
        <v>4180</v>
      </c>
      <c r="U420" s="132" t="s">
        <v>589</v>
      </c>
      <c r="V420" s="144">
        <f t="shared" si="84"/>
        <v>2775.5951048429224</v>
      </c>
      <c r="W420" s="119"/>
    </row>
    <row r="421" spans="1:23" ht="9" customHeight="1">
      <c r="A421" s="794">
        <v>60</v>
      </c>
      <c r="B421" s="531" t="s">
        <v>536</v>
      </c>
      <c r="C421" s="532" t="s">
        <v>1192</v>
      </c>
      <c r="D421" s="533" t="s">
        <v>111</v>
      </c>
      <c r="E421" s="534">
        <v>1967</v>
      </c>
      <c r="F421" s="141"/>
      <c r="G421" s="535" t="s">
        <v>88</v>
      </c>
      <c r="H421" s="536">
        <v>5</v>
      </c>
      <c r="I421" s="536">
        <v>2</v>
      </c>
      <c r="J421" s="537">
        <v>1902.2</v>
      </c>
      <c r="K421" s="537">
        <f>1710.3+40.9</f>
        <v>1751.2</v>
      </c>
      <c r="L421" s="537">
        <v>73</v>
      </c>
      <c r="M421" s="536">
        <v>59</v>
      </c>
      <c r="N421" s="797">
        <f>'Приложение 2'!E423</f>
        <v>2102100</v>
      </c>
      <c r="O421" s="797">
        <v>0</v>
      </c>
      <c r="P421" s="797">
        <v>0</v>
      </c>
      <c r="Q421" s="797">
        <v>0</v>
      </c>
      <c r="R421" s="797">
        <f t="shared" si="82"/>
        <v>2102100</v>
      </c>
      <c r="S421" s="797">
        <f t="shared" si="83"/>
        <v>1200.3768844221106</v>
      </c>
      <c r="T421" s="797">
        <v>4503.95</v>
      </c>
      <c r="U421" s="132" t="s">
        <v>589</v>
      </c>
      <c r="V421" s="144">
        <f t="shared" si="84"/>
        <v>3303.5731155778894</v>
      </c>
      <c r="W421" s="119"/>
    </row>
    <row r="422" spans="1:23" ht="9" customHeight="1">
      <c r="A422" s="794">
        <v>61</v>
      </c>
      <c r="B422" s="531" t="s">
        <v>537</v>
      </c>
      <c r="C422" s="532" t="s">
        <v>1192</v>
      </c>
      <c r="D422" s="533" t="s">
        <v>111</v>
      </c>
      <c r="E422" s="534">
        <v>1963</v>
      </c>
      <c r="F422" s="141"/>
      <c r="G422" s="535" t="s">
        <v>88</v>
      </c>
      <c r="H422" s="536">
        <v>4</v>
      </c>
      <c r="I422" s="536">
        <v>2</v>
      </c>
      <c r="J422" s="537">
        <v>1342.5</v>
      </c>
      <c r="K422" s="537">
        <v>1207.5999999999999</v>
      </c>
      <c r="L422" s="537">
        <v>268</v>
      </c>
      <c r="M422" s="536">
        <v>53</v>
      </c>
      <c r="N422" s="797">
        <f>'Приложение 2'!E424</f>
        <v>1862784</v>
      </c>
      <c r="O422" s="797">
        <v>0</v>
      </c>
      <c r="P422" s="797">
        <v>0</v>
      </c>
      <c r="Q422" s="797">
        <v>0</v>
      </c>
      <c r="R422" s="797">
        <f t="shared" si="82"/>
        <v>1862784</v>
      </c>
      <c r="S422" s="797">
        <f t="shared" si="83"/>
        <v>1542.5505134150383</v>
      </c>
      <c r="T422" s="797">
        <v>4503.95</v>
      </c>
      <c r="U422" s="132" t="s">
        <v>589</v>
      </c>
      <c r="V422" s="144">
        <f t="shared" si="84"/>
        <v>2961.3994865849618</v>
      </c>
      <c r="W422" s="119"/>
    </row>
    <row r="423" spans="1:23" ht="9" customHeight="1">
      <c r="A423" s="794">
        <v>62</v>
      </c>
      <c r="B423" s="531" t="s">
        <v>538</v>
      </c>
      <c r="C423" s="532" t="s">
        <v>1192</v>
      </c>
      <c r="D423" s="533" t="s">
        <v>110</v>
      </c>
      <c r="E423" s="534">
        <v>1977</v>
      </c>
      <c r="F423" s="141"/>
      <c r="G423" s="535" t="s">
        <v>621</v>
      </c>
      <c r="H423" s="536">
        <v>5</v>
      </c>
      <c r="I423" s="536">
        <v>5</v>
      </c>
      <c r="J423" s="537">
        <v>3703.1</v>
      </c>
      <c r="K423" s="537">
        <v>3071.7</v>
      </c>
      <c r="L423" s="537">
        <v>3071.7</v>
      </c>
      <c r="M423" s="535">
        <v>165</v>
      </c>
      <c r="N423" s="797">
        <f>'Приложение 2'!E425</f>
        <v>2850570</v>
      </c>
      <c r="O423" s="797">
        <v>0</v>
      </c>
      <c r="P423" s="797">
        <v>0</v>
      </c>
      <c r="Q423" s="797">
        <v>0</v>
      </c>
      <c r="R423" s="797">
        <f t="shared" si="82"/>
        <v>2850570</v>
      </c>
      <c r="S423" s="797">
        <f t="shared" si="83"/>
        <v>928.01054790506896</v>
      </c>
      <c r="T423" s="797">
        <v>4180</v>
      </c>
      <c r="U423" s="132" t="s">
        <v>589</v>
      </c>
      <c r="V423" s="144">
        <f t="shared" si="84"/>
        <v>3251.989452094931</v>
      </c>
      <c r="W423" s="119"/>
    </row>
    <row r="424" spans="1:23" ht="9" customHeight="1">
      <c r="A424" s="794">
        <v>63</v>
      </c>
      <c r="B424" s="531" t="s">
        <v>539</v>
      </c>
      <c r="C424" s="532" t="s">
        <v>1192</v>
      </c>
      <c r="D424" s="533" t="s">
        <v>110</v>
      </c>
      <c r="E424" s="534">
        <v>1976</v>
      </c>
      <c r="F424" s="141"/>
      <c r="G424" s="535" t="s">
        <v>90</v>
      </c>
      <c r="H424" s="536">
        <v>5</v>
      </c>
      <c r="I424" s="536">
        <v>8</v>
      </c>
      <c r="J424" s="537">
        <v>6173.8</v>
      </c>
      <c r="K424" s="537">
        <v>5535.8</v>
      </c>
      <c r="L424" s="537">
        <v>5535.8</v>
      </c>
      <c r="M424" s="535">
        <v>262</v>
      </c>
      <c r="N424" s="797">
        <f>'Приложение 2'!E426</f>
        <v>4634260</v>
      </c>
      <c r="O424" s="797">
        <v>0</v>
      </c>
      <c r="P424" s="797">
        <v>0</v>
      </c>
      <c r="Q424" s="797">
        <v>0</v>
      </c>
      <c r="R424" s="797">
        <f t="shared" si="82"/>
        <v>4634260</v>
      </c>
      <c r="S424" s="797">
        <f t="shared" si="83"/>
        <v>837.14368293652228</v>
      </c>
      <c r="T424" s="797">
        <v>4180</v>
      </c>
      <c r="U424" s="132" t="s">
        <v>589</v>
      </c>
      <c r="V424" s="144">
        <f t="shared" si="84"/>
        <v>3342.8563170634779</v>
      </c>
      <c r="W424" s="119"/>
    </row>
    <row r="425" spans="1:23" ht="9" customHeight="1">
      <c r="A425" s="794">
        <v>64</v>
      </c>
      <c r="B425" s="531" t="s">
        <v>540</v>
      </c>
      <c r="C425" s="532" t="s">
        <v>1192</v>
      </c>
      <c r="D425" s="533" t="s">
        <v>110</v>
      </c>
      <c r="E425" s="534">
        <v>1984</v>
      </c>
      <c r="F425" s="141"/>
      <c r="G425" s="535" t="s">
        <v>90</v>
      </c>
      <c r="H425" s="536">
        <v>5</v>
      </c>
      <c r="I425" s="536">
        <v>5</v>
      </c>
      <c r="J425" s="537">
        <v>4206</v>
      </c>
      <c r="K425" s="537">
        <v>3791</v>
      </c>
      <c r="L425" s="537">
        <v>3791</v>
      </c>
      <c r="M425" s="535">
        <v>158</v>
      </c>
      <c r="N425" s="797">
        <f>'Приложение 2'!E427</f>
        <v>3173968</v>
      </c>
      <c r="O425" s="797">
        <v>0</v>
      </c>
      <c r="P425" s="797">
        <v>0</v>
      </c>
      <c r="Q425" s="797">
        <v>0</v>
      </c>
      <c r="R425" s="797">
        <f t="shared" si="82"/>
        <v>3173968</v>
      </c>
      <c r="S425" s="797">
        <f t="shared" si="83"/>
        <v>837.23766816143495</v>
      </c>
      <c r="T425" s="797">
        <v>4180</v>
      </c>
      <c r="U425" s="132" t="s">
        <v>589</v>
      </c>
      <c r="V425" s="144">
        <f t="shared" si="84"/>
        <v>3342.7623318385649</v>
      </c>
      <c r="W425" s="119"/>
    </row>
    <row r="426" spans="1:23" ht="9" customHeight="1">
      <c r="A426" s="794">
        <v>65</v>
      </c>
      <c r="B426" s="531" t="s">
        <v>541</v>
      </c>
      <c r="C426" s="532" t="s">
        <v>1192</v>
      </c>
      <c r="D426" s="533" t="s">
        <v>110</v>
      </c>
      <c r="E426" s="534">
        <v>1970</v>
      </c>
      <c r="F426" s="141"/>
      <c r="G426" s="535" t="s">
        <v>90</v>
      </c>
      <c r="H426" s="536">
        <v>5</v>
      </c>
      <c r="I426" s="536">
        <v>4</v>
      </c>
      <c r="J426" s="537">
        <v>4282.7</v>
      </c>
      <c r="K426" s="537">
        <f>3878.6+102.1</f>
        <v>3980.7</v>
      </c>
      <c r="L426" s="537">
        <v>731</v>
      </c>
      <c r="M426" s="536">
        <v>186</v>
      </c>
      <c r="N426" s="797">
        <f>'Приложение 2'!E428</f>
        <v>7292642.4000000004</v>
      </c>
      <c r="O426" s="797">
        <v>0</v>
      </c>
      <c r="P426" s="797">
        <v>0</v>
      </c>
      <c r="Q426" s="797">
        <v>0</v>
      </c>
      <c r="R426" s="797">
        <f t="shared" ref="R426:R483" si="85">N426</f>
        <v>7292642.4000000004</v>
      </c>
      <c r="S426" s="797">
        <f t="shared" ref="S426:S483" si="86">N426/K426</f>
        <v>1832.0000000000002</v>
      </c>
      <c r="T426" s="797">
        <f>4984.65+322.91</f>
        <v>5307.5599999999995</v>
      </c>
      <c r="U426" s="132" t="s">
        <v>589</v>
      </c>
      <c r="V426" s="144">
        <f t="shared" si="84"/>
        <v>3475.5599999999995</v>
      </c>
      <c r="W426" s="119"/>
    </row>
    <row r="427" spans="1:23" ht="9" customHeight="1">
      <c r="A427" s="794">
        <v>66</v>
      </c>
      <c r="B427" s="531" t="s">
        <v>542</v>
      </c>
      <c r="C427" s="532" t="s">
        <v>1192</v>
      </c>
      <c r="D427" s="533" t="s">
        <v>111</v>
      </c>
      <c r="E427" s="534">
        <v>1973</v>
      </c>
      <c r="F427" s="141"/>
      <c r="G427" s="535" t="s">
        <v>88</v>
      </c>
      <c r="H427" s="536">
        <v>5</v>
      </c>
      <c r="I427" s="536">
        <v>2</v>
      </c>
      <c r="J427" s="537">
        <v>2089.1999999999998</v>
      </c>
      <c r="K427" s="537">
        <f>1692.2+89</f>
        <v>1781.2</v>
      </c>
      <c r="L427" s="537">
        <v>311</v>
      </c>
      <c r="M427" s="536">
        <v>103</v>
      </c>
      <c r="N427" s="797">
        <f>'Приложение 2'!E429</f>
        <v>2037420</v>
      </c>
      <c r="O427" s="797">
        <v>0</v>
      </c>
      <c r="P427" s="797">
        <v>0</v>
      </c>
      <c r="Q427" s="797">
        <v>0</v>
      </c>
      <c r="R427" s="797">
        <f t="shared" si="85"/>
        <v>2037420</v>
      </c>
      <c r="S427" s="797">
        <f t="shared" si="86"/>
        <v>1143.8468448237143</v>
      </c>
      <c r="T427" s="797">
        <v>4503.95</v>
      </c>
      <c r="U427" s="132" t="s">
        <v>589</v>
      </c>
      <c r="V427" s="144">
        <f t="shared" ref="V427:V482" si="87">T427-S427</f>
        <v>3360.1031551762853</v>
      </c>
      <c r="W427" s="119"/>
    </row>
    <row r="428" spans="1:23" ht="9" customHeight="1">
      <c r="A428" s="794">
        <v>67</v>
      </c>
      <c r="B428" s="531" t="s">
        <v>543</v>
      </c>
      <c r="C428" s="532" t="s">
        <v>1192</v>
      </c>
      <c r="D428" s="533" t="s">
        <v>110</v>
      </c>
      <c r="E428" s="534">
        <v>1982</v>
      </c>
      <c r="F428" s="141"/>
      <c r="G428" s="535" t="s">
        <v>88</v>
      </c>
      <c r="H428" s="536">
        <v>4</v>
      </c>
      <c r="I428" s="536">
        <v>1</v>
      </c>
      <c r="J428" s="537">
        <v>1872.85</v>
      </c>
      <c r="K428" s="537">
        <v>1653.8</v>
      </c>
      <c r="L428" s="537">
        <v>1653.8</v>
      </c>
      <c r="M428" s="535">
        <v>87</v>
      </c>
      <c r="N428" s="797">
        <f>'Приложение 2'!E430</f>
        <v>5099686.4000000004</v>
      </c>
      <c r="O428" s="797">
        <v>0</v>
      </c>
      <c r="P428" s="797">
        <v>0</v>
      </c>
      <c r="Q428" s="797">
        <v>0</v>
      </c>
      <c r="R428" s="797">
        <f t="shared" si="85"/>
        <v>5099686.4000000004</v>
      </c>
      <c r="S428" s="797">
        <f t="shared" si="86"/>
        <v>3083.6173660660302</v>
      </c>
      <c r="T428" s="797">
        <v>4180</v>
      </c>
      <c r="U428" s="132" t="s">
        <v>589</v>
      </c>
      <c r="V428" s="144">
        <f t="shared" si="87"/>
        <v>1096.3826339339698</v>
      </c>
      <c r="W428" s="119"/>
    </row>
    <row r="429" spans="1:23" ht="9" customHeight="1">
      <c r="A429" s="794">
        <v>68</v>
      </c>
      <c r="B429" s="531" t="s">
        <v>544</v>
      </c>
      <c r="C429" s="532" t="s">
        <v>1192</v>
      </c>
      <c r="D429" s="533" t="s">
        <v>110</v>
      </c>
      <c r="E429" s="534">
        <v>1982</v>
      </c>
      <c r="F429" s="141"/>
      <c r="G429" s="535" t="s">
        <v>90</v>
      </c>
      <c r="H429" s="536">
        <v>5</v>
      </c>
      <c r="I429" s="536">
        <v>5</v>
      </c>
      <c r="J429" s="537">
        <v>4060.2</v>
      </c>
      <c r="K429" s="537">
        <v>3742.7</v>
      </c>
      <c r="L429" s="537">
        <v>470</v>
      </c>
      <c r="M429" s="536">
        <v>194</v>
      </c>
      <c r="N429" s="797">
        <f>'Приложение 2'!E431</f>
        <v>3477362</v>
      </c>
      <c r="O429" s="797">
        <v>0</v>
      </c>
      <c r="P429" s="797">
        <v>0</v>
      </c>
      <c r="Q429" s="797">
        <v>0</v>
      </c>
      <c r="R429" s="797">
        <f t="shared" si="85"/>
        <v>3477362</v>
      </c>
      <c r="S429" s="797">
        <f t="shared" si="86"/>
        <v>929.10519143933527</v>
      </c>
      <c r="T429" s="797">
        <v>4180</v>
      </c>
      <c r="U429" s="132" t="s">
        <v>589</v>
      </c>
      <c r="V429" s="144">
        <f t="shared" si="87"/>
        <v>3250.8948085606648</v>
      </c>
      <c r="W429" s="119"/>
    </row>
    <row r="430" spans="1:23" ht="9" customHeight="1">
      <c r="A430" s="794">
        <v>69</v>
      </c>
      <c r="B430" s="531" t="s">
        <v>545</v>
      </c>
      <c r="C430" s="532" t="s">
        <v>1192</v>
      </c>
      <c r="D430" s="533" t="s">
        <v>110</v>
      </c>
      <c r="E430" s="534">
        <v>1988</v>
      </c>
      <c r="F430" s="141"/>
      <c r="G430" s="535" t="s">
        <v>90</v>
      </c>
      <c r="H430" s="536">
        <v>5</v>
      </c>
      <c r="I430" s="536">
        <v>4</v>
      </c>
      <c r="J430" s="537">
        <v>3096.1</v>
      </c>
      <c r="K430" s="537">
        <v>2779</v>
      </c>
      <c r="L430" s="537">
        <v>900</v>
      </c>
      <c r="M430" s="536">
        <v>127</v>
      </c>
      <c r="N430" s="797">
        <f>'Приложение 2'!E432</f>
        <v>2688871</v>
      </c>
      <c r="O430" s="797">
        <v>0</v>
      </c>
      <c r="P430" s="797">
        <v>0</v>
      </c>
      <c r="Q430" s="797">
        <v>0</v>
      </c>
      <c r="R430" s="797">
        <f t="shared" si="85"/>
        <v>2688871</v>
      </c>
      <c r="S430" s="797">
        <f t="shared" si="86"/>
        <v>967.56783015473195</v>
      </c>
      <c r="T430" s="797">
        <v>4180</v>
      </c>
      <c r="U430" s="132" t="s">
        <v>589</v>
      </c>
      <c r="V430" s="144">
        <f t="shared" si="87"/>
        <v>3212.4321698452682</v>
      </c>
      <c r="W430" s="119"/>
    </row>
    <row r="431" spans="1:23" ht="9" customHeight="1">
      <c r="A431" s="794">
        <v>70</v>
      </c>
      <c r="B431" s="531" t="s">
        <v>546</v>
      </c>
      <c r="C431" s="532" t="s">
        <v>1192</v>
      </c>
      <c r="D431" s="533" t="s">
        <v>110</v>
      </c>
      <c r="E431" s="534">
        <v>1974</v>
      </c>
      <c r="F431" s="141"/>
      <c r="G431" s="535" t="s">
        <v>90</v>
      </c>
      <c r="H431" s="536">
        <v>5</v>
      </c>
      <c r="I431" s="536">
        <v>4</v>
      </c>
      <c r="J431" s="537">
        <v>3632.9</v>
      </c>
      <c r="K431" s="537">
        <v>3248</v>
      </c>
      <c r="L431" s="537">
        <v>3248</v>
      </c>
      <c r="M431" s="536">
        <v>148</v>
      </c>
      <c r="N431" s="797">
        <f>'Приложение 2'!E433</f>
        <v>3060612</v>
      </c>
      <c r="O431" s="797">
        <v>0</v>
      </c>
      <c r="P431" s="797">
        <v>0</v>
      </c>
      <c r="Q431" s="797">
        <v>0</v>
      </c>
      <c r="R431" s="797">
        <f t="shared" si="85"/>
        <v>3060612</v>
      </c>
      <c r="S431" s="797">
        <f t="shared" si="86"/>
        <v>942.30665024630537</v>
      </c>
      <c r="T431" s="797">
        <v>4180</v>
      </c>
      <c r="U431" s="132" t="s">
        <v>589</v>
      </c>
      <c r="V431" s="144">
        <f t="shared" si="87"/>
        <v>3237.6933497536947</v>
      </c>
      <c r="W431" s="119"/>
    </row>
    <row r="432" spans="1:23" ht="9" customHeight="1">
      <c r="A432" s="794">
        <v>71</v>
      </c>
      <c r="B432" s="531" t="s">
        <v>547</v>
      </c>
      <c r="C432" s="532" t="s">
        <v>1192</v>
      </c>
      <c r="D432" s="533" t="s">
        <v>110</v>
      </c>
      <c r="E432" s="534">
        <v>1975</v>
      </c>
      <c r="F432" s="141"/>
      <c r="G432" s="535" t="s">
        <v>88</v>
      </c>
      <c r="H432" s="536">
        <v>9</v>
      </c>
      <c r="I432" s="536">
        <v>1</v>
      </c>
      <c r="J432" s="537">
        <v>2257.6</v>
      </c>
      <c r="K432" s="537">
        <v>2005.6</v>
      </c>
      <c r="L432" s="537">
        <v>155</v>
      </c>
      <c r="M432" s="536">
        <v>102</v>
      </c>
      <c r="N432" s="797">
        <f>'Приложение 2'!E434</f>
        <v>1348936.4</v>
      </c>
      <c r="O432" s="797">
        <v>0</v>
      </c>
      <c r="P432" s="797">
        <v>0</v>
      </c>
      <c r="Q432" s="797">
        <v>0</v>
      </c>
      <c r="R432" s="797">
        <f t="shared" si="85"/>
        <v>1348936.4</v>
      </c>
      <c r="S432" s="797">
        <f t="shared" si="86"/>
        <v>672.58496210610292</v>
      </c>
      <c r="T432" s="797">
        <v>4180</v>
      </c>
      <c r="U432" s="132" t="s">
        <v>589</v>
      </c>
      <c r="V432" s="144">
        <f t="shared" si="87"/>
        <v>3507.4150378938971</v>
      </c>
      <c r="W432" s="119"/>
    </row>
    <row r="433" spans="1:23" ht="9" customHeight="1">
      <c r="A433" s="794">
        <v>72</v>
      </c>
      <c r="B433" s="531" t="s">
        <v>548</v>
      </c>
      <c r="C433" s="532" t="s">
        <v>1193</v>
      </c>
      <c r="D433" s="533" t="s">
        <v>110</v>
      </c>
      <c r="E433" s="534">
        <v>1975</v>
      </c>
      <c r="F433" s="141"/>
      <c r="G433" s="535" t="s">
        <v>88</v>
      </c>
      <c r="H433" s="536">
        <v>9</v>
      </c>
      <c r="I433" s="536">
        <v>1</v>
      </c>
      <c r="J433" s="537">
        <v>2248.1</v>
      </c>
      <c r="K433" s="537">
        <v>1995.1</v>
      </c>
      <c r="L433" s="537">
        <v>1995.1</v>
      </c>
      <c r="M433" s="536">
        <v>100</v>
      </c>
      <c r="N433" s="797">
        <f>'Приложение 2'!E435</f>
        <v>1963596.8</v>
      </c>
      <c r="O433" s="797">
        <v>0</v>
      </c>
      <c r="P433" s="797">
        <v>0</v>
      </c>
      <c r="Q433" s="797">
        <v>0</v>
      </c>
      <c r="R433" s="797">
        <f t="shared" si="85"/>
        <v>1963596.8</v>
      </c>
      <c r="S433" s="797">
        <f t="shared" si="86"/>
        <v>984.20971379880712</v>
      </c>
      <c r="T433" s="797">
        <f>3090099.49*'[2]Приложение 2'!G436/'[2]Приложение 1'!K433</f>
        <v>1548.8444138138441</v>
      </c>
      <c r="U433" s="132" t="s">
        <v>589</v>
      </c>
      <c r="V433" s="144">
        <f t="shared" si="87"/>
        <v>564.63470001503697</v>
      </c>
      <c r="W433" s="119"/>
    </row>
    <row r="434" spans="1:23" ht="9" customHeight="1">
      <c r="A434" s="794">
        <v>73</v>
      </c>
      <c r="B434" s="531" t="s">
        <v>549</v>
      </c>
      <c r="C434" s="532" t="s">
        <v>1192</v>
      </c>
      <c r="D434" s="533" t="s">
        <v>110</v>
      </c>
      <c r="E434" s="534">
        <v>1975</v>
      </c>
      <c r="F434" s="141"/>
      <c r="G434" s="535" t="s">
        <v>88</v>
      </c>
      <c r="H434" s="536">
        <v>9</v>
      </c>
      <c r="I434" s="536">
        <v>1</v>
      </c>
      <c r="J434" s="537">
        <v>2265.6</v>
      </c>
      <c r="K434" s="537">
        <v>2012.6</v>
      </c>
      <c r="L434" s="537">
        <v>119</v>
      </c>
      <c r="M434" s="536">
        <v>96</v>
      </c>
      <c r="N434" s="797">
        <f>'Приложение 2'!E436</f>
        <v>1332599.8</v>
      </c>
      <c r="O434" s="797">
        <v>0</v>
      </c>
      <c r="P434" s="797">
        <v>0</v>
      </c>
      <c r="Q434" s="797">
        <v>0</v>
      </c>
      <c r="R434" s="797">
        <f t="shared" si="85"/>
        <v>1332599.8</v>
      </c>
      <c r="S434" s="797">
        <f t="shared" si="86"/>
        <v>662.12849050978843</v>
      </c>
      <c r="T434" s="797">
        <v>4180</v>
      </c>
      <c r="U434" s="132" t="s">
        <v>589</v>
      </c>
      <c r="V434" s="144">
        <f t="shared" si="87"/>
        <v>3517.8715094902118</v>
      </c>
      <c r="W434" s="119"/>
    </row>
    <row r="435" spans="1:23" ht="9" customHeight="1">
      <c r="A435" s="794">
        <v>74</v>
      </c>
      <c r="B435" s="531" t="s">
        <v>550</v>
      </c>
      <c r="C435" s="532" t="s">
        <v>1192</v>
      </c>
      <c r="D435" s="533" t="s">
        <v>110</v>
      </c>
      <c r="E435" s="534">
        <v>1967</v>
      </c>
      <c r="F435" s="141"/>
      <c r="G435" s="535" t="s">
        <v>88</v>
      </c>
      <c r="H435" s="536">
        <v>5</v>
      </c>
      <c r="I435" s="536">
        <v>4</v>
      </c>
      <c r="J435" s="537">
        <v>2914.2</v>
      </c>
      <c r="K435" s="537">
        <v>2576.9</v>
      </c>
      <c r="L435" s="537">
        <v>2576.9</v>
      </c>
      <c r="M435" s="535">
        <v>121</v>
      </c>
      <c r="N435" s="797">
        <f>'Приложение 2'!E437</f>
        <v>2800560</v>
      </c>
      <c r="O435" s="797">
        <v>0</v>
      </c>
      <c r="P435" s="797">
        <v>0</v>
      </c>
      <c r="Q435" s="797">
        <v>0</v>
      </c>
      <c r="R435" s="797">
        <f t="shared" si="85"/>
        <v>2800560</v>
      </c>
      <c r="S435" s="797">
        <f t="shared" si="86"/>
        <v>1086.7942100974037</v>
      </c>
      <c r="T435" s="797">
        <v>4180</v>
      </c>
      <c r="U435" s="132" t="s">
        <v>589</v>
      </c>
      <c r="V435" s="144">
        <f t="shared" si="87"/>
        <v>3093.2057899025963</v>
      </c>
      <c r="W435" s="119"/>
    </row>
    <row r="436" spans="1:23" ht="9" customHeight="1">
      <c r="A436" s="794">
        <v>75</v>
      </c>
      <c r="B436" s="531" t="s">
        <v>551</v>
      </c>
      <c r="C436" s="532" t="s">
        <v>1192</v>
      </c>
      <c r="D436" s="533" t="s">
        <v>110</v>
      </c>
      <c r="E436" s="534">
        <v>1965</v>
      </c>
      <c r="F436" s="141"/>
      <c r="G436" s="535" t="s">
        <v>90</v>
      </c>
      <c r="H436" s="536">
        <v>5</v>
      </c>
      <c r="I436" s="536">
        <v>4</v>
      </c>
      <c r="J436" s="537">
        <v>3871.3</v>
      </c>
      <c r="K436" s="537">
        <v>3568.3</v>
      </c>
      <c r="L436" s="537">
        <v>590</v>
      </c>
      <c r="M436" s="536">
        <v>177</v>
      </c>
      <c r="N436" s="797">
        <f>'Приложение 2'!E438</f>
        <v>3253984</v>
      </c>
      <c r="O436" s="797">
        <v>0</v>
      </c>
      <c r="P436" s="797">
        <v>0</v>
      </c>
      <c r="Q436" s="797">
        <v>0</v>
      </c>
      <c r="R436" s="797">
        <f t="shared" si="85"/>
        <v>3253984</v>
      </c>
      <c r="S436" s="797">
        <f t="shared" si="86"/>
        <v>911.91435697671159</v>
      </c>
      <c r="T436" s="797">
        <v>4180</v>
      </c>
      <c r="U436" s="132" t="s">
        <v>589</v>
      </c>
      <c r="V436" s="144">
        <f t="shared" si="87"/>
        <v>3268.0856430232884</v>
      </c>
      <c r="W436" s="119"/>
    </row>
    <row r="437" spans="1:23" ht="9" customHeight="1">
      <c r="A437" s="794">
        <v>76</v>
      </c>
      <c r="B437" s="531" t="s">
        <v>552</v>
      </c>
      <c r="C437" s="532" t="s">
        <v>1192</v>
      </c>
      <c r="D437" s="533" t="s">
        <v>111</v>
      </c>
      <c r="E437" s="534">
        <v>1954</v>
      </c>
      <c r="F437" s="141"/>
      <c r="G437" s="535" t="s">
        <v>88</v>
      </c>
      <c r="H437" s="536">
        <v>4</v>
      </c>
      <c r="I437" s="536">
        <v>4</v>
      </c>
      <c r="J437" s="537">
        <v>4353.3</v>
      </c>
      <c r="K437" s="537">
        <f>3291.4+655.3</f>
        <v>3946.7</v>
      </c>
      <c r="L437" s="537">
        <v>3291.4</v>
      </c>
      <c r="M437" s="536">
        <v>81</v>
      </c>
      <c r="N437" s="797">
        <f>'Приложение 2'!E439</f>
        <v>4598748</v>
      </c>
      <c r="O437" s="797">
        <v>0</v>
      </c>
      <c r="P437" s="797">
        <v>0</v>
      </c>
      <c r="Q437" s="797">
        <v>0</v>
      </c>
      <c r="R437" s="797">
        <f t="shared" si="85"/>
        <v>4598748</v>
      </c>
      <c r="S437" s="797">
        <f t="shared" si="86"/>
        <v>1165.2134694808321</v>
      </c>
      <c r="T437" s="797">
        <v>4503.95</v>
      </c>
      <c r="U437" s="132" t="s">
        <v>589</v>
      </c>
      <c r="V437" s="144">
        <f t="shared" si="87"/>
        <v>3338.7365305191679</v>
      </c>
      <c r="W437" s="119"/>
    </row>
    <row r="438" spans="1:23" ht="9" customHeight="1">
      <c r="A438" s="794">
        <v>77</v>
      </c>
      <c r="B438" s="531" t="s">
        <v>553</v>
      </c>
      <c r="C438" s="532" t="s">
        <v>1192</v>
      </c>
      <c r="D438" s="533" t="s">
        <v>110</v>
      </c>
      <c r="E438" s="534">
        <v>1968</v>
      </c>
      <c r="F438" s="141"/>
      <c r="G438" s="535" t="s">
        <v>88</v>
      </c>
      <c r="H438" s="536">
        <v>5</v>
      </c>
      <c r="I438" s="536">
        <v>1</v>
      </c>
      <c r="J438" s="537">
        <v>3852.3</v>
      </c>
      <c r="K438" s="537">
        <v>2555</v>
      </c>
      <c r="L438" s="537">
        <v>162</v>
      </c>
      <c r="M438" s="536">
        <v>10</v>
      </c>
      <c r="N438" s="797">
        <f>'Приложение 2'!E440</f>
        <v>3690738</v>
      </c>
      <c r="O438" s="797">
        <v>0</v>
      </c>
      <c r="P438" s="797">
        <v>0</v>
      </c>
      <c r="Q438" s="797">
        <v>0</v>
      </c>
      <c r="R438" s="797">
        <f t="shared" si="85"/>
        <v>3690738</v>
      </c>
      <c r="S438" s="797">
        <f t="shared" si="86"/>
        <v>1444.5158512720157</v>
      </c>
      <c r="T438" s="797">
        <v>4180</v>
      </c>
      <c r="U438" s="132" t="s">
        <v>589</v>
      </c>
      <c r="V438" s="144">
        <f t="shared" si="87"/>
        <v>2735.4841487279846</v>
      </c>
      <c r="W438" s="119"/>
    </row>
    <row r="439" spans="1:23" ht="9" customHeight="1">
      <c r="A439" s="794">
        <v>78</v>
      </c>
      <c r="B439" s="531" t="s">
        <v>554</v>
      </c>
      <c r="C439" s="532" t="s">
        <v>1192</v>
      </c>
      <c r="D439" s="533" t="s">
        <v>110</v>
      </c>
      <c r="E439" s="534">
        <v>1976</v>
      </c>
      <c r="F439" s="141"/>
      <c r="G439" s="535" t="s">
        <v>90</v>
      </c>
      <c r="H439" s="536">
        <v>5</v>
      </c>
      <c r="I439" s="536">
        <v>4</v>
      </c>
      <c r="J439" s="537">
        <v>4195.7</v>
      </c>
      <c r="K439" s="537">
        <f>3173.7+732</f>
        <v>3905.7</v>
      </c>
      <c r="L439" s="537">
        <v>3173.7</v>
      </c>
      <c r="M439" s="535">
        <v>146</v>
      </c>
      <c r="N439" s="797">
        <f>'Приложение 2'!E441</f>
        <v>2890578</v>
      </c>
      <c r="O439" s="797">
        <v>0</v>
      </c>
      <c r="P439" s="797">
        <v>0</v>
      </c>
      <c r="Q439" s="797">
        <v>0</v>
      </c>
      <c r="R439" s="797">
        <f t="shared" si="85"/>
        <v>2890578</v>
      </c>
      <c r="S439" s="797">
        <f t="shared" si="86"/>
        <v>740.09217297795533</v>
      </c>
      <c r="T439" s="797">
        <v>4180</v>
      </c>
      <c r="U439" s="132" t="s">
        <v>589</v>
      </c>
      <c r="V439" s="144">
        <f t="shared" si="87"/>
        <v>3439.9078270220448</v>
      </c>
      <c r="W439" s="119"/>
    </row>
    <row r="440" spans="1:23" ht="9" customHeight="1">
      <c r="A440" s="794">
        <v>79</v>
      </c>
      <c r="B440" s="531" t="s">
        <v>555</v>
      </c>
      <c r="C440" s="532" t="s">
        <v>1192</v>
      </c>
      <c r="D440" s="533" t="s">
        <v>110</v>
      </c>
      <c r="E440" s="534">
        <v>1971</v>
      </c>
      <c r="F440" s="141"/>
      <c r="G440" s="535" t="s">
        <v>90</v>
      </c>
      <c r="H440" s="536">
        <v>5</v>
      </c>
      <c r="I440" s="536">
        <v>2</v>
      </c>
      <c r="J440" s="537">
        <v>2423.1</v>
      </c>
      <c r="K440" s="537">
        <v>1413.7</v>
      </c>
      <c r="L440" s="537">
        <v>1413.7</v>
      </c>
      <c r="M440" s="535">
        <v>157</v>
      </c>
      <c r="N440" s="797">
        <f>'Приложение 2'!E442</f>
        <v>2077082</v>
      </c>
      <c r="O440" s="797">
        <v>0</v>
      </c>
      <c r="P440" s="797">
        <v>0</v>
      </c>
      <c r="Q440" s="797">
        <v>0</v>
      </c>
      <c r="R440" s="797">
        <f t="shared" si="85"/>
        <v>2077082</v>
      </c>
      <c r="S440" s="797">
        <f t="shared" si="86"/>
        <v>1469.2523166159722</v>
      </c>
      <c r="T440" s="797">
        <v>4180</v>
      </c>
      <c r="U440" s="132" t="s">
        <v>589</v>
      </c>
      <c r="V440" s="144">
        <f t="shared" si="87"/>
        <v>2710.7476833840278</v>
      </c>
      <c r="W440" s="119"/>
    </row>
    <row r="441" spans="1:23" ht="9" customHeight="1">
      <c r="A441" s="794">
        <v>80</v>
      </c>
      <c r="B441" s="531" t="s">
        <v>556</v>
      </c>
      <c r="C441" s="532" t="s">
        <v>1192</v>
      </c>
      <c r="D441" s="533" t="s">
        <v>110</v>
      </c>
      <c r="E441" s="534">
        <v>1972</v>
      </c>
      <c r="F441" s="141"/>
      <c r="G441" s="535" t="s">
        <v>88</v>
      </c>
      <c r="H441" s="536">
        <v>5</v>
      </c>
      <c r="I441" s="536">
        <v>8</v>
      </c>
      <c r="J441" s="537">
        <v>6335.34</v>
      </c>
      <c r="K441" s="537">
        <v>5665.74</v>
      </c>
      <c r="L441" s="537">
        <v>5665.74</v>
      </c>
      <c r="M441" s="535">
        <v>236</v>
      </c>
      <c r="N441" s="797">
        <f>'Приложение 2'!E443</f>
        <v>6001200</v>
      </c>
      <c r="O441" s="797">
        <v>0</v>
      </c>
      <c r="P441" s="797">
        <v>0</v>
      </c>
      <c r="Q441" s="797">
        <v>0</v>
      </c>
      <c r="R441" s="797">
        <f t="shared" si="85"/>
        <v>6001200</v>
      </c>
      <c r="S441" s="797">
        <f t="shared" si="86"/>
        <v>1059.2085058615469</v>
      </c>
      <c r="T441" s="797">
        <v>4180</v>
      </c>
      <c r="U441" s="132" t="s">
        <v>589</v>
      </c>
      <c r="V441" s="144">
        <f t="shared" si="87"/>
        <v>3120.7914941384533</v>
      </c>
      <c r="W441" s="119"/>
    </row>
    <row r="442" spans="1:23" ht="9" customHeight="1">
      <c r="A442" s="794">
        <v>81</v>
      </c>
      <c r="B442" s="531" t="s">
        <v>557</v>
      </c>
      <c r="C442" s="532" t="s">
        <v>1192</v>
      </c>
      <c r="D442" s="533" t="s">
        <v>110</v>
      </c>
      <c r="E442" s="534">
        <v>1985</v>
      </c>
      <c r="F442" s="141"/>
      <c r="G442" s="535" t="s">
        <v>88</v>
      </c>
      <c r="H442" s="536">
        <v>5</v>
      </c>
      <c r="I442" s="536">
        <v>2</v>
      </c>
      <c r="J442" s="537">
        <v>1609.2</v>
      </c>
      <c r="K442" s="537">
        <v>1494.3</v>
      </c>
      <c r="L442" s="537">
        <v>1271</v>
      </c>
      <c r="M442" s="536">
        <v>68</v>
      </c>
      <c r="N442" s="797">
        <f>'Приложение 2'!E444</f>
        <v>1500300</v>
      </c>
      <c r="O442" s="797">
        <v>0</v>
      </c>
      <c r="P442" s="797">
        <v>0</v>
      </c>
      <c r="Q442" s="797">
        <v>0</v>
      </c>
      <c r="R442" s="797">
        <f t="shared" si="85"/>
        <v>1500300</v>
      </c>
      <c r="S442" s="797">
        <f t="shared" si="86"/>
        <v>1004.0152579803253</v>
      </c>
      <c r="T442" s="797">
        <v>4180</v>
      </c>
      <c r="U442" s="132" t="s">
        <v>589</v>
      </c>
      <c r="V442" s="144">
        <f t="shared" si="87"/>
        <v>3175.9847420196747</v>
      </c>
      <c r="W442" s="119"/>
    </row>
    <row r="443" spans="1:23" ht="9" customHeight="1">
      <c r="A443" s="794">
        <v>82</v>
      </c>
      <c r="B443" s="531" t="s">
        <v>558</v>
      </c>
      <c r="C443" s="532" t="s">
        <v>1192</v>
      </c>
      <c r="D443" s="533" t="s">
        <v>110</v>
      </c>
      <c r="E443" s="534">
        <v>1972</v>
      </c>
      <c r="F443" s="141"/>
      <c r="G443" s="535" t="s">
        <v>90</v>
      </c>
      <c r="H443" s="536">
        <v>5</v>
      </c>
      <c r="I443" s="536">
        <v>8</v>
      </c>
      <c r="J443" s="537">
        <v>6103.9</v>
      </c>
      <c r="K443" s="537">
        <v>5585.9</v>
      </c>
      <c r="L443" s="537">
        <v>5585.9</v>
      </c>
      <c r="M443" s="535">
        <v>246</v>
      </c>
      <c r="N443" s="797">
        <f>'Приложение 2'!E445</f>
        <v>5084350</v>
      </c>
      <c r="O443" s="797">
        <v>0</v>
      </c>
      <c r="P443" s="797">
        <v>0</v>
      </c>
      <c r="Q443" s="797">
        <v>0</v>
      </c>
      <c r="R443" s="797">
        <f t="shared" si="85"/>
        <v>5084350</v>
      </c>
      <c r="S443" s="797">
        <f t="shared" si="86"/>
        <v>910.2114251955818</v>
      </c>
      <c r="T443" s="797">
        <v>4180</v>
      </c>
      <c r="U443" s="132" t="s">
        <v>589</v>
      </c>
      <c r="V443" s="144">
        <f t="shared" si="87"/>
        <v>3269.7885748044182</v>
      </c>
      <c r="W443" s="119"/>
    </row>
    <row r="444" spans="1:23" ht="9" customHeight="1">
      <c r="A444" s="794">
        <v>83</v>
      </c>
      <c r="B444" s="531" t="s">
        <v>559</v>
      </c>
      <c r="C444" s="532" t="s">
        <v>1192</v>
      </c>
      <c r="D444" s="533" t="s">
        <v>110</v>
      </c>
      <c r="E444" s="534">
        <v>1972</v>
      </c>
      <c r="F444" s="141"/>
      <c r="G444" s="535" t="s">
        <v>90</v>
      </c>
      <c r="H444" s="536">
        <v>5</v>
      </c>
      <c r="I444" s="536">
        <v>8</v>
      </c>
      <c r="J444" s="537">
        <v>5972.3</v>
      </c>
      <c r="K444" s="537">
        <v>5312.7</v>
      </c>
      <c r="L444" s="537">
        <v>5312.7</v>
      </c>
      <c r="M444" s="535">
        <v>239</v>
      </c>
      <c r="N444" s="797">
        <f>'Приложение 2'!E446</f>
        <v>5961192</v>
      </c>
      <c r="O444" s="797">
        <v>0</v>
      </c>
      <c r="P444" s="797">
        <v>0</v>
      </c>
      <c r="Q444" s="797">
        <v>0</v>
      </c>
      <c r="R444" s="797">
        <f t="shared" si="85"/>
        <v>5961192</v>
      </c>
      <c r="S444" s="797">
        <f t="shared" si="86"/>
        <v>1122.0644869840194</v>
      </c>
      <c r="T444" s="797">
        <v>4180</v>
      </c>
      <c r="U444" s="132" t="s">
        <v>589</v>
      </c>
      <c r="V444" s="144">
        <f t="shared" si="87"/>
        <v>3057.9355130159806</v>
      </c>
      <c r="W444" s="119"/>
    </row>
    <row r="445" spans="1:23" ht="9" customHeight="1">
      <c r="A445" s="794">
        <v>84</v>
      </c>
      <c r="B445" s="531" t="s">
        <v>560</v>
      </c>
      <c r="C445" s="532" t="s">
        <v>1192</v>
      </c>
      <c r="D445" s="533" t="s">
        <v>111</v>
      </c>
      <c r="E445" s="534">
        <v>1959</v>
      </c>
      <c r="F445" s="141"/>
      <c r="G445" s="535" t="s">
        <v>88</v>
      </c>
      <c r="H445" s="536">
        <v>4</v>
      </c>
      <c r="I445" s="536">
        <v>3</v>
      </c>
      <c r="J445" s="537">
        <v>2176.9</v>
      </c>
      <c r="K445" s="537">
        <f>1732+251.3</f>
        <v>1983.3</v>
      </c>
      <c r="L445" s="537">
        <v>1732</v>
      </c>
      <c r="M445" s="536">
        <v>76</v>
      </c>
      <c r="N445" s="797">
        <f>'Приложение 2'!E447</f>
        <v>2891196</v>
      </c>
      <c r="O445" s="797">
        <v>0</v>
      </c>
      <c r="P445" s="797">
        <v>0</v>
      </c>
      <c r="Q445" s="797">
        <v>0</v>
      </c>
      <c r="R445" s="797">
        <f t="shared" si="85"/>
        <v>2891196</v>
      </c>
      <c r="S445" s="797">
        <f t="shared" si="86"/>
        <v>1457.7703826955076</v>
      </c>
      <c r="T445" s="797">
        <v>4503.95</v>
      </c>
      <c r="U445" s="132" t="s">
        <v>589</v>
      </c>
      <c r="V445" s="144">
        <f t="shared" si="87"/>
        <v>3046.1796173044922</v>
      </c>
      <c r="W445" s="119"/>
    </row>
    <row r="446" spans="1:23" ht="9" customHeight="1">
      <c r="A446" s="794">
        <v>85</v>
      </c>
      <c r="B446" s="531" t="s">
        <v>561</v>
      </c>
      <c r="C446" s="532" t="s">
        <v>1192</v>
      </c>
      <c r="D446" s="533" t="s">
        <v>111</v>
      </c>
      <c r="E446" s="534">
        <v>1959</v>
      </c>
      <c r="F446" s="141"/>
      <c r="G446" s="535" t="s">
        <v>88</v>
      </c>
      <c r="H446" s="536">
        <v>4</v>
      </c>
      <c r="I446" s="536">
        <v>6</v>
      </c>
      <c r="J446" s="537">
        <v>7390.3</v>
      </c>
      <c r="K446" s="537">
        <v>6737.3</v>
      </c>
      <c r="L446" s="537">
        <v>5152.1000000000004</v>
      </c>
      <c r="M446" s="536">
        <v>171</v>
      </c>
      <c r="N446" s="797">
        <f>'Приложение 2'!E448</f>
        <v>21150360</v>
      </c>
      <c r="O446" s="797">
        <v>0</v>
      </c>
      <c r="P446" s="797">
        <v>0</v>
      </c>
      <c r="Q446" s="797">
        <v>0</v>
      </c>
      <c r="R446" s="797">
        <f t="shared" si="85"/>
        <v>21150360</v>
      </c>
      <c r="S446" s="797">
        <f t="shared" si="86"/>
        <v>3139.2931886660826</v>
      </c>
      <c r="T446" s="797">
        <v>4503.95</v>
      </c>
      <c r="U446" s="132" t="s">
        <v>589</v>
      </c>
      <c r="V446" s="144">
        <f t="shared" si="87"/>
        <v>1364.6568113339172</v>
      </c>
      <c r="W446" s="119"/>
    </row>
    <row r="447" spans="1:23" ht="9" customHeight="1">
      <c r="A447" s="794">
        <v>86</v>
      </c>
      <c r="B447" s="531" t="s">
        <v>562</v>
      </c>
      <c r="C447" s="532" t="s">
        <v>1192</v>
      </c>
      <c r="D447" s="533" t="s">
        <v>110</v>
      </c>
      <c r="E447" s="534">
        <v>1965</v>
      </c>
      <c r="F447" s="141"/>
      <c r="G447" s="535" t="s">
        <v>88</v>
      </c>
      <c r="H447" s="536">
        <v>5</v>
      </c>
      <c r="I447" s="536">
        <v>4</v>
      </c>
      <c r="J447" s="537">
        <v>3418.3</v>
      </c>
      <c r="K447" s="537">
        <v>3090.2</v>
      </c>
      <c r="L447" s="537">
        <v>3090.2</v>
      </c>
      <c r="M447" s="536">
        <v>20</v>
      </c>
      <c r="N447" s="797">
        <f>'Приложение 2'!E449</f>
        <v>3000600</v>
      </c>
      <c r="O447" s="797">
        <v>0</v>
      </c>
      <c r="P447" s="797">
        <v>0</v>
      </c>
      <c r="Q447" s="797">
        <v>0</v>
      </c>
      <c r="R447" s="797">
        <f t="shared" si="85"/>
        <v>3000600</v>
      </c>
      <c r="S447" s="797">
        <f t="shared" si="86"/>
        <v>971.00511293767397</v>
      </c>
      <c r="T447" s="797">
        <v>4180</v>
      </c>
      <c r="U447" s="132" t="s">
        <v>589</v>
      </c>
      <c r="V447" s="144">
        <f t="shared" si="87"/>
        <v>3208.9948870623261</v>
      </c>
      <c r="W447" s="119"/>
    </row>
    <row r="448" spans="1:23" ht="9" customHeight="1">
      <c r="A448" s="794">
        <v>87</v>
      </c>
      <c r="B448" s="531" t="s">
        <v>563</v>
      </c>
      <c r="C448" s="532" t="s">
        <v>1192</v>
      </c>
      <c r="D448" s="533" t="s">
        <v>110</v>
      </c>
      <c r="E448" s="534">
        <v>1981</v>
      </c>
      <c r="F448" s="141"/>
      <c r="G448" s="535" t="s">
        <v>90</v>
      </c>
      <c r="H448" s="536">
        <v>5</v>
      </c>
      <c r="I448" s="536">
        <v>8</v>
      </c>
      <c r="J448" s="537">
        <v>6303.1</v>
      </c>
      <c r="K448" s="537">
        <v>5550.1</v>
      </c>
      <c r="L448" s="537">
        <v>5550.1</v>
      </c>
      <c r="M448" s="536">
        <v>82</v>
      </c>
      <c r="N448" s="797">
        <f>'Приложение 2'!E450</f>
        <v>2080416</v>
      </c>
      <c r="O448" s="797">
        <v>0</v>
      </c>
      <c r="P448" s="797">
        <v>0</v>
      </c>
      <c r="Q448" s="797">
        <v>0</v>
      </c>
      <c r="R448" s="797">
        <f t="shared" si="85"/>
        <v>2080416</v>
      </c>
      <c r="S448" s="797">
        <f t="shared" si="86"/>
        <v>374.84297580223779</v>
      </c>
      <c r="T448" s="797">
        <v>4180</v>
      </c>
      <c r="U448" s="132" t="s">
        <v>589</v>
      </c>
      <c r="V448" s="144">
        <f t="shared" si="87"/>
        <v>3805.1570241977624</v>
      </c>
      <c r="W448" s="119"/>
    </row>
    <row r="449" spans="1:23" ht="9" customHeight="1">
      <c r="A449" s="794">
        <v>88</v>
      </c>
      <c r="B449" s="531" t="s">
        <v>564</v>
      </c>
      <c r="C449" s="532" t="s">
        <v>1192</v>
      </c>
      <c r="D449" s="533" t="s">
        <v>110</v>
      </c>
      <c r="E449" s="534">
        <v>1980</v>
      </c>
      <c r="F449" s="141"/>
      <c r="G449" s="535" t="s">
        <v>90</v>
      </c>
      <c r="H449" s="536">
        <v>5</v>
      </c>
      <c r="I449" s="536">
        <v>5</v>
      </c>
      <c r="J449" s="537">
        <v>4044.3</v>
      </c>
      <c r="K449" s="537">
        <v>3647.4</v>
      </c>
      <c r="L449" s="537">
        <v>3647.4</v>
      </c>
      <c r="M449" s="536">
        <v>96</v>
      </c>
      <c r="N449" s="797">
        <f>'Приложение 2'!E451</f>
        <v>3323998</v>
      </c>
      <c r="O449" s="797">
        <v>0</v>
      </c>
      <c r="P449" s="797">
        <v>0</v>
      </c>
      <c r="Q449" s="797">
        <v>0</v>
      </c>
      <c r="R449" s="797">
        <f t="shared" si="85"/>
        <v>3323998</v>
      </c>
      <c r="S449" s="797">
        <f t="shared" si="86"/>
        <v>911.33355266765363</v>
      </c>
      <c r="T449" s="797">
        <v>4180</v>
      </c>
      <c r="U449" s="132" t="s">
        <v>589</v>
      </c>
      <c r="V449" s="144">
        <f t="shared" si="87"/>
        <v>3268.6664473323463</v>
      </c>
      <c r="W449" s="119"/>
    </row>
    <row r="450" spans="1:23" ht="9" customHeight="1">
      <c r="A450" s="794">
        <v>89</v>
      </c>
      <c r="B450" s="531" t="s">
        <v>565</v>
      </c>
      <c r="C450" s="532" t="s">
        <v>1192</v>
      </c>
      <c r="D450" s="533" t="s">
        <v>110</v>
      </c>
      <c r="E450" s="534">
        <v>1984</v>
      </c>
      <c r="F450" s="141"/>
      <c r="G450" s="535" t="s">
        <v>90</v>
      </c>
      <c r="H450" s="536">
        <v>5</v>
      </c>
      <c r="I450" s="536">
        <v>10</v>
      </c>
      <c r="J450" s="537">
        <v>8455.9</v>
      </c>
      <c r="K450" s="537">
        <v>7184.9</v>
      </c>
      <c r="L450" s="537">
        <v>7184.9</v>
      </c>
      <c r="M450" s="536">
        <v>102</v>
      </c>
      <c r="N450" s="797">
        <f>'Приложение 2'!E452</f>
        <v>7068080</v>
      </c>
      <c r="O450" s="797">
        <v>0</v>
      </c>
      <c r="P450" s="797">
        <v>0</v>
      </c>
      <c r="Q450" s="797">
        <v>0</v>
      </c>
      <c r="R450" s="797">
        <f t="shared" si="85"/>
        <v>7068080</v>
      </c>
      <c r="S450" s="797">
        <f t="shared" si="86"/>
        <v>983.7409010563822</v>
      </c>
      <c r="T450" s="797">
        <v>4180</v>
      </c>
      <c r="U450" s="132" t="s">
        <v>589</v>
      </c>
      <c r="V450" s="144">
        <f t="shared" si="87"/>
        <v>3196.2590989436176</v>
      </c>
      <c r="W450" s="119"/>
    </row>
    <row r="451" spans="1:23" ht="9" customHeight="1">
      <c r="A451" s="794">
        <v>90</v>
      </c>
      <c r="B451" s="531" t="s">
        <v>566</v>
      </c>
      <c r="C451" s="532" t="s">
        <v>1192</v>
      </c>
      <c r="D451" s="533" t="s">
        <v>110</v>
      </c>
      <c r="E451" s="534">
        <v>1983</v>
      </c>
      <c r="F451" s="141"/>
      <c r="G451" s="535" t="s">
        <v>90</v>
      </c>
      <c r="H451" s="536">
        <v>5</v>
      </c>
      <c r="I451" s="536">
        <v>5</v>
      </c>
      <c r="J451" s="537">
        <v>3934.9</v>
      </c>
      <c r="K451" s="537">
        <v>3562.4</v>
      </c>
      <c r="L451" s="537">
        <v>3562.4</v>
      </c>
      <c r="M451" s="535">
        <v>183</v>
      </c>
      <c r="N451" s="797">
        <f>'Приложение 2'!E453</f>
        <v>4247516</v>
      </c>
      <c r="O451" s="797">
        <v>0</v>
      </c>
      <c r="P451" s="797">
        <v>0</v>
      </c>
      <c r="Q451" s="797">
        <v>0</v>
      </c>
      <c r="R451" s="797">
        <f t="shared" si="85"/>
        <v>4247516</v>
      </c>
      <c r="S451" s="797">
        <f t="shared" si="86"/>
        <v>1192.3186615764653</v>
      </c>
      <c r="T451" s="797">
        <v>4180</v>
      </c>
      <c r="U451" s="132" t="s">
        <v>589</v>
      </c>
      <c r="V451" s="144">
        <f t="shared" si="87"/>
        <v>2987.6813384235347</v>
      </c>
      <c r="W451" s="119"/>
    </row>
    <row r="452" spans="1:23" ht="9" customHeight="1">
      <c r="A452" s="794">
        <v>91</v>
      </c>
      <c r="B452" s="531" t="s">
        <v>567</v>
      </c>
      <c r="C452" s="532" t="s">
        <v>1192</v>
      </c>
      <c r="D452" s="533" t="s">
        <v>110</v>
      </c>
      <c r="E452" s="534">
        <v>1977</v>
      </c>
      <c r="F452" s="141"/>
      <c r="G452" s="535" t="s">
        <v>90</v>
      </c>
      <c r="H452" s="536">
        <v>5</v>
      </c>
      <c r="I452" s="536">
        <v>4</v>
      </c>
      <c r="J452" s="537">
        <v>3684.9</v>
      </c>
      <c r="K452" s="537">
        <v>3043.3</v>
      </c>
      <c r="L452" s="537">
        <v>3043.3</v>
      </c>
      <c r="M452" s="536">
        <v>19</v>
      </c>
      <c r="N452" s="797">
        <f>'Приложение 2'!E454</f>
        <v>3040608</v>
      </c>
      <c r="O452" s="797">
        <v>0</v>
      </c>
      <c r="P452" s="797">
        <v>0</v>
      </c>
      <c r="Q452" s="797">
        <v>0</v>
      </c>
      <c r="R452" s="797">
        <f t="shared" si="85"/>
        <v>3040608</v>
      </c>
      <c r="S452" s="797">
        <f t="shared" si="86"/>
        <v>999.11543390398572</v>
      </c>
      <c r="T452" s="797">
        <v>4180</v>
      </c>
      <c r="U452" s="132" t="s">
        <v>589</v>
      </c>
      <c r="V452" s="144">
        <f t="shared" si="87"/>
        <v>3180.8845660960142</v>
      </c>
      <c r="W452" s="119"/>
    </row>
    <row r="453" spans="1:23" ht="9" customHeight="1">
      <c r="A453" s="794">
        <v>92</v>
      </c>
      <c r="B453" s="531" t="s">
        <v>568</v>
      </c>
      <c r="C453" s="532" t="s">
        <v>1192</v>
      </c>
      <c r="D453" s="533" t="s">
        <v>110</v>
      </c>
      <c r="E453" s="534">
        <v>1978</v>
      </c>
      <c r="F453" s="141"/>
      <c r="G453" s="535" t="s">
        <v>90</v>
      </c>
      <c r="H453" s="536">
        <v>5</v>
      </c>
      <c r="I453" s="536">
        <v>4</v>
      </c>
      <c r="J453" s="537">
        <v>3610.8</v>
      </c>
      <c r="K453" s="537">
        <v>3239.8</v>
      </c>
      <c r="L453" s="537">
        <v>3239.8</v>
      </c>
      <c r="M453" s="535">
        <v>163</v>
      </c>
      <c r="N453" s="797">
        <f>'Приложение 2'!E455</f>
        <v>3073948</v>
      </c>
      <c r="O453" s="797">
        <v>0</v>
      </c>
      <c r="P453" s="797">
        <v>0</v>
      </c>
      <c r="Q453" s="797">
        <v>0</v>
      </c>
      <c r="R453" s="797">
        <f t="shared" si="85"/>
        <v>3073948</v>
      </c>
      <c r="S453" s="797">
        <f t="shared" si="86"/>
        <v>948.80795110809299</v>
      </c>
      <c r="T453" s="797">
        <v>4180</v>
      </c>
      <c r="U453" s="132" t="s">
        <v>589</v>
      </c>
      <c r="V453" s="144">
        <f t="shared" si="87"/>
        <v>3231.1920488919068</v>
      </c>
      <c r="W453" s="119"/>
    </row>
    <row r="454" spans="1:23" ht="9" customHeight="1">
      <c r="A454" s="794">
        <v>93</v>
      </c>
      <c r="B454" s="531" t="s">
        <v>569</v>
      </c>
      <c r="C454" s="532" t="s">
        <v>1192</v>
      </c>
      <c r="D454" s="533" t="s">
        <v>111</v>
      </c>
      <c r="E454" s="534">
        <v>1964</v>
      </c>
      <c r="F454" s="141"/>
      <c r="G454" s="535" t="s">
        <v>88</v>
      </c>
      <c r="H454" s="536">
        <v>4</v>
      </c>
      <c r="I454" s="536">
        <v>2</v>
      </c>
      <c r="J454" s="537">
        <v>1399.76</v>
      </c>
      <c r="K454" s="537">
        <v>1307.76</v>
      </c>
      <c r="L454" s="537">
        <v>887</v>
      </c>
      <c r="M454" s="536">
        <v>37</v>
      </c>
      <c r="N454" s="797">
        <f>'Приложение 2'!E456</f>
        <v>3434125.45</v>
      </c>
      <c r="O454" s="797">
        <v>0</v>
      </c>
      <c r="P454" s="797">
        <v>0</v>
      </c>
      <c r="Q454" s="797">
        <v>0</v>
      </c>
      <c r="R454" s="797">
        <f t="shared" si="85"/>
        <v>3434125.45</v>
      </c>
      <c r="S454" s="797">
        <f>N454/K454</f>
        <v>2625.9600003058667</v>
      </c>
      <c r="T454" s="797">
        <f>4984.65+322.91</f>
        <v>5307.5599999999995</v>
      </c>
      <c r="U454" s="132" t="s">
        <v>589</v>
      </c>
      <c r="V454" s="144">
        <f t="shared" si="87"/>
        <v>2681.5999996941327</v>
      </c>
      <c r="W454" s="119"/>
    </row>
    <row r="455" spans="1:23" ht="9" customHeight="1">
      <c r="A455" s="794">
        <v>94</v>
      </c>
      <c r="B455" s="531" t="s">
        <v>570</v>
      </c>
      <c r="C455" s="532" t="s">
        <v>1192</v>
      </c>
      <c r="D455" s="533" t="s">
        <v>110</v>
      </c>
      <c r="E455" s="534">
        <v>1980</v>
      </c>
      <c r="F455" s="141"/>
      <c r="G455" s="535" t="s">
        <v>90</v>
      </c>
      <c r="H455" s="536">
        <v>5</v>
      </c>
      <c r="I455" s="536">
        <v>4</v>
      </c>
      <c r="J455" s="537">
        <v>3173.4</v>
      </c>
      <c r="K455" s="537">
        <v>2918</v>
      </c>
      <c r="L455" s="537">
        <v>894</v>
      </c>
      <c r="M455" s="536">
        <v>31</v>
      </c>
      <c r="N455" s="797">
        <f>'Приложение 2'!E457</f>
        <v>2697206</v>
      </c>
      <c r="O455" s="797">
        <v>0</v>
      </c>
      <c r="P455" s="797">
        <v>0</v>
      </c>
      <c r="Q455" s="797">
        <v>0</v>
      </c>
      <c r="R455" s="797">
        <f t="shared" si="85"/>
        <v>2697206</v>
      </c>
      <c r="S455" s="797">
        <f t="shared" si="86"/>
        <v>924.33379026730643</v>
      </c>
      <c r="T455" s="797">
        <v>4180</v>
      </c>
      <c r="U455" s="132" t="s">
        <v>589</v>
      </c>
      <c r="V455" s="144">
        <f t="shared" si="87"/>
        <v>3255.6662097326935</v>
      </c>
      <c r="W455" s="119"/>
    </row>
    <row r="456" spans="1:23" ht="9" customHeight="1">
      <c r="A456" s="794">
        <v>95</v>
      </c>
      <c r="B456" s="531" t="s">
        <v>571</v>
      </c>
      <c r="C456" s="532" t="s">
        <v>1192</v>
      </c>
      <c r="D456" s="533" t="s">
        <v>111</v>
      </c>
      <c r="E456" s="534">
        <v>1962</v>
      </c>
      <c r="F456" s="141"/>
      <c r="G456" s="535" t="s">
        <v>88</v>
      </c>
      <c r="H456" s="536">
        <v>5</v>
      </c>
      <c r="I456" s="536">
        <v>3</v>
      </c>
      <c r="J456" s="537">
        <v>2708</v>
      </c>
      <c r="K456" s="537">
        <v>2457.8000000000002</v>
      </c>
      <c r="L456" s="537">
        <v>2457.8000000000002</v>
      </c>
      <c r="M456" s="535">
        <v>113</v>
      </c>
      <c r="N456" s="797">
        <f>'Приложение 2'!E458</f>
        <v>2813580</v>
      </c>
      <c r="O456" s="797">
        <v>0</v>
      </c>
      <c r="P456" s="797">
        <v>0</v>
      </c>
      <c r="Q456" s="797">
        <v>0</v>
      </c>
      <c r="R456" s="797">
        <f t="shared" si="85"/>
        <v>2813580</v>
      </c>
      <c r="S456" s="797">
        <f t="shared" si="86"/>
        <v>1144.7554723736673</v>
      </c>
      <c r="T456" s="797">
        <v>4503.95</v>
      </c>
      <c r="U456" s="132" t="s">
        <v>589</v>
      </c>
      <c r="V456" s="144">
        <f t="shared" si="87"/>
        <v>3359.1945276263323</v>
      </c>
      <c r="W456" s="119"/>
    </row>
    <row r="457" spans="1:23" ht="9" customHeight="1">
      <c r="A457" s="794">
        <v>96</v>
      </c>
      <c r="B457" s="531" t="s">
        <v>572</v>
      </c>
      <c r="C457" s="532" t="s">
        <v>1192</v>
      </c>
      <c r="D457" s="533" t="s">
        <v>111</v>
      </c>
      <c r="E457" s="534">
        <v>1967</v>
      </c>
      <c r="F457" s="141"/>
      <c r="G457" s="535" t="s">
        <v>88</v>
      </c>
      <c r="H457" s="536">
        <v>5</v>
      </c>
      <c r="I457" s="536">
        <v>4</v>
      </c>
      <c r="J457" s="537">
        <v>3420</v>
      </c>
      <c r="K457" s="537">
        <v>3033.4</v>
      </c>
      <c r="L457" s="537">
        <v>3033.4</v>
      </c>
      <c r="M457" s="535">
        <v>161</v>
      </c>
      <c r="N457" s="797">
        <f>'Приложение 2'!E459</f>
        <v>3719100</v>
      </c>
      <c r="O457" s="797">
        <v>0</v>
      </c>
      <c r="P457" s="797">
        <v>0</v>
      </c>
      <c r="Q457" s="797">
        <v>0</v>
      </c>
      <c r="R457" s="797">
        <f t="shared" si="85"/>
        <v>3719100</v>
      </c>
      <c r="S457" s="797">
        <f t="shared" si="86"/>
        <v>1226.0499769235842</v>
      </c>
      <c r="T457" s="797">
        <v>4503.95</v>
      </c>
      <c r="U457" s="132" t="s">
        <v>589</v>
      </c>
      <c r="V457" s="144">
        <f t="shared" si="87"/>
        <v>3277.9000230764159</v>
      </c>
      <c r="W457" s="119"/>
    </row>
    <row r="458" spans="1:23" ht="9" customHeight="1">
      <c r="A458" s="794">
        <v>97</v>
      </c>
      <c r="B458" s="531" t="s">
        <v>573</v>
      </c>
      <c r="C458" s="532" t="s">
        <v>1192</v>
      </c>
      <c r="D458" s="533" t="s">
        <v>110</v>
      </c>
      <c r="E458" s="534">
        <v>1977</v>
      </c>
      <c r="F458" s="141"/>
      <c r="G458" s="535" t="s">
        <v>88</v>
      </c>
      <c r="H458" s="536">
        <v>5</v>
      </c>
      <c r="I458" s="536">
        <v>1</v>
      </c>
      <c r="J458" s="537">
        <v>5391.3</v>
      </c>
      <c r="K458" s="537">
        <v>2174.4</v>
      </c>
      <c r="L458" s="537">
        <v>2174.4</v>
      </c>
      <c r="M458" s="535">
        <v>261</v>
      </c>
      <c r="N458" s="797">
        <f>'Приложение 2'!E460</f>
        <v>3844102</v>
      </c>
      <c r="O458" s="797">
        <v>0</v>
      </c>
      <c r="P458" s="797">
        <v>0</v>
      </c>
      <c r="Q458" s="797">
        <v>0</v>
      </c>
      <c r="R458" s="797">
        <f t="shared" si="85"/>
        <v>3844102</v>
      </c>
      <c r="S458" s="797">
        <f t="shared" si="86"/>
        <v>1767.8909124356144</v>
      </c>
      <c r="T458" s="797">
        <v>4180</v>
      </c>
      <c r="U458" s="132" t="s">
        <v>589</v>
      </c>
      <c r="V458" s="144">
        <f t="shared" si="87"/>
        <v>2412.1090875643858</v>
      </c>
      <c r="W458" s="119"/>
    </row>
    <row r="459" spans="1:23" ht="9" customHeight="1">
      <c r="A459" s="794">
        <v>98</v>
      </c>
      <c r="B459" s="531" t="s">
        <v>574</v>
      </c>
      <c r="C459" s="532" t="s">
        <v>1192</v>
      </c>
      <c r="D459" s="533" t="s">
        <v>110</v>
      </c>
      <c r="E459" s="534">
        <v>1971</v>
      </c>
      <c r="F459" s="141"/>
      <c r="G459" s="535" t="s">
        <v>90</v>
      </c>
      <c r="H459" s="536">
        <v>5</v>
      </c>
      <c r="I459" s="536">
        <v>6</v>
      </c>
      <c r="J459" s="537">
        <v>6272.1</v>
      </c>
      <c r="K459" s="537">
        <v>5672.1</v>
      </c>
      <c r="L459" s="537">
        <v>642</v>
      </c>
      <c r="M459" s="536">
        <v>27</v>
      </c>
      <c r="N459" s="797">
        <f>'Приложение 2'!E461</f>
        <v>5764486</v>
      </c>
      <c r="O459" s="797">
        <v>0</v>
      </c>
      <c r="P459" s="797">
        <v>0</v>
      </c>
      <c r="Q459" s="797">
        <v>0</v>
      </c>
      <c r="R459" s="797">
        <f t="shared" si="85"/>
        <v>5764486</v>
      </c>
      <c r="S459" s="797">
        <f t="shared" si="86"/>
        <v>1016.2877946439589</v>
      </c>
      <c r="T459" s="797">
        <v>4180</v>
      </c>
      <c r="U459" s="132" t="s">
        <v>589</v>
      </c>
      <c r="V459" s="144">
        <f t="shared" si="87"/>
        <v>3163.7122053560411</v>
      </c>
      <c r="W459" s="119"/>
    </row>
    <row r="460" spans="1:23" ht="9" customHeight="1">
      <c r="A460" s="794">
        <v>99</v>
      </c>
      <c r="B460" s="531" t="s">
        <v>575</v>
      </c>
      <c r="C460" s="532" t="s">
        <v>1192</v>
      </c>
      <c r="D460" s="533" t="s">
        <v>110</v>
      </c>
      <c r="E460" s="534">
        <v>1974</v>
      </c>
      <c r="F460" s="141"/>
      <c r="G460" s="535" t="s">
        <v>90</v>
      </c>
      <c r="H460" s="536">
        <v>5</v>
      </c>
      <c r="I460" s="536">
        <v>8</v>
      </c>
      <c r="J460" s="537">
        <v>6099.5</v>
      </c>
      <c r="K460" s="537">
        <v>5603.5</v>
      </c>
      <c r="L460" s="537">
        <v>829</v>
      </c>
      <c r="M460" s="536">
        <v>41</v>
      </c>
      <c r="N460" s="797">
        <f>'Приложение 2'!E462</f>
        <v>5157698</v>
      </c>
      <c r="O460" s="797">
        <v>0</v>
      </c>
      <c r="P460" s="797">
        <v>0</v>
      </c>
      <c r="Q460" s="797">
        <v>0</v>
      </c>
      <c r="R460" s="797">
        <f t="shared" si="85"/>
        <v>5157698</v>
      </c>
      <c r="S460" s="797">
        <f t="shared" si="86"/>
        <v>920.44222361024356</v>
      </c>
      <c r="T460" s="797">
        <v>4180</v>
      </c>
      <c r="U460" s="132" t="s">
        <v>589</v>
      </c>
      <c r="V460" s="144">
        <f t="shared" si="87"/>
        <v>3259.5577763897563</v>
      </c>
      <c r="W460" s="119"/>
    </row>
    <row r="461" spans="1:23" ht="9" customHeight="1">
      <c r="A461" s="794">
        <v>100</v>
      </c>
      <c r="B461" s="531" t="s">
        <v>576</v>
      </c>
      <c r="C461" s="532" t="s">
        <v>1192</v>
      </c>
      <c r="D461" s="533" t="s">
        <v>110</v>
      </c>
      <c r="E461" s="534">
        <v>1975</v>
      </c>
      <c r="F461" s="141"/>
      <c r="G461" s="535" t="s">
        <v>90</v>
      </c>
      <c r="H461" s="536">
        <v>5</v>
      </c>
      <c r="I461" s="536">
        <v>8</v>
      </c>
      <c r="J461" s="537">
        <v>5968.3</v>
      </c>
      <c r="K461" s="537">
        <v>5464.8</v>
      </c>
      <c r="L461" s="537">
        <v>865</v>
      </c>
      <c r="M461" s="536">
        <v>29</v>
      </c>
      <c r="N461" s="797">
        <f>'Приложение 2'!E463</f>
        <v>5104354</v>
      </c>
      <c r="O461" s="797">
        <v>0</v>
      </c>
      <c r="P461" s="797">
        <v>0</v>
      </c>
      <c r="Q461" s="797">
        <v>0</v>
      </c>
      <c r="R461" s="797">
        <f t="shared" si="85"/>
        <v>5104354</v>
      </c>
      <c r="S461" s="797">
        <f t="shared" si="86"/>
        <v>934.04223393353823</v>
      </c>
      <c r="T461" s="797">
        <v>4180</v>
      </c>
      <c r="U461" s="132" t="s">
        <v>589</v>
      </c>
      <c r="V461" s="144">
        <f t="shared" si="87"/>
        <v>3245.9577660664618</v>
      </c>
      <c r="W461" s="119"/>
    </row>
    <row r="462" spans="1:23" ht="9" customHeight="1">
      <c r="A462" s="794">
        <v>101</v>
      </c>
      <c r="B462" s="531" t="s">
        <v>577</v>
      </c>
      <c r="C462" s="532" t="s">
        <v>1192</v>
      </c>
      <c r="D462" s="533" t="s">
        <v>110</v>
      </c>
      <c r="E462" s="534">
        <v>1977</v>
      </c>
      <c r="F462" s="141"/>
      <c r="G462" s="535" t="s">
        <v>88</v>
      </c>
      <c r="H462" s="536">
        <v>9</v>
      </c>
      <c r="I462" s="536">
        <v>1</v>
      </c>
      <c r="J462" s="537">
        <v>2143.6999999999998</v>
      </c>
      <c r="K462" s="537">
        <v>2024.9</v>
      </c>
      <c r="L462" s="537">
        <v>602</v>
      </c>
      <c r="M462" s="536">
        <v>32</v>
      </c>
      <c r="N462" s="797">
        <f>'Приложение 2'!E464</f>
        <v>1220244</v>
      </c>
      <c r="O462" s="797">
        <v>0</v>
      </c>
      <c r="P462" s="797">
        <v>0</v>
      </c>
      <c r="Q462" s="797">
        <v>0</v>
      </c>
      <c r="R462" s="797">
        <f t="shared" si="85"/>
        <v>1220244</v>
      </c>
      <c r="S462" s="797">
        <f t="shared" si="86"/>
        <v>602.61938861178328</v>
      </c>
      <c r="T462" s="797">
        <v>4180</v>
      </c>
      <c r="U462" s="132" t="s">
        <v>589</v>
      </c>
      <c r="V462" s="144">
        <f t="shared" si="87"/>
        <v>3577.3806113882165</v>
      </c>
      <c r="W462" s="119"/>
    </row>
    <row r="463" spans="1:23" ht="9" customHeight="1">
      <c r="A463" s="794">
        <v>102</v>
      </c>
      <c r="B463" s="531" t="s">
        <v>578</v>
      </c>
      <c r="C463" s="532" t="s">
        <v>1192</v>
      </c>
      <c r="D463" s="533" t="s">
        <v>110</v>
      </c>
      <c r="E463" s="534">
        <v>1979</v>
      </c>
      <c r="F463" s="141"/>
      <c r="G463" s="535" t="s">
        <v>88</v>
      </c>
      <c r="H463" s="536">
        <v>5</v>
      </c>
      <c r="I463" s="536">
        <v>14</v>
      </c>
      <c r="J463" s="537">
        <v>11645.3</v>
      </c>
      <c r="K463" s="537">
        <v>10031.799999999999</v>
      </c>
      <c r="L463" s="537">
        <v>600</v>
      </c>
      <c r="M463" s="536">
        <v>23</v>
      </c>
      <c r="N463" s="797">
        <f>'Приложение 2'!E465</f>
        <v>10129025.4</v>
      </c>
      <c r="O463" s="797">
        <v>0</v>
      </c>
      <c r="P463" s="797">
        <v>0</v>
      </c>
      <c r="Q463" s="797">
        <v>0</v>
      </c>
      <c r="R463" s="797">
        <f t="shared" si="85"/>
        <v>10129025.4</v>
      </c>
      <c r="S463" s="797">
        <f t="shared" si="86"/>
        <v>1009.6917203293527</v>
      </c>
      <c r="T463" s="797">
        <v>4180</v>
      </c>
      <c r="U463" s="132" t="s">
        <v>589</v>
      </c>
      <c r="V463" s="144">
        <f t="shared" si="87"/>
        <v>3170.3082796706472</v>
      </c>
      <c r="W463" s="119"/>
    </row>
    <row r="464" spans="1:23" ht="9" customHeight="1">
      <c r="A464" s="794">
        <v>103</v>
      </c>
      <c r="B464" s="531" t="s">
        <v>579</v>
      </c>
      <c r="C464" s="532" t="s">
        <v>1192</v>
      </c>
      <c r="D464" s="533" t="s">
        <v>110</v>
      </c>
      <c r="E464" s="534">
        <v>1975</v>
      </c>
      <c r="F464" s="141"/>
      <c r="G464" s="535" t="s">
        <v>90</v>
      </c>
      <c r="H464" s="536">
        <v>5</v>
      </c>
      <c r="I464" s="536">
        <v>8</v>
      </c>
      <c r="J464" s="537">
        <v>6030.6</v>
      </c>
      <c r="K464" s="537">
        <v>5535.1</v>
      </c>
      <c r="L464" s="537">
        <v>601</v>
      </c>
      <c r="M464" s="536">
        <v>20</v>
      </c>
      <c r="N464" s="797">
        <f>'Приложение 2'!E466</f>
        <v>5144362</v>
      </c>
      <c r="O464" s="797">
        <v>0</v>
      </c>
      <c r="P464" s="797">
        <v>0</v>
      </c>
      <c r="Q464" s="797">
        <v>0</v>
      </c>
      <c r="R464" s="797">
        <f t="shared" si="85"/>
        <v>5144362</v>
      </c>
      <c r="S464" s="797">
        <f t="shared" si="86"/>
        <v>929.40723744828449</v>
      </c>
      <c r="T464" s="797">
        <v>4180</v>
      </c>
      <c r="U464" s="132" t="s">
        <v>589</v>
      </c>
      <c r="V464" s="144">
        <f t="shared" si="87"/>
        <v>3250.5927625517156</v>
      </c>
      <c r="W464" s="119"/>
    </row>
    <row r="465" spans="1:23" ht="9" customHeight="1">
      <c r="A465" s="794">
        <v>104</v>
      </c>
      <c r="B465" s="531" t="s">
        <v>580</v>
      </c>
      <c r="C465" s="532" t="s">
        <v>1192</v>
      </c>
      <c r="D465" s="533" t="s">
        <v>110</v>
      </c>
      <c r="E465" s="534">
        <v>1976</v>
      </c>
      <c r="F465" s="141"/>
      <c r="G465" s="535" t="s">
        <v>90</v>
      </c>
      <c r="H465" s="536">
        <v>5</v>
      </c>
      <c r="I465" s="536">
        <v>4</v>
      </c>
      <c r="J465" s="537">
        <v>3633.3</v>
      </c>
      <c r="K465" s="537">
        <v>3217.9</v>
      </c>
      <c r="L465" s="537">
        <v>603</v>
      </c>
      <c r="M465" s="536">
        <v>23</v>
      </c>
      <c r="N465" s="797">
        <f>'Приложение 2'!E467</f>
        <v>3090618</v>
      </c>
      <c r="O465" s="797">
        <v>0</v>
      </c>
      <c r="P465" s="797">
        <v>0</v>
      </c>
      <c r="Q465" s="797">
        <v>0</v>
      </c>
      <c r="R465" s="797">
        <f t="shared" si="85"/>
        <v>3090618</v>
      </c>
      <c r="S465" s="797">
        <f t="shared" si="86"/>
        <v>960.44563224463161</v>
      </c>
      <c r="T465" s="797">
        <v>4180</v>
      </c>
      <c r="U465" s="132" t="s">
        <v>589</v>
      </c>
      <c r="V465" s="144">
        <f t="shared" si="87"/>
        <v>3219.5543677553683</v>
      </c>
      <c r="W465" s="119"/>
    </row>
    <row r="466" spans="1:23" ht="9" customHeight="1">
      <c r="A466" s="794">
        <v>105</v>
      </c>
      <c r="B466" s="531" t="s">
        <v>581</v>
      </c>
      <c r="C466" s="532" t="s">
        <v>1192</v>
      </c>
      <c r="D466" s="533" t="s">
        <v>110</v>
      </c>
      <c r="E466" s="534">
        <v>1981</v>
      </c>
      <c r="F466" s="141"/>
      <c r="G466" s="535" t="s">
        <v>90</v>
      </c>
      <c r="H466" s="536">
        <v>5</v>
      </c>
      <c r="I466" s="536">
        <v>8</v>
      </c>
      <c r="J466" s="537">
        <v>6870.9</v>
      </c>
      <c r="K466" s="537">
        <v>5718.1</v>
      </c>
      <c r="L466" s="537">
        <v>2513</v>
      </c>
      <c r="M466" s="536">
        <v>107</v>
      </c>
      <c r="N466" s="797">
        <f>'Приложение 2'!E468</f>
        <v>4884310</v>
      </c>
      <c r="O466" s="797">
        <v>0</v>
      </c>
      <c r="P466" s="797">
        <v>0</v>
      </c>
      <c r="Q466" s="797">
        <v>0</v>
      </c>
      <c r="R466" s="797">
        <f t="shared" si="85"/>
        <v>4884310</v>
      </c>
      <c r="S466" s="797">
        <f t="shared" si="86"/>
        <v>854.18408212518136</v>
      </c>
      <c r="T466" s="797">
        <v>4180</v>
      </c>
      <c r="U466" s="132" t="s">
        <v>589</v>
      </c>
      <c r="V466" s="144">
        <f t="shared" si="87"/>
        <v>3325.8159178748188</v>
      </c>
      <c r="W466" s="119"/>
    </row>
    <row r="467" spans="1:23" ht="9" customHeight="1">
      <c r="A467" s="794">
        <v>106</v>
      </c>
      <c r="B467" s="531" t="s">
        <v>582</v>
      </c>
      <c r="C467" s="532" t="s">
        <v>1194</v>
      </c>
      <c r="D467" s="533" t="s">
        <v>111</v>
      </c>
      <c r="E467" s="534">
        <v>1912</v>
      </c>
      <c r="F467" s="141"/>
      <c r="G467" s="535" t="s">
        <v>88</v>
      </c>
      <c r="H467" s="536">
        <v>1</v>
      </c>
      <c r="I467" s="536">
        <v>3</v>
      </c>
      <c r="J467" s="537">
        <v>840</v>
      </c>
      <c r="K467" s="537">
        <v>811.3</v>
      </c>
      <c r="L467" s="537">
        <v>811.3</v>
      </c>
      <c r="M467" s="535">
        <v>37</v>
      </c>
      <c r="N467" s="797">
        <f>'Приложение 2'!E469</f>
        <v>1502687.34</v>
      </c>
      <c r="O467" s="797">
        <v>0</v>
      </c>
      <c r="P467" s="797">
        <v>0</v>
      </c>
      <c r="Q467" s="797">
        <v>0</v>
      </c>
      <c r="R467" s="797">
        <f t="shared" si="85"/>
        <v>1502687.34</v>
      </c>
      <c r="S467" s="797">
        <f>N467/K467</f>
        <v>1852.1968938740295</v>
      </c>
      <c r="T467" s="797">
        <v>3929.2</v>
      </c>
      <c r="U467" s="132" t="s">
        <v>589</v>
      </c>
      <c r="V467" s="144">
        <f t="shared" si="87"/>
        <v>2077.0031061259706</v>
      </c>
      <c r="W467" s="119"/>
    </row>
    <row r="468" spans="1:23" ht="9" customHeight="1">
      <c r="A468" s="794">
        <v>107</v>
      </c>
      <c r="B468" s="531" t="s">
        <v>583</v>
      </c>
      <c r="C468" s="532" t="s">
        <v>1192</v>
      </c>
      <c r="D468" s="533" t="s">
        <v>110</v>
      </c>
      <c r="E468" s="534">
        <v>1985</v>
      </c>
      <c r="F468" s="141"/>
      <c r="G468" s="535" t="s">
        <v>88</v>
      </c>
      <c r="H468" s="536">
        <v>5</v>
      </c>
      <c r="I468" s="536">
        <v>3</v>
      </c>
      <c r="J468" s="537">
        <v>2841.7</v>
      </c>
      <c r="K468" s="537">
        <f>254.4+2384.5</f>
        <v>2638.9</v>
      </c>
      <c r="L468" s="537">
        <v>2384.5</v>
      </c>
      <c r="M468" s="535">
        <v>79</v>
      </c>
      <c r="N468" s="797">
        <f>'Приложение 2'!E470</f>
        <v>2513836</v>
      </c>
      <c r="O468" s="797">
        <v>0</v>
      </c>
      <c r="P468" s="797">
        <v>0</v>
      </c>
      <c r="Q468" s="797">
        <v>0</v>
      </c>
      <c r="R468" s="797">
        <f t="shared" si="85"/>
        <v>2513836</v>
      </c>
      <c r="S468" s="797">
        <f t="shared" si="86"/>
        <v>952.60752586304898</v>
      </c>
      <c r="T468" s="797">
        <v>4180</v>
      </c>
      <c r="U468" s="132" t="s">
        <v>589</v>
      </c>
      <c r="V468" s="144">
        <f t="shared" si="87"/>
        <v>3227.392474136951</v>
      </c>
      <c r="W468" s="119"/>
    </row>
    <row r="469" spans="1:23" ht="9" customHeight="1">
      <c r="A469" s="794">
        <v>108</v>
      </c>
      <c r="B469" s="531" t="s">
        <v>584</v>
      </c>
      <c r="C469" s="532" t="s">
        <v>1192</v>
      </c>
      <c r="D469" s="533" t="s">
        <v>110</v>
      </c>
      <c r="E469" s="534">
        <v>1982</v>
      </c>
      <c r="F469" s="141"/>
      <c r="G469" s="535" t="s">
        <v>88</v>
      </c>
      <c r="H469" s="536">
        <v>5</v>
      </c>
      <c r="I469" s="536">
        <v>8</v>
      </c>
      <c r="J469" s="537">
        <v>6253.4</v>
      </c>
      <c r="K469" s="537">
        <v>5639.6</v>
      </c>
      <c r="L469" s="537">
        <v>5639.6</v>
      </c>
      <c r="M469" s="535">
        <v>245</v>
      </c>
      <c r="N469" s="797">
        <f>'Приложение 2'!E471</f>
        <v>5541108</v>
      </c>
      <c r="O469" s="797">
        <v>0</v>
      </c>
      <c r="P469" s="797">
        <v>0</v>
      </c>
      <c r="Q469" s="797">
        <v>0</v>
      </c>
      <c r="R469" s="797">
        <f t="shared" si="85"/>
        <v>5541108</v>
      </c>
      <c r="S469" s="797">
        <f t="shared" si="86"/>
        <v>982.53564082559035</v>
      </c>
      <c r="T469" s="797">
        <v>4180</v>
      </c>
      <c r="U469" s="132" t="s">
        <v>589</v>
      </c>
      <c r="V469" s="144">
        <f t="shared" si="87"/>
        <v>3197.4643591744098</v>
      </c>
      <c r="W469" s="119"/>
    </row>
    <row r="470" spans="1:23" ht="9" customHeight="1">
      <c r="A470" s="794">
        <v>109</v>
      </c>
      <c r="B470" s="531" t="s">
        <v>585</v>
      </c>
      <c r="C470" s="532" t="s">
        <v>1195</v>
      </c>
      <c r="D470" s="533" t="s">
        <v>111</v>
      </c>
      <c r="E470" s="534">
        <v>1960</v>
      </c>
      <c r="F470" s="141"/>
      <c r="G470" s="535" t="s">
        <v>88</v>
      </c>
      <c r="H470" s="536">
        <v>2</v>
      </c>
      <c r="I470" s="536">
        <v>2</v>
      </c>
      <c r="J470" s="537">
        <v>664.4</v>
      </c>
      <c r="K470" s="537">
        <v>616</v>
      </c>
      <c r="L470" s="537">
        <v>616</v>
      </c>
      <c r="M470" s="536">
        <v>35</v>
      </c>
      <c r="N470" s="797">
        <f>'Приложение 2'!E472</f>
        <v>1617591.36</v>
      </c>
      <c r="O470" s="797">
        <v>0</v>
      </c>
      <c r="P470" s="797">
        <v>0</v>
      </c>
      <c r="Q470" s="797">
        <v>0</v>
      </c>
      <c r="R470" s="797">
        <f t="shared" si="85"/>
        <v>1617591.36</v>
      </c>
      <c r="S470" s="797">
        <f t="shared" si="86"/>
        <v>2625.96</v>
      </c>
      <c r="T470" s="797">
        <f>4984.65+322.91</f>
        <v>5307.5599999999995</v>
      </c>
      <c r="U470" s="132" t="s">
        <v>589</v>
      </c>
      <c r="V470" s="144">
        <f t="shared" si="87"/>
        <v>2681.5999999999995</v>
      </c>
      <c r="W470" s="119"/>
    </row>
    <row r="471" spans="1:23" ht="9" customHeight="1">
      <c r="A471" s="794">
        <v>110</v>
      </c>
      <c r="B471" s="538" t="s">
        <v>586</v>
      </c>
      <c r="C471" s="539" t="s">
        <v>1195</v>
      </c>
      <c r="D471" s="540" t="s">
        <v>110</v>
      </c>
      <c r="E471" s="541">
        <v>1983</v>
      </c>
      <c r="F471" s="542"/>
      <c r="G471" s="543" t="s">
        <v>90</v>
      </c>
      <c r="H471" s="544">
        <v>5</v>
      </c>
      <c r="I471" s="544">
        <v>5</v>
      </c>
      <c r="J471" s="545">
        <v>3969.5</v>
      </c>
      <c r="K471" s="545">
        <v>3661</v>
      </c>
      <c r="L471" s="537">
        <v>3661</v>
      </c>
      <c r="M471" s="535">
        <v>35</v>
      </c>
      <c r="N471" s="797">
        <f>'Приложение 2'!E473</f>
        <v>9613639.5600000005</v>
      </c>
      <c r="O471" s="797">
        <v>0</v>
      </c>
      <c r="P471" s="797">
        <v>0</v>
      </c>
      <c r="Q471" s="797">
        <v>0</v>
      </c>
      <c r="R471" s="797">
        <f t="shared" si="85"/>
        <v>9613639.5600000005</v>
      </c>
      <c r="S471" s="797">
        <f t="shared" si="86"/>
        <v>2625.96</v>
      </c>
      <c r="T471" s="797">
        <f>4984.65+322.91</f>
        <v>5307.5599999999995</v>
      </c>
      <c r="U471" s="132" t="s">
        <v>589</v>
      </c>
      <c r="V471" s="144">
        <f t="shared" si="87"/>
        <v>2681.5999999999995</v>
      </c>
      <c r="W471" s="119"/>
    </row>
    <row r="472" spans="1:23" ht="9" customHeight="1">
      <c r="A472" s="794">
        <v>111</v>
      </c>
      <c r="B472" s="546" t="s">
        <v>587</v>
      </c>
      <c r="C472" s="547" t="s">
        <v>1192</v>
      </c>
      <c r="D472" s="548" t="s">
        <v>111</v>
      </c>
      <c r="E472" s="549">
        <v>1965</v>
      </c>
      <c r="F472" s="542"/>
      <c r="G472" s="550" t="s">
        <v>88</v>
      </c>
      <c r="H472" s="551">
        <v>5</v>
      </c>
      <c r="I472" s="551">
        <v>4</v>
      </c>
      <c r="J472" s="552">
        <v>1754.5</v>
      </c>
      <c r="K472" s="552">
        <v>1621.5</v>
      </c>
      <c r="L472" s="553">
        <v>1621.5</v>
      </c>
      <c r="M472" s="543">
        <v>144</v>
      </c>
      <c r="N472" s="797">
        <f>'Приложение 2'!E474</f>
        <v>3712632</v>
      </c>
      <c r="O472" s="164">
        <v>0</v>
      </c>
      <c r="P472" s="164">
        <v>0</v>
      </c>
      <c r="Q472" s="164">
        <v>0</v>
      </c>
      <c r="R472" s="164">
        <f t="shared" si="85"/>
        <v>3712632</v>
      </c>
      <c r="S472" s="164">
        <f>N472/K472</f>
        <v>2289.6281221091581</v>
      </c>
      <c r="T472" s="797">
        <v>4503.95</v>
      </c>
      <c r="U472" s="165" t="s">
        <v>589</v>
      </c>
      <c r="V472" s="144">
        <f t="shared" si="87"/>
        <v>2214.3218778908417</v>
      </c>
      <c r="W472" s="119"/>
    </row>
    <row r="473" spans="1:23" ht="9" customHeight="1">
      <c r="A473" s="794">
        <v>112</v>
      </c>
      <c r="B473" s="200" t="s">
        <v>588</v>
      </c>
      <c r="C473" s="522" t="s">
        <v>1192</v>
      </c>
      <c r="D473" s="201" t="s">
        <v>110</v>
      </c>
      <c r="E473" s="202">
        <v>1968</v>
      </c>
      <c r="F473" s="141"/>
      <c r="G473" s="203" t="s">
        <v>90</v>
      </c>
      <c r="H473" s="204">
        <v>5</v>
      </c>
      <c r="I473" s="204">
        <v>4</v>
      </c>
      <c r="J473" s="205">
        <v>3839.3</v>
      </c>
      <c r="K473" s="205">
        <v>3465</v>
      </c>
      <c r="L473" s="205">
        <v>3465</v>
      </c>
      <c r="M473" s="203">
        <v>186</v>
      </c>
      <c r="N473" s="797">
        <f>'Приложение 2'!E475</f>
        <v>3300660</v>
      </c>
      <c r="O473" s="797">
        <v>0</v>
      </c>
      <c r="P473" s="797">
        <v>0</v>
      </c>
      <c r="Q473" s="797">
        <v>0</v>
      </c>
      <c r="R473" s="797">
        <f t="shared" si="85"/>
        <v>3300660</v>
      </c>
      <c r="S473" s="797">
        <f t="shared" si="86"/>
        <v>952.57142857142856</v>
      </c>
      <c r="T473" s="797">
        <v>4180</v>
      </c>
      <c r="U473" s="132" t="s">
        <v>589</v>
      </c>
      <c r="V473" s="144">
        <f t="shared" si="87"/>
        <v>3227.4285714285716</v>
      </c>
      <c r="W473" s="119"/>
    </row>
    <row r="474" spans="1:23" ht="9" customHeight="1">
      <c r="A474" s="794">
        <v>113</v>
      </c>
      <c r="B474" s="206" t="s">
        <v>638</v>
      </c>
      <c r="C474" s="207" t="s">
        <v>1192</v>
      </c>
      <c r="D474" s="207" t="s">
        <v>110</v>
      </c>
      <c r="E474" s="208">
        <v>1971</v>
      </c>
      <c r="F474" s="141"/>
      <c r="G474" s="209" t="s">
        <v>88</v>
      </c>
      <c r="H474" s="210">
        <v>9</v>
      </c>
      <c r="I474" s="210">
        <v>1</v>
      </c>
      <c r="J474" s="211">
        <v>2560.8000000000002</v>
      </c>
      <c r="K474" s="211">
        <v>2311.8000000000002</v>
      </c>
      <c r="L474" s="211">
        <v>1383</v>
      </c>
      <c r="M474" s="210">
        <v>112</v>
      </c>
      <c r="N474" s="797">
        <f>'Приложение 2'!E476</f>
        <v>1963596.8</v>
      </c>
      <c r="O474" s="797">
        <v>0</v>
      </c>
      <c r="P474" s="797">
        <v>0</v>
      </c>
      <c r="Q474" s="797">
        <v>0</v>
      </c>
      <c r="R474" s="797">
        <f t="shared" si="85"/>
        <v>1963596.8</v>
      </c>
      <c r="S474" s="797">
        <f t="shared" si="86"/>
        <v>849.38005017735088</v>
      </c>
      <c r="T474" s="797">
        <f>3090099.49*'[2]Приложение 2'!G477/'[2]Приложение 1'!K474</f>
        <v>1336.6638506791244</v>
      </c>
      <c r="U474" s="132" t="s">
        <v>589</v>
      </c>
      <c r="V474" s="144">
        <f t="shared" si="87"/>
        <v>487.2838005017735</v>
      </c>
      <c r="W474" s="119"/>
    </row>
    <row r="475" spans="1:23" ht="9" customHeight="1">
      <c r="A475" s="794">
        <v>114</v>
      </c>
      <c r="B475" s="206" t="s">
        <v>1036</v>
      </c>
      <c r="C475" s="207"/>
      <c r="D475" s="207"/>
      <c r="E475" s="212">
        <v>1966</v>
      </c>
      <c r="F475" s="141"/>
      <c r="G475" s="203" t="s">
        <v>90</v>
      </c>
      <c r="H475" s="209">
        <v>5</v>
      </c>
      <c r="I475" s="209">
        <v>4</v>
      </c>
      <c r="J475" s="211">
        <v>3864.6</v>
      </c>
      <c r="K475" s="211">
        <v>3544.6</v>
      </c>
      <c r="L475" s="211">
        <v>3472.7</v>
      </c>
      <c r="M475" s="210">
        <v>227</v>
      </c>
      <c r="N475" s="797">
        <f>'Приложение 2'!E477</f>
        <v>4220844</v>
      </c>
      <c r="O475" s="797">
        <v>0</v>
      </c>
      <c r="P475" s="797">
        <v>0</v>
      </c>
      <c r="Q475" s="797">
        <v>0</v>
      </c>
      <c r="R475" s="797">
        <f t="shared" si="85"/>
        <v>4220844</v>
      </c>
      <c r="S475" s="797">
        <f t="shared" si="86"/>
        <v>1190.7814704056875</v>
      </c>
      <c r="T475" s="797">
        <v>4180</v>
      </c>
      <c r="U475" s="132" t="s">
        <v>589</v>
      </c>
      <c r="V475" s="144">
        <f t="shared" si="87"/>
        <v>2989.2185295943127</v>
      </c>
      <c r="W475" s="119"/>
    </row>
    <row r="476" spans="1:23" ht="9" customHeight="1">
      <c r="A476" s="794">
        <v>115</v>
      </c>
      <c r="B476" s="206" t="s">
        <v>203</v>
      </c>
      <c r="C476" s="207" t="s">
        <v>1006</v>
      </c>
      <c r="D476" s="207"/>
      <c r="E476" s="212">
        <v>1917</v>
      </c>
      <c r="F476" s="141"/>
      <c r="G476" s="203" t="s">
        <v>88</v>
      </c>
      <c r="H476" s="209">
        <v>2</v>
      </c>
      <c r="I476" s="209">
        <v>1</v>
      </c>
      <c r="J476" s="211">
        <v>2765.1</v>
      </c>
      <c r="K476" s="211">
        <v>2024.8</v>
      </c>
      <c r="L476" s="211">
        <v>743.7</v>
      </c>
      <c r="M476" s="210">
        <v>108</v>
      </c>
      <c r="N476" s="797">
        <f>'Приложение 2'!E478</f>
        <v>5250124.17</v>
      </c>
      <c r="O476" s="797">
        <v>0</v>
      </c>
      <c r="P476" s="797">
        <v>0</v>
      </c>
      <c r="Q476" s="797">
        <v>0</v>
      </c>
      <c r="R476" s="797">
        <f t="shared" si="85"/>
        <v>5250124.17</v>
      </c>
      <c r="S476" s="797">
        <f t="shared" si="86"/>
        <v>2592.910000987752</v>
      </c>
      <c r="T476" s="797">
        <f>4984.65+322.91</f>
        <v>5307.5599999999995</v>
      </c>
      <c r="U476" s="132" t="s">
        <v>589</v>
      </c>
      <c r="V476" s="144">
        <f t="shared" si="87"/>
        <v>2714.6499990122475</v>
      </c>
      <c r="W476" s="119"/>
    </row>
    <row r="477" spans="1:23" ht="9" customHeight="1">
      <c r="A477" s="794">
        <v>116</v>
      </c>
      <c r="B477" s="206" t="s">
        <v>1044</v>
      </c>
      <c r="C477" s="207"/>
      <c r="D477" s="207"/>
      <c r="E477" s="212">
        <v>1972</v>
      </c>
      <c r="F477" s="141"/>
      <c r="G477" s="203" t="s">
        <v>90</v>
      </c>
      <c r="H477" s="209">
        <v>5</v>
      </c>
      <c r="I477" s="209">
        <v>8</v>
      </c>
      <c r="J477" s="211">
        <v>6431.6</v>
      </c>
      <c r="K477" s="211">
        <v>5532.6</v>
      </c>
      <c r="L477" s="211">
        <v>5449.2</v>
      </c>
      <c r="M477" s="210">
        <v>232</v>
      </c>
      <c r="N477" s="797">
        <f>'Приложение 2'!E479</f>
        <v>5177702</v>
      </c>
      <c r="O477" s="797">
        <v>0</v>
      </c>
      <c r="P477" s="797">
        <v>0</v>
      </c>
      <c r="Q477" s="797">
        <v>0</v>
      </c>
      <c r="R477" s="797">
        <f t="shared" si="85"/>
        <v>5177702</v>
      </c>
      <c r="S477" s="797">
        <f t="shared" si="86"/>
        <v>935.85330585981274</v>
      </c>
      <c r="T477" s="797">
        <v>4180</v>
      </c>
      <c r="U477" s="132" t="s">
        <v>589</v>
      </c>
      <c r="V477" s="144">
        <f t="shared" si="87"/>
        <v>3244.1466941401873</v>
      </c>
      <c r="W477" s="119"/>
    </row>
    <row r="478" spans="1:23" s="556" customFormat="1" ht="9" customHeight="1">
      <c r="A478" s="794">
        <v>117</v>
      </c>
      <c r="B478" s="150" t="s">
        <v>1052</v>
      </c>
      <c r="C478" s="557"/>
      <c r="D478" s="557"/>
      <c r="E478" s="558">
        <v>1986</v>
      </c>
      <c r="F478" s="527"/>
      <c r="G478" s="203" t="s">
        <v>90</v>
      </c>
      <c r="H478" s="559">
        <v>5</v>
      </c>
      <c r="I478" s="559">
        <v>4</v>
      </c>
      <c r="J478" s="560">
        <v>3108</v>
      </c>
      <c r="K478" s="211">
        <v>2856</v>
      </c>
      <c r="L478" s="211">
        <v>2856</v>
      </c>
      <c r="M478" s="561">
        <v>140</v>
      </c>
      <c r="N478" s="797">
        <f>'Приложение 2'!E480</f>
        <v>1685040</v>
      </c>
      <c r="O478" s="797">
        <v>0</v>
      </c>
      <c r="P478" s="797">
        <v>0</v>
      </c>
      <c r="Q478" s="797">
        <v>0</v>
      </c>
      <c r="R478" s="797">
        <f t="shared" si="85"/>
        <v>1685040</v>
      </c>
      <c r="S478" s="797">
        <f t="shared" si="86"/>
        <v>590</v>
      </c>
      <c r="T478" s="797">
        <v>4180</v>
      </c>
      <c r="U478" s="132" t="s">
        <v>589</v>
      </c>
      <c r="V478" s="555">
        <f t="shared" si="87"/>
        <v>3590</v>
      </c>
    </row>
    <row r="479" spans="1:23" ht="9" customHeight="1">
      <c r="A479" s="794">
        <v>118</v>
      </c>
      <c r="B479" s="150" t="s">
        <v>1053</v>
      </c>
      <c r="C479" s="557"/>
      <c r="D479" s="557"/>
      <c r="E479" s="558">
        <v>1948</v>
      </c>
      <c r="F479" s="527"/>
      <c r="G479" s="203" t="s">
        <v>88</v>
      </c>
      <c r="H479" s="559">
        <v>4</v>
      </c>
      <c r="I479" s="559">
        <v>1</v>
      </c>
      <c r="J479" s="560">
        <v>1333.3</v>
      </c>
      <c r="K479" s="560">
        <v>1259.0999999999999</v>
      </c>
      <c r="L479" s="560">
        <v>1259.0999999999999</v>
      </c>
      <c r="M479" s="561">
        <v>86</v>
      </c>
      <c r="N479" s="797">
        <f>'Приложение 2'!E481</f>
        <v>3646303.2399999998</v>
      </c>
      <c r="O479" s="797">
        <v>0</v>
      </c>
      <c r="P479" s="797">
        <v>0</v>
      </c>
      <c r="Q479" s="797">
        <v>0</v>
      </c>
      <c r="R479" s="797">
        <f t="shared" si="85"/>
        <v>3646303.2399999998</v>
      </c>
      <c r="S479" s="797">
        <f t="shared" si="86"/>
        <v>2895.9600031768723</v>
      </c>
      <c r="T479" s="797">
        <f>4984.65+322.91</f>
        <v>5307.5599999999995</v>
      </c>
      <c r="U479" s="132" t="s">
        <v>589</v>
      </c>
      <c r="V479" s="144">
        <f t="shared" si="87"/>
        <v>2411.5999968231272</v>
      </c>
      <c r="W479" s="119"/>
    </row>
    <row r="480" spans="1:23" ht="9" customHeight="1">
      <c r="A480" s="794">
        <v>119</v>
      </c>
      <c r="B480" s="150" t="s">
        <v>1078</v>
      </c>
      <c r="C480" s="557"/>
      <c r="D480" s="557"/>
      <c r="E480" s="558">
        <v>1983</v>
      </c>
      <c r="F480" s="527"/>
      <c r="G480" s="203" t="s">
        <v>90</v>
      </c>
      <c r="H480" s="559">
        <v>9</v>
      </c>
      <c r="I480" s="559">
        <v>6</v>
      </c>
      <c r="J480" s="560">
        <v>12924.2</v>
      </c>
      <c r="K480" s="560">
        <v>11532.2</v>
      </c>
      <c r="L480" s="560">
        <v>11532.2</v>
      </c>
      <c r="M480" s="561">
        <v>493</v>
      </c>
      <c r="N480" s="797">
        <f>'Приложение 2'!E482</f>
        <v>11781580.800000001</v>
      </c>
      <c r="O480" s="797">
        <v>0</v>
      </c>
      <c r="P480" s="797">
        <v>0</v>
      </c>
      <c r="Q480" s="797">
        <v>0</v>
      </c>
      <c r="R480" s="797">
        <f t="shared" si="85"/>
        <v>11781580.800000001</v>
      </c>
      <c r="S480" s="797">
        <f t="shared" si="86"/>
        <v>1021.624737690987</v>
      </c>
      <c r="T480" s="797">
        <f>3090099.49*'[2]Приложение 2'!G483/'[2]Приложение 1'!K480</f>
        <v>1607.7241931288045</v>
      </c>
      <c r="U480" s="132" t="s">
        <v>589</v>
      </c>
      <c r="V480" s="144">
        <f t="shared" si="87"/>
        <v>586.09945543781748</v>
      </c>
      <c r="W480" s="119"/>
    </row>
    <row r="481" spans="1:23" ht="9" customHeight="1">
      <c r="A481" s="794">
        <v>120</v>
      </c>
      <c r="B481" s="200" t="s">
        <v>510</v>
      </c>
      <c r="C481" s="557"/>
      <c r="D481" s="557"/>
      <c r="E481" s="558">
        <v>1982</v>
      </c>
      <c r="F481" s="527"/>
      <c r="G481" s="203" t="s">
        <v>88</v>
      </c>
      <c r="H481" s="559">
        <v>12</v>
      </c>
      <c r="I481" s="559">
        <v>1</v>
      </c>
      <c r="J481" s="560">
        <v>4595.8</v>
      </c>
      <c r="K481" s="560">
        <v>3981.4</v>
      </c>
      <c r="L481" s="560">
        <v>3822.8</v>
      </c>
      <c r="M481" s="561">
        <v>188</v>
      </c>
      <c r="N481" s="797">
        <f>'Приложение 2'!E483</f>
        <v>3927193.6000000001</v>
      </c>
      <c r="O481" s="797">
        <v>0</v>
      </c>
      <c r="P481" s="797">
        <v>0</v>
      </c>
      <c r="Q481" s="797">
        <v>0</v>
      </c>
      <c r="R481" s="797">
        <f t="shared" si="85"/>
        <v>3927193.6000000001</v>
      </c>
      <c r="S481" s="797">
        <f t="shared" si="86"/>
        <v>986.38509067162306</v>
      </c>
      <c r="T481" s="797">
        <f>3090099.49*'[2]Приложение 2'!G484/'[2]Приложение 1'!K481</f>
        <v>1552.2677902245441</v>
      </c>
      <c r="U481" s="132" t="s">
        <v>589</v>
      </c>
      <c r="V481" s="144">
        <f t="shared" si="87"/>
        <v>565.88269955292105</v>
      </c>
      <c r="W481" s="119"/>
    </row>
    <row r="482" spans="1:23" ht="9" customHeight="1">
      <c r="A482" s="794">
        <v>121</v>
      </c>
      <c r="B482" s="200" t="s">
        <v>1079</v>
      </c>
      <c r="C482" s="557"/>
      <c r="D482" s="557"/>
      <c r="E482" s="558">
        <v>1975</v>
      </c>
      <c r="F482" s="527"/>
      <c r="G482" s="203" t="s">
        <v>88</v>
      </c>
      <c r="H482" s="559">
        <v>9</v>
      </c>
      <c r="I482" s="559">
        <v>4</v>
      </c>
      <c r="J482" s="560">
        <v>8133.82</v>
      </c>
      <c r="K482" s="560">
        <v>7353.82</v>
      </c>
      <c r="L482" s="560">
        <v>7252.42</v>
      </c>
      <c r="M482" s="561">
        <v>310</v>
      </c>
      <c r="N482" s="797">
        <f>'Приложение 2'!E484</f>
        <v>7854387.2000000002</v>
      </c>
      <c r="O482" s="797">
        <v>0</v>
      </c>
      <c r="P482" s="797">
        <v>0</v>
      </c>
      <c r="Q482" s="797">
        <v>0</v>
      </c>
      <c r="R482" s="797">
        <f t="shared" si="85"/>
        <v>7854387.2000000002</v>
      </c>
      <c r="S482" s="797">
        <f t="shared" si="86"/>
        <v>1068.0690035926907</v>
      </c>
      <c r="T482" s="797">
        <f>3090099.49*'[2]Приложение 2'!G485/'[2]Приложение 1'!K482</f>
        <v>1680.81323176254</v>
      </c>
      <c r="U482" s="132" t="s">
        <v>589</v>
      </c>
      <c r="V482" s="144">
        <f t="shared" si="87"/>
        <v>612.74422816984929</v>
      </c>
      <c r="W482" s="119"/>
    </row>
    <row r="483" spans="1:23" ht="9" customHeight="1">
      <c r="A483" s="794">
        <v>122</v>
      </c>
      <c r="B483" s="200" t="s">
        <v>1080</v>
      </c>
      <c r="C483" s="557"/>
      <c r="D483" s="557"/>
      <c r="E483" s="558">
        <v>1988</v>
      </c>
      <c r="F483" s="527"/>
      <c r="G483" s="203" t="s">
        <v>88</v>
      </c>
      <c r="H483" s="559">
        <v>9</v>
      </c>
      <c r="I483" s="559">
        <v>1</v>
      </c>
      <c r="J483" s="560">
        <v>3776.1</v>
      </c>
      <c r="K483" s="560">
        <v>3288.1</v>
      </c>
      <c r="L483" s="560">
        <v>3160.5</v>
      </c>
      <c r="M483" s="561">
        <v>162</v>
      </c>
      <c r="N483" s="797">
        <f>'Приложение 2'!E485</f>
        <v>1963596.8</v>
      </c>
      <c r="O483" s="797">
        <v>0</v>
      </c>
      <c r="P483" s="797">
        <v>0</v>
      </c>
      <c r="Q483" s="797">
        <v>0</v>
      </c>
      <c r="R483" s="797">
        <f t="shared" si="85"/>
        <v>1963596.8</v>
      </c>
      <c r="S483" s="797">
        <f t="shared" si="86"/>
        <v>597.18281074176582</v>
      </c>
      <c r="T483" s="797">
        <f>3090099.49*'[2]Приложение 2'!G486/'[2]Приложение 1'!K483</f>
        <v>939.78269821477454</v>
      </c>
      <c r="U483" s="132" t="s">
        <v>589</v>
      </c>
      <c r="V483" s="144">
        <f>T483-S483</f>
        <v>342.59988747300872</v>
      </c>
      <c r="W483" s="119"/>
    </row>
    <row r="484" spans="1:23" ht="9" customHeight="1">
      <c r="A484" s="794">
        <v>123</v>
      </c>
      <c r="B484" s="136" t="s">
        <v>457</v>
      </c>
      <c r="C484" s="137" t="s">
        <v>1006</v>
      </c>
      <c r="D484" s="137"/>
      <c r="E484" s="138">
        <v>1947</v>
      </c>
      <c r="F484" s="139">
        <v>1978</v>
      </c>
      <c r="G484" s="140" t="s">
        <v>88</v>
      </c>
      <c r="H484" s="141">
        <v>4</v>
      </c>
      <c r="I484" s="141">
        <v>4</v>
      </c>
      <c r="J484" s="142">
        <v>2588</v>
      </c>
      <c r="K484" s="142">
        <f>1820.3+464.7</f>
        <v>2285</v>
      </c>
      <c r="L484" s="142">
        <v>1820.3</v>
      </c>
      <c r="M484" s="141">
        <v>72</v>
      </c>
      <c r="N484" s="797">
        <f>'Приложение 2'!E486</f>
        <v>9017368.7300000004</v>
      </c>
      <c r="O484" s="797">
        <v>0</v>
      </c>
      <c r="P484" s="797">
        <v>0</v>
      </c>
      <c r="Q484" s="797">
        <v>0</v>
      </c>
      <c r="R484" s="797">
        <f>N484</f>
        <v>9017368.7300000004</v>
      </c>
      <c r="S484" s="797">
        <f>N484/K484</f>
        <v>3946.3320481400438</v>
      </c>
      <c r="T484" s="797">
        <v>8433.15</v>
      </c>
      <c r="U484" s="132" t="s">
        <v>589</v>
      </c>
      <c r="V484" s="144">
        <f>T484-S484</f>
        <v>4486.8179518599554</v>
      </c>
      <c r="W484" s="119"/>
    </row>
    <row r="485" spans="1:23" s="563" customFormat="1" ht="9" customHeight="1">
      <c r="A485" s="794">
        <v>124</v>
      </c>
      <c r="B485" s="156" t="s">
        <v>204</v>
      </c>
      <c r="C485" s="157" t="s">
        <v>1006</v>
      </c>
      <c r="D485" s="785"/>
      <c r="E485" s="147">
        <v>1958</v>
      </c>
      <c r="F485" s="141"/>
      <c r="G485" s="148" t="s">
        <v>88</v>
      </c>
      <c r="H485" s="141">
        <v>2</v>
      </c>
      <c r="I485" s="141">
        <v>1</v>
      </c>
      <c r="J485" s="142">
        <v>485.69</v>
      </c>
      <c r="K485" s="142">
        <v>455.29</v>
      </c>
      <c r="L485" s="142">
        <v>455.29</v>
      </c>
      <c r="M485" s="141">
        <v>22</v>
      </c>
      <c r="N485" s="797">
        <f>'Приложение 2'!E487</f>
        <v>834091.27999999991</v>
      </c>
      <c r="O485" s="797">
        <v>0</v>
      </c>
      <c r="P485" s="797">
        <v>0</v>
      </c>
      <c r="Q485" s="797">
        <v>0</v>
      </c>
      <c r="R485" s="797">
        <f t="shared" ref="R485:R488" si="88">N485</f>
        <v>834091.27999999991</v>
      </c>
      <c r="S485" s="797">
        <f t="shared" ref="S485:S488" si="89">N485/K485</f>
        <v>1831.9999999999998</v>
      </c>
      <c r="T485" s="797">
        <f>4984.65+322.91</f>
        <v>5307.5599999999995</v>
      </c>
      <c r="U485" s="132" t="s">
        <v>589</v>
      </c>
      <c r="V485" s="562"/>
    </row>
    <row r="486" spans="1:23" s="563" customFormat="1" ht="9" customHeight="1">
      <c r="A486" s="794">
        <v>125</v>
      </c>
      <c r="B486" s="39" t="s">
        <v>1095</v>
      </c>
      <c r="C486" s="1022"/>
      <c r="D486" s="796"/>
      <c r="E486" s="1023">
        <v>1966</v>
      </c>
      <c r="F486" s="527"/>
      <c r="G486" s="1024" t="s">
        <v>90</v>
      </c>
      <c r="H486" s="527">
        <v>5</v>
      </c>
      <c r="I486" s="527">
        <v>4</v>
      </c>
      <c r="J486" s="1025">
        <v>3858.4</v>
      </c>
      <c r="K486" s="1025">
        <v>3536.4</v>
      </c>
      <c r="L486" s="1025">
        <v>3536.4</v>
      </c>
      <c r="M486" s="141">
        <v>178</v>
      </c>
      <c r="N486" s="797">
        <f>'Приложение 2'!E488</f>
        <v>3293992</v>
      </c>
      <c r="O486" s="797">
        <v>0</v>
      </c>
      <c r="P486" s="797">
        <v>0</v>
      </c>
      <c r="Q486" s="797">
        <v>0</v>
      </c>
      <c r="R486" s="797">
        <f t="shared" si="88"/>
        <v>3293992</v>
      </c>
      <c r="S486" s="797">
        <f t="shared" si="89"/>
        <v>931.4534554914602</v>
      </c>
      <c r="T486" s="797">
        <v>4180</v>
      </c>
      <c r="U486" s="132" t="s">
        <v>589</v>
      </c>
      <c r="V486" s="562"/>
    </row>
    <row r="487" spans="1:23" s="563" customFormat="1" ht="9" customHeight="1">
      <c r="A487" s="794">
        <v>126</v>
      </c>
      <c r="B487" s="39" t="s">
        <v>1096</v>
      </c>
      <c r="C487" s="1022"/>
      <c r="D487" s="796"/>
      <c r="E487" s="1023">
        <v>1979</v>
      </c>
      <c r="F487" s="527"/>
      <c r="G487" s="1024" t="s">
        <v>88</v>
      </c>
      <c r="H487" s="527">
        <v>5</v>
      </c>
      <c r="I487" s="527">
        <v>3</v>
      </c>
      <c r="J487" s="1025">
        <v>3039</v>
      </c>
      <c r="K487" s="1025">
        <v>2612.1</v>
      </c>
      <c r="L487" s="1025">
        <v>2612.1</v>
      </c>
      <c r="M487" s="141">
        <v>99</v>
      </c>
      <c r="N487" s="797">
        <f>'Приложение 2'!E489</f>
        <v>3600720</v>
      </c>
      <c r="O487" s="797">
        <v>0</v>
      </c>
      <c r="P487" s="797">
        <v>0</v>
      </c>
      <c r="Q487" s="797">
        <v>0</v>
      </c>
      <c r="R487" s="797">
        <f t="shared" si="88"/>
        <v>3600720</v>
      </c>
      <c r="S487" s="797">
        <f t="shared" si="89"/>
        <v>1378.4770874009419</v>
      </c>
      <c r="T487" s="162">
        <v>4180</v>
      </c>
      <c r="U487" s="132" t="s">
        <v>589</v>
      </c>
      <c r="V487" s="562"/>
    </row>
    <row r="488" spans="1:23" s="563" customFormat="1" ht="9" customHeight="1">
      <c r="A488" s="794">
        <v>127</v>
      </c>
      <c r="B488" s="39" t="s">
        <v>1097</v>
      </c>
      <c r="C488" s="1022"/>
      <c r="D488" s="796"/>
      <c r="E488" s="1023">
        <v>1979</v>
      </c>
      <c r="F488" s="527"/>
      <c r="G488" s="1024" t="s">
        <v>88</v>
      </c>
      <c r="H488" s="527">
        <v>9</v>
      </c>
      <c r="I488" s="527">
        <v>1</v>
      </c>
      <c r="J488" s="1025">
        <v>2519.5</v>
      </c>
      <c r="K488" s="1025">
        <v>2076.5</v>
      </c>
      <c r="L488" s="1025">
        <v>2076.5</v>
      </c>
      <c r="M488" s="141">
        <v>93</v>
      </c>
      <c r="N488" s="797">
        <f>'Приложение 2'!E490</f>
        <v>5105351.16</v>
      </c>
      <c r="O488" s="797">
        <v>0</v>
      </c>
      <c r="P488" s="797">
        <v>0</v>
      </c>
      <c r="Q488" s="797">
        <v>0</v>
      </c>
      <c r="R488" s="797">
        <f t="shared" si="88"/>
        <v>5105351.16</v>
      </c>
      <c r="S488" s="797">
        <f t="shared" si="89"/>
        <v>2458.6328726222009</v>
      </c>
      <c r="T488" s="162">
        <v>3929.2</v>
      </c>
      <c r="U488" s="132" t="s">
        <v>589</v>
      </c>
      <c r="V488" s="562"/>
    </row>
    <row r="489" spans="1:23" s="563" customFormat="1" ht="9" customHeight="1">
      <c r="A489" s="794">
        <v>128</v>
      </c>
      <c r="B489" s="136" t="s">
        <v>458</v>
      </c>
      <c r="C489" s="137" t="s">
        <v>1006</v>
      </c>
      <c r="D489" s="137"/>
      <c r="E489" s="138">
        <v>1960</v>
      </c>
      <c r="F489" s="146"/>
      <c r="G489" s="140" t="s">
        <v>88</v>
      </c>
      <c r="H489" s="141">
        <v>4</v>
      </c>
      <c r="I489" s="141">
        <v>2</v>
      </c>
      <c r="J489" s="142">
        <v>2262.9</v>
      </c>
      <c r="K489" s="142">
        <f>1599.6+430.3</f>
        <v>2029.8999999999999</v>
      </c>
      <c r="L489" s="142">
        <v>1599.6</v>
      </c>
      <c r="M489" s="141">
        <v>47</v>
      </c>
      <c r="N489" s="797">
        <f>'Приложение 2'!E491</f>
        <v>5877765.0500000007</v>
      </c>
      <c r="O489" s="797">
        <v>0</v>
      </c>
      <c r="P489" s="797">
        <v>0</v>
      </c>
      <c r="Q489" s="797">
        <v>0</v>
      </c>
      <c r="R489" s="797">
        <f>N489</f>
        <v>5877765.0500000007</v>
      </c>
      <c r="S489" s="797">
        <f>N489/K489</f>
        <v>2895.5934036159424</v>
      </c>
      <c r="T489" s="797">
        <f>4503.95+3929.2</f>
        <v>8433.15</v>
      </c>
      <c r="U489" s="132" t="s">
        <v>589</v>
      </c>
      <c r="V489" s="562"/>
    </row>
    <row r="490" spans="1:23" s="563" customFormat="1" ht="9" customHeight="1">
      <c r="A490" s="794">
        <v>129</v>
      </c>
      <c r="B490" s="136" t="s">
        <v>459</v>
      </c>
      <c r="C490" s="137" t="s">
        <v>1006</v>
      </c>
      <c r="D490" s="137"/>
      <c r="E490" s="138">
        <v>1947</v>
      </c>
      <c r="F490" s="146">
        <v>1966</v>
      </c>
      <c r="G490" s="140" t="s">
        <v>88</v>
      </c>
      <c r="H490" s="141">
        <v>4</v>
      </c>
      <c r="I490" s="141">
        <v>3</v>
      </c>
      <c r="J490" s="142">
        <v>2998</v>
      </c>
      <c r="K490" s="142">
        <f>1934.7+787.4</f>
        <v>2722.1</v>
      </c>
      <c r="L490" s="142">
        <v>1934.7</v>
      </c>
      <c r="M490" s="141">
        <v>85</v>
      </c>
      <c r="N490" s="797">
        <f>'Приложение 2'!E492</f>
        <v>8216885.7199999997</v>
      </c>
      <c r="O490" s="797">
        <v>0</v>
      </c>
      <c r="P490" s="797">
        <v>0</v>
      </c>
      <c r="Q490" s="797">
        <v>0</v>
      </c>
      <c r="R490" s="797">
        <f>N490</f>
        <v>8216885.7199999997</v>
      </c>
      <c r="S490" s="797">
        <f>N490/K490</f>
        <v>3018.5833437419637</v>
      </c>
      <c r="T490" s="797">
        <f>4503.95+3929.2</f>
        <v>8433.15</v>
      </c>
      <c r="U490" s="132" t="s">
        <v>589</v>
      </c>
      <c r="V490" s="562"/>
    </row>
    <row r="491" spans="1:23" s="563" customFormat="1" ht="9" customHeight="1">
      <c r="A491" s="794">
        <v>130</v>
      </c>
      <c r="B491" s="1026" t="s">
        <v>121</v>
      </c>
      <c r="C491" s="1027" t="s">
        <v>1008</v>
      </c>
      <c r="D491" s="1027"/>
      <c r="E491" s="1028">
        <v>1980</v>
      </c>
      <c r="F491" s="1029"/>
      <c r="G491" s="1030" t="s">
        <v>88</v>
      </c>
      <c r="H491" s="527">
        <v>5</v>
      </c>
      <c r="I491" s="527">
        <v>5</v>
      </c>
      <c r="J491" s="1025">
        <v>4893.7</v>
      </c>
      <c r="K491" s="1025">
        <v>4311.7</v>
      </c>
      <c r="L491" s="1025">
        <v>3831.8</v>
      </c>
      <c r="M491" s="527">
        <v>178</v>
      </c>
      <c r="N491" s="797">
        <f>'Приложение 2'!E493</f>
        <v>1392291.05</v>
      </c>
      <c r="O491" s="162">
        <v>0</v>
      </c>
      <c r="P491" s="162">
        <v>0</v>
      </c>
      <c r="Q491" s="162">
        <v>0</v>
      </c>
      <c r="R491" s="162">
        <f t="shared" ref="R491:R502" si="90">N491</f>
        <v>1392291.05</v>
      </c>
      <c r="S491" s="797">
        <f t="shared" ref="S491:S502" si="91">N491/K491</f>
        <v>322.91000069578126</v>
      </c>
      <c r="T491" s="162">
        <v>322.91000000000003</v>
      </c>
      <c r="U491" s="132" t="s">
        <v>589</v>
      </c>
      <c r="V491" s="562"/>
    </row>
    <row r="492" spans="1:23" s="563" customFormat="1" ht="9" customHeight="1">
      <c r="A492" s="794">
        <v>131</v>
      </c>
      <c r="B492" s="1026" t="s">
        <v>163</v>
      </c>
      <c r="C492" s="1027" t="s">
        <v>1008</v>
      </c>
      <c r="D492" s="1027"/>
      <c r="E492" s="1028">
        <v>1959</v>
      </c>
      <c r="F492" s="1029"/>
      <c r="G492" s="1030" t="s">
        <v>88</v>
      </c>
      <c r="H492" s="527">
        <v>4</v>
      </c>
      <c r="I492" s="527">
        <v>2</v>
      </c>
      <c r="J492" s="1025">
        <v>1358.1</v>
      </c>
      <c r="K492" s="1025">
        <v>1261</v>
      </c>
      <c r="L492" s="1025">
        <v>1133.3</v>
      </c>
      <c r="M492" s="527">
        <v>64</v>
      </c>
      <c r="N492" s="797">
        <f>'Приложение 2'!E494</f>
        <v>407189.51</v>
      </c>
      <c r="O492" s="162">
        <v>0</v>
      </c>
      <c r="P492" s="162">
        <v>0</v>
      </c>
      <c r="Q492" s="162">
        <v>0</v>
      </c>
      <c r="R492" s="162">
        <f t="shared" si="90"/>
        <v>407189.51</v>
      </c>
      <c r="S492" s="797">
        <f t="shared" si="91"/>
        <v>322.91000000000003</v>
      </c>
      <c r="T492" s="162">
        <v>322.91000000000003</v>
      </c>
      <c r="U492" s="132" t="s">
        <v>589</v>
      </c>
      <c r="V492" s="562"/>
    </row>
    <row r="493" spans="1:23" s="563" customFormat="1" ht="9" customHeight="1">
      <c r="A493" s="794">
        <v>132</v>
      </c>
      <c r="B493" s="1026" t="s">
        <v>162</v>
      </c>
      <c r="C493" s="1027" t="s">
        <v>1008</v>
      </c>
      <c r="D493" s="1027"/>
      <c r="E493" s="1028">
        <v>1984</v>
      </c>
      <c r="F493" s="1029"/>
      <c r="G493" s="1030" t="s">
        <v>88</v>
      </c>
      <c r="H493" s="527">
        <v>5</v>
      </c>
      <c r="I493" s="527">
        <v>1</v>
      </c>
      <c r="J493" s="1025">
        <v>2815.9</v>
      </c>
      <c r="K493" s="1025">
        <v>2530.6999999999998</v>
      </c>
      <c r="L493" s="1025">
        <v>1963</v>
      </c>
      <c r="M493" s="527">
        <v>126</v>
      </c>
      <c r="N493" s="797">
        <f>'Приложение 2'!E495</f>
        <v>817188.34</v>
      </c>
      <c r="O493" s="162">
        <v>0</v>
      </c>
      <c r="P493" s="162">
        <v>0</v>
      </c>
      <c r="Q493" s="162">
        <v>0</v>
      </c>
      <c r="R493" s="162">
        <f t="shared" si="90"/>
        <v>817188.34</v>
      </c>
      <c r="S493" s="797">
        <f t="shared" si="91"/>
        <v>322.91000118544275</v>
      </c>
      <c r="T493" s="162">
        <v>322.91000000000003</v>
      </c>
      <c r="U493" s="132" t="s">
        <v>589</v>
      </c>
      <c r="V493" s="562"/>
    </row>
    <row r="494" spans="1:23" s="563" customFormat="1" ht="9" customHeight="1">
      <c r="A494" s="794">
        <v>133</v>
      </c>
      <c r="B494" s="1026" t="s">
        <v>1098</v>
      </c>
      <c r="C494" s="1027" t="s">
        <v>1098</v>
      </c>
      <c r="D494" s="1027"/>
      <c r="E494" s="1031">
        <v>1977</v>
      </c>
      <c r="F494" s="1029"/>
      <c r="G494" s="1030" t="s">
        <v>90</v>
      </c>
      <c r="H494" s="391">
        <v>5</v>
      </c>
      <c r="I494" s="391">
        <v>4</v>
      </c>
      <c r="J494" s="1025">
        <v>3686.9</v>
      </c>
      <c r="K494" s="1025">
        <v>3357.9</v>
      </c>
      <c r="L494" s="1025">
        <v>3357.9</v>
      </c>
      <c r="M494" s="527">
        <v>98</v>
      </c>
      <c r="N494" s="797">
        <f>'Приложение 2'!E496</f>
        <v>1084299.49</v>
      </c>
      <c r="O494" s="162">
        <v>0</v>
      </c>
      <c r="P494" s="162">
        <v>0</v>
      </c>
      <c r="Q494" s="162">
        <v>0</v>
      </c>
      <c r="R494" s="162">
        <f t="shared" si="90"/>
        <v>1084299.49</v>
      </c>
      <c r="S494" s="797">
        <f t="shared" si="91"/>
        <v>322.91000029780514</v>
      </c>
      <c r="T494" s="162">
        <v>322.91000000000003</v>
      </c>
      <c r="U494" s="132" t="s">
        <v>589</v>
      </c>
      <c r="V494" s="562"/>
    </row>
    <row r="495" spans="1:23" s="563" customFormat="1" ht="9" customHeight="1">
      <c r="A495" s="794">
        <v>134</v>
      </c>
      <c r="B495" s="1026" t="s">
        <v>1099</v>
      </c>
      <c r="C495" s="1027"/>
      <c r="D495" s="1027"/>
      <c r="E495" s="1028">
        <v>1970</v>
      </c>
      <c r="F495" s="1029"/>
      <c r="G495" s="1030" t="s">
        <v>90</v>
      </c>
      <c r="H495" s="391">
        <v>5</v>
      </c>
      <c r="I495" s="391">
        <v>3</v>
      </c>
      <c r="J495" s="1025">
        <v>2813</v>
      </c>
      <c r="K495" s="1025">
        <v>2512</v>
      </c>
      <c r="L495" s="1025">
        <v>2512</v>
      </c>
      <c r="M495" s="527">
        <v>138</v>
      </c>
      <c r="N495" s="797">
        <f>'Приложение 2'!E497</f>
        <v>811149.92</v>
      </c>
      <c r="O495" s="162">
        <v>0</v>
      </c>
      <c r="P495" s="162">
        <v>0</v>
      </c>
      <c r="Q495" s="162">
        <v>0</v>
      </c>
      <c r="R495" s="162">
        <f t="shared" si="90"/>
        <v>811149.92</v>
      </c>
      <c r="S495" s="797">
        <f t="shared" si="91"/>
        <v>322.91000000000003</v>
      </c>
      <c r="T495" s="162">
        <v>322.91000000000003</v>
      </c>
      <c r="U495" s="132" t="s">
        <v>589</v>
      </c>
      <c r="V495" s="562"/>
    </row>
    <row r="496" spans="1:23" s="563" customFormat="1" ht="9" customHeight="1">
      <c r="A496" s="794">
        <v>135</v>
      </c>
      <c r="B496" s="1026" t="s">
        <v>1100</v>
      </c>
      <c r="C496" s="1027"/>
      <c r="D496" s="1027"/>
      <c r="E496" s="1028">
        <v>1973</v>
      </c>
      <c r="F496" s="1029"/>
      <c r="G496" s="1030" t="s">
        <v>88</v>
      </c>
      <c r="H496" s="391">
        <v>5</v>
      </c>
      <c r="I496" s="391">
        <v>2</v>
      </c>
      <c r="J496" s="1025">
        <v>1906.1</v>
      </c>
      <c r="K496" s="1025">
        <v>1754.1</v>
      </c>
      <c r="L496" s="1025">
        <v>1754.1</v>
      </c>
      <c r="M496" s="527">
        <v>86</v>
      </c>
      <c r="N496" s="797">
        <f>'Приложение 2'!E498</f>
        <v>566416.43000000005</v>
      </c>
      <c r="O496" s="162">
        <v>0</v>
      </c>
      <c r="P496" s="162">
        <v>0</v>
      </c>
      <c r="Q496" s="162">
        <v>0</v>
      </c>
      <c r="R496" s="162">
        <f t="shared" si="90"/>
        <v>566416.43000000005</v>
      </c>
      <c r="S496" s="797">
        <f t="shared" si="91"/>
        <v>322.90999942990715</v>
      </c>
      <c r="T496" s="162">
        <v>322.91000000000003</v>
      </c>
      <c r="U496" s="132" t="s">
        <v>589</v>
      </c>
      <c r="V496" s="562"/>
    </row>
    <row r="497" spans="1:23" s="563" customFormat="1" ht="9" customHeight="1">
      <c r="A497" s="794">
        <v>136</v>
      </c>
      <c r="B497" s="1026" t="s">
        <v>1101</v>
      </c>
      <c r="C497" s="1027"/>
      <c r="D497" s="1027"/>
      <c r="E497" s="1028">
        <v>1970</v>
      </c>
      <c r="F497" s="1029">
        <v>1981</v>
      </c>
      <c r="G497" s="1030" t="s">
        <v>90</v>
      </c>
      <c r="H497" s="391">
        <v>5</v>
      </c>
      <c r="I497" s="391">
        <v>4</v>
      </c>
      <c r="J497" s="1025">
        <v>4132.3</v>
      </c>
      <c r="K497" s="1025">
        <v>3862.3</v>
      </c>
      <c r="L497" s="1025">
        <v>3862.3</v>
      </c>
      <c r="M497" s="527">
        <v>208</v>
      </c>
      <c r="N497" s="797">
        <f>'Приложение 2'!E499</f>
        <v>1247175.29</v>
      </c>
      <c r="O497" s="162">
        <v>0</v>
      </c>
      <c r="P497" s="162">
        <v>0</v>
      </c>
      <c r="Q497" s="162">
        <v>0</v>
      </c>
      <c r="R497" s="162">
        <f t="shared" si="90"/>
        <v>1247175.29</v>
      </c>
      <c r="S497" s="797">
        <f t="shared" si="91"/>
        <v>322.90999922326074</v>
      </c>
      <c r="T497" s="162">
        <v>322.91000000000003</v>
      </c>
      <c r="U497" s="132" t="s">
        <v>589</v>
      </c>
      <c r="V497" s="562"/>
    </row>
    <row r="498" spans="1:23" s="563" customFormat="1" ht="9" customHeight="1">
      <c r="A498" s="794">
        <v>137</v>
      </c>
      <c r="B498" s="1026" t="s">
        <v>1102</v>
      </c>
      <c r="C498" s="1027"/>
      <c r="D498" s="1027"/>
      <c r="E498" s="1028">
        <v>1976</v>
      </c>
      <c r="F498" s="1029"/>
      <c r="G498" s="1030" t="s">
        <v>88</v>
      </c>
      <c r="H498" s="527">
        <v>5</v>
      </c>
      <c r="I498" s="527">
        <v>1</v>
      </c>
      <c r="J498" s="1025">
        <v>1649.7</v>
      </c>
      <c r="K498" s="1025">
        <v>1540.7</v>
      </c>
      <c r="L498" s="1025">
        <v>1540.7</v>
      </c>
      <c r="M498" s="527">
        <v>105</v>
      </c>
      <c r="N498" s="797">
        <f>'Приложение 2'!E500</f>
        <v>497507.44</v>
      </c>
      <c r="O498" s="162">
        <v>0</v>
      </c>
      <c r="P498" s="162">
        <v>0</v>
      </c>
      <c r="Q498" s="162">
        <v>0</v>
      </c>
      <c r="R498" s="162">
        <f t="shared" si="90"/>
        <v>497507.44</v>
      </c>
      <c r="S498" s="797">
        <f t="shared" si="91"/>
        <v>322.91000194716685</v>
      </c>
      <c r="T498" s="162">
        <v>322.91000000000003</v>
      </c>
      <c r="U498" s="132" t="s">
        <v>589</v>
      </c>
      <c r="V498" s="562"/>
    </row>
    <row r="499" spans="1:23" s="563" customFormat="1" ht="9" customHeight="1">
      <c r="A499" s="794">
        <v>138</v>
      </c>
      <c r="B499" s="1026" t="s">
        <v>1103</v>
      </c>
      <c r="C499" s="1027"/>
      <c r="D499" s="1027"/>
      <c r="E499" s="1028">
        <v>1974</v>
      </c>
      <c r="F499" s="1029"/>
      <c r="G499" s="1030" t="s">
        <v>88</v>
      </c>
      <c r="H499" s="527">
        <v>9</v>
      </c>
      <c r="I499" s="527">
        <v>1</v>
      </c>
      <c r="J499" s="1025">
        <v>6272.2</v>
      </c>
      <c r="K499" s="1025">
        <v>3295.6</v>
      </c>
      <c r="L499" s="1025">
        <v>3261.9</v>
      </c>
      <c r="M499" s="527">
        <v>383</v>
      </c>
      <c r="N499" s="797">
        <f>'Приложение 2'!E501</f>
        <v>1400280</v>
      </c>
      <c r="O499" s="162">
        <v>0</v>
      </c>
      <c r="P499" s="162">
        <v>0</v>
      </c>
      <c r="Q499" s="162">
        <v>0</v>
      </c>
      <c r="R499" s="162">
        <f t="shared" si="90"/>
        <v>1400280</v>
      </c>
      <c r="S499" s="797">
        <f t="shared" si="91"/>
        <v>424.89379779099409</v>
      </c>
      <c r="T499" s="162">
        <v>4180</v>
      </c>
      <c r="U499" s="132" t="s">
        <v>589</v>
      </c>
      <c r="V499" s="562"/>
    </row>
    <row r="500" spans="1:23" ht="9" customHeight="1">
      <c r="A500" s="794">
        <v>139</v>
      </c>
      <c r="B500" s="1026" t="s">
        <v>126</v>
      </c>
      <c r="C500" s="1027" t="s">
        <v>1008</v>
      </c>
      <c r="D500" s="1027"/>
      <c r="E500" s="1028">
        <v>1997</v>
      </c>
      <c r="F500" s="1029"/>
      <c r="G500" s="1030" t="s">
        <v>88</v>
      </c>
      <c r="H500" s="527">
        <v>5</v>
      </c>
      <c r="I500" s="527">
        <v>2</v>
      </c>
      <c r="J500" s="1025">
        <v>6092.7</v>
      </c>
      <c r="K500" s="1025">
        <v>5601</v>
      </c>
      <c r="L500" s="1025">
        <v>5481</v>
      </c>
      <c r="M500" s="527">
        <v>253</v>
      </c>
      <c r="N500" s="797">
        <f>'Приложение 2'!E502</f>
        <v>4290366</v>
      </c>
      <c r="O500" s="162">
        <v>0</v>
      </c>
      <c r="P500" s="162">
        <v>0</v>
      </c>
      <c r="Q500" s="162">
        <v>0</v>
      </c>
      <c r="R500" s="162">
        <f t="shared" si="90"/>
        <v>4290366</v>
      </c>
      <c r="S500" s="797">
        <f t="shared" si="91"/>
        <v>766</v>
      </c>
      <c r="T500" s="162">
        <f>4984.65+322.91</f>
        <v>5307.5599999999995</v>
      </c>
      <c r="U500" s="177" t="s">
        <v>589</v>
      </c>
      <c r="V500" s="144"/>
      <c r="W500" s="119"/>
    </row>
    <row r="501" spans="1:23" ht="9" customHeight="1">
      <c r="A501" s="794">
        <v>140</v>
      </c>
      <c r="B501" s="1026" t="s">
        <v>1108</v>
      </c>
      <c r="C501" s="1027"/>
      <c r="D501" s="1027"/>
      <c r="E501" s="1028">
        <v>1982</v>
      </c>
      <c r="F501" s="1029"/>
      <c r="G501" s="1030" t="s">
        <v>90</v>
      </c>
      <c r="H501" s="527">
        <v>5</v>
      </c>
      <c r="I501" s="527">
        <v>5</v>
      </c>
      <c r="J501" s="1025">
        <v>7905.3</v>
      </c>
      <c r="K501" s="1025">
        <v>6517.9</v>
      </c>
      <c r="L501" s="1025">
        <v>5757.0999999999995</v>
      </c>
      <c r="M501" s="527">
        <v>312</v>
      </c>
      <c r="N501" s="797">
        <f>'Приложение 2'!E503</f>
        <v>6094552</v>
      </c>
      <c r="O501" s="162">
        <v>0</v>
      </c>
      <c r="P501" s="162">
        <v>0</v>
      </c>
      <c r="Q501" s="162">
        <v>0</v>
      </c>
      <c r="R501" s="162">
        <f t="shared" si="90"/>
        <v>6094552</v>
      </c>
      <c r="S501" s="797">
        <f t="shared" si="91"/>
        <v>935.04840516117156</v>
      </c>
      <c r="T501" s="162">
        <v>4180</v>
      </c>
      <c r="U501" s="177" t="s">
        <v>589</v>
      </c>
      <c r="V501" s="144"/>
      <c r="W501" s="119"/>
    </row>
    <row r="502" spans="1:23" ht="9" customHeight="1">
      <c r="A502" s="794">
        <v>141</v>
      </c>
      <c r="B502" s="1026" t="s">
        <v>1109</v>
      </c>
      <c r="C502" s="1027"/>
      <c r="D502" s="1027"/>
      <c r="E502" s="1028">
        <v>1989</v>
      </c>
      <c r="F502" s="1029"/>
      <c r="G502" s="1030" t="s">
        <v>90</v>
      </c>
      <c r="H502" s="527">
        <v>5</v>
      </c>
      <c r="I502" s="527">
        <v>8</v>
      </c>
      <c r="J502" s="1025">
        <v>5877.3</v>
      </c>
      <c r="K502" s="1025">
        <v>5200.7</v>
      </c>
      <c r="L502" s="1025">
        <v>4524.0999999999995</v>
      </c>
      <c r="M502" s="527">
        <v>310</v>
      </c>
      <c r="N502" s="797">
        <f>'Приложение 2'!E504</f>
        <v>4090818</v>
      </c>
      <c r="O502" s="162">
        <v>0</v>
      </c>
      <c r="P502" s="162">
        <v>0</v>
      </c>
      <c r="Q502" s="162">
        <v>0</v>
      </c>
      <c r="R502" s="162">
        <f t="shared" si="90"/>
        <v>4090818</v>
      </c>
      <c r="S502" s="797">
        <f t="shared" si="91"/>
        <v>786.58988213125156</v>
      </c>
      <c r="T502" s="162">
        <v>4180</v>
      </c>
      <c r="U502" s="177" t="s">
        <v>589</v>
      </c>
      <c r="V502" s="144"/>
      <c r="W502" s="119"/>
    </row>
    <row r="503" spans="1:23" ht="9" customHeight="1">
      <c r="A503" s="794">
        <v>142</v>
      </c>
      <c r="B503" s="136" t="s">
        <v>1160</v>
      </c>
      <c r="C503" s="1027"/>
      <c r="D503" s="1027"/>
      <c r="E503" s="1028">
        <v>1966</v>
      </c>
      <c r="F503" s="1029"/>
      <c r="G503" s="1030" t="s">
        <v>90</v>
      </c>
      <c r="H503" s="527">
        <v>5</v>
      </c>
      <c r="I503" s="527">
        <v>4</v>
      </c>
      <c r="J503" s="1025">
        <v>3821.6</v>
      </c>
      <c r="K503" s="1025">
        <v>3520.6</v>
      </c>
      <c r="L503" s="1025">
        <v>3520.6</v>
      </c>
      <c r="M503" s="527">
        <v>154</v>
      </c>
      <c r="N503" s="797">
        <f>'Приложение 2'!E505</f>
        <v>6608166.2000000002</v>
      </c>
      <c r="O503" s="162">
        <v>0</v>
      </c>
      <c r="P503" s="162">
        <v>0</v>
      </c>
      <c r="Q503" s="162">
        <v>0</v>
      </c>
      <c r="R503" s="162">
        <f t="shared" ref="R503" si="92">N503</f>
        <v>6608166.2000000002</v>
      </c>
      <c r="S503" s="797">
        <f t="shared" ref="S503" si="93">N503/K503</f>
        <v>1877</v>
      </c>
      <c r="T503" s="162">
        <f>4984.65+322.91</f>
        <v>5307.5599999999995</v>
      </c>
      <c r="U503" s="177" t="s">
        <v>589</v>
      </c>
      <c r="V503" s="144"/>
      <c r="W503" s="119"/>
    </row>
    <row r="504" spans="1:23" ht="22.5" customHeight="1">
      <c r="A504" s="864" t="s">
        <v>109</v>
      </c>
      <c r="B504" s="864"/>
      <c r="C504" s="796"/>
      <c r="D504" s="796"/>
      <c r="E504" s="801" t="s">
        <v>391</v>
      </c>
      <c r="F504" s="801" t="s">
        <v>391</v>
      </c>
      <c r="G504" s="801" t="s">
        <v>391</v>
      </c>
      <c r="H504" s="801" t="s">
        <v>391</v>
      </c>
      <c r="I504" s="801" t="s">
        <v>391</v>
      </c>
      <c r="J504" s="560">
        <f>SUM(J362:J503)</f>
        <v>580080.45999999985</v>
      </c>
      <c r="K504" s="560">
        <f t="shared" ref="K504:M504" si="94">SUM(K362:K503)</f>
        <v>499881.70999999996</v>
      </c>
      <c r="L504" s="560">
        <f t="shared" si="94"/>
        <v>384669.64999999979</v>
      </c>
      <c r="M504" s="560">
        <f t="shared" si="94"/>
        <v>19339</v>
      </c>
      <c r="N504" s="560">
        <f>SUM(N362:N503)</f>
        <v>549275227.73000026</v>
      </c>
      <c r="O504" s="560">
        <f t="shared" ref="O504:R504" si="95">SUM(O362:O503)</f>
        <v>0</v>
      </c>
      <c r="P504" s="560">
        <f t="shared" si="95"/>
        <v>0</v>
      </c>
      <c r="Q504" s="560">
        <f t="shared" si="95"/>
        <v>0</v>
      </c>
      <c r="R504" s="560">
        <f t="shared" si="95"/>
        <v>549275227.73000026</v>
      </c>
      <c r="S504" s="797">
        <f>N504/K504</f>
        <v>1098.8104120272781</v>
      </c>
      <c r="T504" s="158"/>
      <c r="U504" s="177"/>
      <c r="V504" s="144">
        <f t="shared" ref="V504:V510" si="96">T504-S504</f>
        <v>-1098.8104120272781</v>
      </c>
    </row>
    <row r="505" spans="1:23" s="159" customFormat="1" ht="9" customHeight="1">
      <c r="A505" s="837" t="s">
        <v>221</v>
      </c>
      <c r="B505" s="838"/>
      <c r="C505" s="838"/>
      <c r="D505" s="838"/>
      <c r="E505" s="838"/>
      <c r="F505" s="838"/>
      <c r="G505" s="838"/>
      <c r="H505" s="838"/>
      <c r="I505" s="838"/>
      <c r="J505" s="838"/>
      <c r="K505" s="838"/>
      <c r="L505" s="838"/>
      <c r="M505" s="838"/>
      <c r="N505" s="838"/>
      <c r="O505" s="838"/>
      <c r="P505" s="838"/>
      <c r="Q505" s="838"/>
      <c r="R505" s="838"/>
      <c r="S505" s="838"/>
      <c r="T505" s="838"/>
      <c r="U505" s="839"/>
      <c r="V505" s="144">
        <f t="shared" si="96"/>
        <v>0</v>
      </c>
      <c r="W505" s="521"/>
    </row>
    <row r="506" spans="1:23" s="159" customFormat="1" ht="9" customHeight="1">
      <c r="A506" s="803">
        <v>130</v>
      </c>
      <c r="B506" s="568" t="s">
        <v>750</v>
      </c>
      <c r="C506" s="569" t="s">
        <v>1192</v>
      </c>
      <c r="D506" s="569" t="s">
        <v>111</v>
      </c>
      <c r="E506" s="570" t="s">
        <v>598</v>
      </c>
      <c r="F506" s="141"/>
      <c r="G506" s="571" t="s">
        <v>88</v>
      </c>
      <c r="H506" s="572">
        <v>5</v>
      </c>
      <c r="I506" s="572">
        <v>4</v>
      </c>
      <c r="J506" s="573">
        <v>3443.4</v>
      </c>
      <c r="K506" s="573">
        <v>2530.3000000000002</v>
      </c>
      <c r="L506" s="573">
        <v>2530.3000000000002</v>
      </c>
      <c r="M506" s="572">
        <v>121</v>
      </c>
      <c r="N506" s="797">
        <f>'Приложение 2'!E508</f>
        <v>3833583.6</v>
      </c>
      <c r="O506" s="797">
        <v>0</v>
      </c>
      <c r="P506" s="797">
        <v>0</v>
      </c>
      <c r="Q506" s="797">
        <v>0</v>
      </c>
      <c r="R506" s="797">
        <f t="shared" ref="R506:R510" si="97">N506</f>
        <v>3833583.6</v>
      </c>
      <c r="S506" s="797">
        <f t="shared" ref="S506:S509" si="98">N506/K506</f>
        <v>1515.070782120697</v>
      </c>
      <c r="T506" s="797">
        <v>4503.95</v>
      </c>
      <c r="U506" s="132" t="s">
        <v>589</v>
      </c>
      <c r="V506" s="144">
        <f t="shared" si="96"/>
        <v>2988.8792178793028</v>
      </c>
      <c r="W506" s="521"/>
    </row>
    <row r="507" spans="1:23" s="159" customFormat="1" ht="9" customHeight="1">
      <c r="A507" s="803">
        <v>131</v>
      </c>
      <c r="B507" s="568" t="s">
        <v>751</v>
      </c>
      <c r="C507" s="569" t="s">
        <v>1194</v>
      </c>
      <c r="D507" s="569" t="s">
        <v>111</v>
      </c>
      <c r="E507" s="570" t="s">
        <v>753</v>
      </c>
      <c r="F507" s="141"/>
      <c r="G507" s="571" t="s">
        <v>88</v>
      </c>
      <c r="H507" s="572">
        <v>4</v>
      </c>
      <c r="I507" s="572">
        <v>2</v>
      </c>
      <c r="J507" s="573">
        <v>1841.5</v>
      </c>
      <c r="K507" s="573">
        <v>1510.5</v>
      </c>
      <c r="L507" s="573">
        <v>1469.8</v>
      </c>
      <c r="M507" s="572">
        <v>70</v>
      </c>
      <c r="N507" s="797">
        <f>'Приложение 2'!E509</f>
        <v>2075139.66</v>
      </c>
      <c r="O507" s="797">
        <v>0</v>
      </c>
      <c r="P507" s="797">
        <v>0</v>
      </c>
      <c r="Q507" s="797">
        <v>0</v>
      </c>
      <c r="R507" s="797">
        <f t="shared" si="97"/>
        <v>2075139.66</v>
      </c>
      <c r="S507" s="797">
        <f t="shared" si="98"/>
        <v>1373.8097715988083</v>
      </c>
      <c r="T507" s="797">
        <v>3929.2</v>
      </c>
      <c r="U507" s="132" t="s">
        <v>589</v>
      </c>
      <c r="V507" s="144">
        <f t="shared" si="96"/>
        <v>2555.3902284011915</v>
      </c>
      <c r="W507" s="521"/>
    </row>
    <row r="508" spans="1:23" s="159" customFormat="1" ht="9" customHeight="1">
      <c r="A508" s="803">
        <v>132</v>
      </c>
      <c r="B508" s="574" t="s">
        <v>752</v>
      </c>
      <c r="C508" s="575" t="s">
        <v>1192</v>
      </c>
      <c r="D508" s="575" t="s">
        <v>111</v>
      </c>
      <c r="E508" s="576" t="s">
        <v>606</v>
      </c>
      <c r="F508" s="542"/>
      <c r="G508" s="577" t="s">
        <v>88</v>
      </c>
      <c r="H508" s="578">
        <v>4</v>
      </c>
      <c r="I508" s="578">
        <v>3</v>
      </c>
      <c r="J508" s="579">
        <v>2582.9</v>
      </c>
      <c r="K508" s="579">
        <v>1684.6</v>
      </c>
      <c r="L508" s="579">
        <v>644</v>
      </c>
      <c r="M508" s="578">
        <v>70</v>
      </c>
      <c r="N508" s="797">
        <f>'Приложение 2'!E510</f>
        <v>3858162</v>
      </c>
      <c r="O508" s="164">
        <v>0</v>
      </c>
      <c r="P508" s="164">
        <v>0</v>
      </c>
      <c r="Q508" s="164">
        <v>0</v>
      </c>
      <c r="R508" s="164">
        <f t="shared" si="97"/>
        <v>3858162</v>
      </c>
      <c r="S508" s="164">
        <f t="shared" si="98"/>
        <v>2290.2540662471806</v>
      </c>
      <c r="T508" s="797">
        <v>4503.95</v>
      </c>
      <c r="U508" s="165" t="s">
        <v>589</v>
      </c>
      <c r="V508" s="144">
        <f t="shared" si="96"/>
        <v>2213.6959337528192</v>
      </c>
      <c r="W508" s="521"/>
    </row>
    <row r="509" spans="1:23" s="159" customFormat="1" ht="9" customHeight="1">
      <c r="A509" s="803">
        <v>133</v>
      </c>
      <c r="B509" s="568" t="s">
        <v>1064</v>
      </c>
      <c r="C509" s="569" t="s">
        <v>1192</v>
      </c>
      <c r="D509" s="569" t="s">
        <v>111</v>
      </c>
      <c r="E509" s="570" t="s">
        <v>607</v>
      </c>
      <c r="F509" s="141"/>
      <c r="G509" s="571" t="s">
        <v>88</v>
      </c>
      <c r="H509" s="572">
        <v>5</v>
      </c>
      <c r="I509" s="572">
        <v>4</v>
      </c>
      <c r="J509" s="573">
        <v>3813.8</v>
      </c>
      <c r="K509" s="573">
        <v>3523.8</v>
      </c>
      <c r="L509" s="573">
        <v>199</v>
      </c>
      <c r="M509" s="572">
        <v>131</v>
      </c>
      <c r="N509" s="797">
        <f>'Приложение 2'!E511</f>
        <v>4501728</v>
      </c>
      <c r="O509" s="797">
        <v>0</v>
      </c>
      <c r="P509" s="797">
        <v>0</v>
      </c>
      <c r="Q509" s="797">
        <v>0</v>
      </c>
      <c r="R509" s="797">
        <f t="shared" si="97"/>
        <v>4501728</v>
      </c>
      <c r="S509" s="797">
        <f t="shared" si="98"/>
        <v>1277.5208581644815</v>
      </c>
      <c r="T509" s="797">
        <v>4503.95</v>
      </c>
      <c r="U509" s="132" t="s">
        <v>589</v>
      </c>
      <c r="V509" s="144">
        <f t="shared" si="96"/>
        <v>3226.4291418355183</v>
      </c>
      <c r="W509" s="521"/>
    </row>
    <row r="510" spans="1:23" s="159" customFormat="1" ht="9" customHeight="1">
      <c r="A510" s="803">
        <v>134</v>
      </c>
      <c r="B510" s="574" t="s">
        <v>1065</v>
      </c>
      <c r="C510" s="575" t="s">
        <v>1195</v>
      </c>
      <c r="D510" s="575" t="s">
        <v>110</v>
      </c>
      <c r="E510" s="576" t="s">
        <v>299</v>
      </c>
      <c r="F510" s="542"/>
      <c r="G510" s="577" t="s">
        <v>90</v>
      </c>
      <c r="H510" s="578">
        <v>5</v>
      </c>
      <c r="I510" s="578">
        <v>8</v>
      </c>
      <c r="J510" s="579">
        <v>6928</v>
      </c>
      <c r="K510" s="579">
        <f>5865.7+59</f>
        <v>5924.7</v>
      </c>
      <c r="L510" s="579">
        <v>3916</v>
      </c>
      <c r="M510" s="578">
        <v>282</v>
      </c>
      <c r="N510" s="797">
        <f>'Приложение 2'!E512</f>
        <v>15092739.390000001</v>
      </c>
      <c r="O510" s="164">
        <v>0</v>
      </c>
      <c r="P510" s="164">
        <v>0</v>
      </c>
      <c r="Q510" s="164">
        <v>0</v>
      </c>
      <c r="R510" s="164">
        <f t="shared" si="97"/>
        <v>15092739.390000001</v>
      </c>
      <c r="S510" s="164">
        <f>N510/K510</f>
        <v>2547.426770975746</v>
      </c>
      <c r="T510" s="164">
        <f>4984.65</f>
        <v>4984.6499999999996</v>
      </c>
      <c r="U510" s="165" t="s">
        <v>589</v>
      </c>
      <c r="V510" s="144">
        <f t="shared" si="96"/>
        <v>2437.2232290242537</v>
      </c>
      <c r="W510" s="521"/>
    </row>
    <row r="511" spans="1:23" s="581" customFormat="1" ht="9" customHeight="1">
      <c r="A511" s="803">
        <v>135</v>
      </c>
      <c r="B511" s="309" t="s">
        <v>230</v>
      </c>
      <c r="C511" s="386" t="s">
        <v>1006</v>
      </c>
      <c r="D511" s="386"/>
      <c r="E511" s="310">
        <v>1917</v>
      </c>
      <c r="F511" s="141"/>
      <c r="G511" s="311" t="s">
        <v>88</v>
      </c>
      <c r="H511" s="312">
        <v>3</v>
      </c>
      <c r="I511" s="312">
        <v>1</v>
      </c>
      <c r="J511" s="313">
        <v>703.1</v>
      </c>
      <c r="K511" s="313">
        <v>634.79999999999995</v>
      </c>
      <c r="L511" s="313">
        <v>318.5</v>
      </c>
      <c r="M511" s="312">
        <v>19</v>
      </c>
      <c r="N511" s="797">
        <f>'Приложение 2'!E513</f>
        <v>1106278.29</v>
      </c>
      <c r="O511" s="797">
        <v>0</v>
      </c>
      <c r="P511" s="797">
        <v>0</v>
      </c>
      <c r="Q511" s="797">
        <v>0</v>
      </c>
      <c r="R511" s="797">
        <v>1106278.29</v>
      </c>
      <c r="S511" s="797">
        <v>1742.719423440454</v>
      </c>
      <c r="T511" s="797">
        <v>4503.95</v>
      </c>
      <c r="U511" s="132" t="s">
        <v>589</v>
      </c>
      <c r="V511" s="555"/>
      <c r="W511" s="580"/>
    </row>
    <row r="512" spans="1:23" s="581" customFormat="1" ht="9" customHeight="1">
      <c r="A512" s="803">
        <v>120</v>
      </c>
      <c r="B512" s="1032" t="s">
        <v>1037</v>
      </c>
      <c r="C512" s="1033"/>
      <c r="D512" s="1033"/>
      <c r="E512" s="1034">
        <v>1966</v>
      </c>
      <c r="F512" s="141"/>
      <c r="G512" s="311" t="s">
        <v>90</v>
      </c>
      <c r="H512" s="312">
        <v>4</v>
      </c>
      <c r="I512" s="312">
        <v>4</v>
      </c>
      <c r="J512" s="1035">
        <v>3064</v>
      </c>
      <c r="K512" s="1035">
        <v>2829.6</v>
      </c>
      <c r="L512" s="1035">
        <v>2829.6</v>
      </c>
      <c r="M512" s="1036">
        <v>132</v>
      </c>
      <c r="N512" s="797">
        <f>'Приложение 2'!E514</f>
        <v>857510.28</v>
      </c>
      <c r="O512" s="160">
        <v>0</v>
      </c>
      <c r="P512" s="160">
        <v>0</v>
      </c>
      <c r="Q512" s="160">
        <v>0</v>
      </c>
      <c r="R512" s="160">
        <v>857510.28</v>
      </c>
      <c r="S512" s="797">
        <v>303.05</v>
      </c>
      <c r="T512" s="797">
        <v>4984.6499999999996</v>
      </c>
      <c r="U512" s="165" t="s">
        <v>589</v>
      </c>
      <c r="V512" s="555"/>
      <c r="W512" s="580"/>
    </row>
    <row r="513" spans="1:23" s="159" customFormat="1" ht="20.25" customHeight="1">
      <c r="A513" s="829" t="s">
        <v>222</v>
      </c>
      <c r="B513" s="830"/>
      <c r="C513" s="784"/>
      <c r="D513" s="784"/>
      <c r="E513" s="147" t="s">
        <v>391</v>
      </c>
      <c r="F513" s="141" t="s">
        <v>391</v>
      </c>
      <c r="G513" s="141" t="s">
        <v>391</v>
      </c>
      <c r="H513" s="141" t="s">
        <v>391</v>
      </c>
      <c r="I513" s="141" t="s">
        <v>391</v>
      </c>
      <c r="J513" s="160">
        <f>SUM(J506:J512)</f>
        <v>22376.699999999997</v>
      </c>
      <c r="K513" s="160">
        <f t="shared" ref="K513:R513" si="99">SUM(K506:K512)</f>
        <v>18638.3</v>
      </c>
      <c r="L513" s="160">
        <f t="shared" si="99"/>
        <v>11907.2</v>
      </c>
      <c r="M513" s="160">
        <f t="shared" si="99"/>
        <v>825</v>
      </c>
      <c r="N513" s="160">
        <f t="shared" si="99"/>
        <v>31325141.219999999</v>
      </c>
      <c r="O513" s="160">
        <f t="shared" si="99"/>
        <v>0</v>
      </c>
      <c r="P513" s="160">
        <f t="shared" si="99"/>
        <v>0</v>
      </c>
      <c r="Q513" s="160">
        <f t="shared" si="99"/>
        <v>0</v>
      </c>
      <c r="R513" s="160">
        <f t="shared" si="99"/>
        <v>31325141.219999999</v>
      </c>
      <c r="S513" s="797">
        <f>N513/K513</f>
        <v>1680.6866087572364</v>
      </c>
      <c r="T513" s="797"/>
      <c r="U513" s="132"/>
      <c r="V513" s="144">
        <f t="shared" ref="V513:V576" si="100">T513-S513</f>
        <v>-1680.6866087572364</v>
      </c>
      <c r="W513" s="521"/>
    </row>
    <row r="514" spans="1:23" s="159" customFormat="1" ht="9" customHeight="1">
      <c r="A514" s="837" t="s">
        <v>232</v>
      </c>
      <c r="B514" s="838"/>
      <c r="C514" s="838"/>
      <c r="D514" s="838"/>
      <c r="E514" s="838"/>
      <c r="F514" s="838"/>
      <c r="G514" s="838"/>
      <c r="H514" s="838"/>
      <c r="I514" s="838"/>
      <c r="J514" s="838"/>
      <c r="K514" s="838"/>
      <c r="L514" s="838"/>
      <c r="M514" s="838"/>
      <c r="N514" s="838"/>
      <c r="O514" s="838"/>
      <c r="P514" s="838"/>
      <c r="Q514" s="838"/>
      <c r="R514" s="838"/>
      <c r="S514" s="838"/>
      <c r="T514" s="838"/>
      <c r="U514" s="839"/>
      <c r="V514" s="144">
        <f t="shared" si="100"/>
        <v>0</v>
      </c>
      <c r="W514" s="521"/>
    </row>
    <row r="515" spans="1:23" s="159" customFormat="1" ht="9" customHeight="1">
      <c r="A515" s="794">
        <v>135</v>
      </c>
      <c r="B515" s="582" t="s">
        <v>763</v>
      </c>
      <c r="C515" s="583" t="s">
        <v>1192</v>
      </c>
      <c r="D515" s="583" t="s">
        <v>110</v>
      </c>
      <c r="E515" s="584" t="s">
        <v>617</v>
      </c>
      <c r="F515" s="794"/>
      <c r="G515" s="585" t="s">
        <v>90</v>
      </c>
      <c r="H515" s="586">
        <v>5</v>
      </c>
      <c r="I515" s="586">
        <v>6</v>
      </c>
      <c r="J515" s="587">
        <v>4378.8999999999996</v>
      </c>
      <c r="K515" s="587">
        <v>3936.1</v>
      </c>
      <c r="L515" s="587">
        <v>302</v>
      </c>
      <c r="M515" s="586">
        <v>18</v>
      </c>
      <c r="N515" s="797">
        <f>'Приложение 2'!E517</f>
        <v>3770754</v>
      </c>
      <c r="O515" s="797">
        <v>0</v>
      </c>
      <c r="P515" s="797">
        <v>0</v>
      </c>
      <c r="Q515" s="797">
        <v>0</v>
      </c>
      <c r="R515" s="797">
        <f t="shared" ref="R515:R527" si="101">N515</f>
        <v>3770754</v>
      </c>
      <c r="S515" s="797">
        <f t="shared" ref="S515:S528" si="102">N515/K515</f>
        <v>957.99242905413996</v>
      </c>
      <c r="T515" s="797">
        <v>4180</v>
      </c>
      <c r="U515" s="132" t="s">
        <v>589</v>
      </c>
      <c r="V515" s="144">
        <f t="shared" si="100"/>
        <v>3222.0075709458602</v>
      </c>
      <c r="W515" s="521"/>
    </row>
    <row r="516" spans="1:23" s="159" customFormat="1" ht="9" customHeight="1">
      <c r="A516" s="794">
        <v>136</v>
      </c>
      <c r="B516" s="582" t="s">
        <v>764</v>
      </c>
      <c r="C516" s="583" t="s">
        <v>1192</v>
      </c>
      <c r="D516" s="583" t="s">
        <v>110</v>
      </c>
      <c r="E516" s="584" t="s">
        <v>299</v>
      </c>
      <c r="F516" s="794"/>
      <c r="G516" s="585" t="s">
        <v>88</v>
      </c>
      <c r="H516" s="586">
        <v>5</v>
      </c>
      <c r="I516" s="586">
        <v>4</v>
      </c>
      <c r="J516" s="587">
        <v>3170.6</v>
      </c>
      <c r="K516" s="587">
        <v>2892.3</v>
      </c>
      <c r="L516" s="587">
        <v>953</v>
      </c>
      <c r="M516" s="586">
        <v>131</v>
      </c>
      <c r="N516" s="797">
        <f>'Приложение 2'!E518</f>
        <v>2409815.2000000002</v>
      </c>
      <c r="O516" s="797">
        <v>0</v>
      </c>
      <c r="P516" s="797">
        <v>0</v>
      </c>
      <c r="Q516" s="797">
        <v>0</v>
      </c>
      <c r="R516" s="797">
        <f t="shared" si="101"/>
        <v>2409815.2000000002</v>
      </c>
      <c r="S516" s="797">
        <f t="shared" si="102"/>
        <v>833.18300314628493</v>
      </c>
      <c r="T516" s="797">
        <v>4180</v>
      </c>
      <c r="U516" s="132" t="s">
        <v>589</v>
      </c>
      <c r="V516" s="144">
        <f t="shared" si="100"/>
        <v>3346.816996853715</v>
      </c>
      <c r="W516" s="521"/>
    </row>
    <row r="517" spans="1:23" s="589" customFormat="1" ht="9" customHeight="1">
      <c r="A517" s="794">
        <v>137</v>
      </c>
      <c r="B517" s="582" t="s">
        <v>765</v>
      </c>
      <c r="C517" s="583" t="s">
        <v>1192</v>
      </c>
      <c r="D517" s="583" t="s">
        <v>110</v>
      </c>
      <c r="E517" s="584" t="s">
        <v>599</v>
      </c>
      <c r="F517" s="794"/>
      <c r="G517" s="585" t="s">
        <v>88</v>
      </c>
      <c r="H517" s="586">
        <v>5</v>
      </c>
      <c r="I517" s="586">
        <v>6</v>
      </c>
      <c r="J517" s="587">
        <v>4550.1000000000004</v>
      </c>
      <c r="K517" s="587">
        <v>4096.3999999999996</v>
      </c>
      <c r="L517" s="587">
        <v>493</v>
      </c>
      <c r="M517" s="586">
        <v>144</v>
      </c>
      <c r="N517" s="797">
        <f>'Приложение 2'!E519</f>
        <v>1851572.8</v>
      </c>
      <c r="O517" s="797">
        <v>0</v>
      </c>
      <c r="P517" s="797">
        <v>0</v>
      </c>
      <c r="Q517" s="797">
        <v>0</v>
      </c>
      <c r="R517" s="797">
        <f t="shared" si="101"/>
        <v>1851572.8</v>
      </c>
      <c r="S517" s="797">
        <f t="shared" si="102"/>
        <v>452.00000000000006</v>
      </c>
      <c r="T517" s="797">
        <f>4984.65+322.91</f>
        <v>5307.5599999999995</v>
      </c>
      <c r="U517" s="132" t="s">
        <v>589</v>
      </c>
      <c r="V517" s="562">
        <f t="shared" si="100"/>
        <v>4855.5599999999995</v>
      </c>
      <c r="W517" s="588"/>
    </row>
    <row r="518" spans="1:23" s="159" customFormat="1" ht="9" customHeight="1">
      <c r="A518" s="794">
        <v>138</v>
      </c>
      <c r="B518" s="582" t="s">
        <v>766</v>
      </c>
      <c r="C518" s="583" t="s">
        <v>1192</v>
      </c>
      <c r="D518" s="583" t="s">
        <v>110</v>
      </c>
      <c r="E518" s="584" t="s">
        <v>299</v>
      </c>
      <c r="F518" s="794"/>
      <c r="G518" s="585" t="s">
        <v>88</v>
      </c>
      <c r="H518" s="586">
        <v>5</v>
      </c>
      <c r="I518" s="586">
        <v>5</v>
      </c>
      <c r="J518" s="587">
        <v>4074.4</v>
      </c>
      <c r="K518" s="587">
        <v>3701.7</v>
      </c>
      <c r="L518" s="587">
        <v>1358</v>
      </c>
      <c r="M518" s="586">
        <v>76</v>
      </c>
      <c r="N518" s="797">
        <f>'Приложение 2'!E520</f>
        <v>2982596.4</v>
      </c>
      <c r="O518" s="797">
        <v>0</v>
      </c>
      <c r="P518" s="797">
        <v>0</v>
      </c>
      <c r="Q518" s="797">
        <v>0</v>
      </c>
      <c r="R518" s="797">
        <f t="shared" si="101"/>
        <v>2982596.4</v>
      </c>
      <c r="S518" s="797">
        <f t="shared" si="102"/>
        <v>805.73693168003888</v>
      </c>
      <c r="T518" s="797">
        <v>4180</v>
      </c>
      <c r="U518" s="132" t="s">
        <v>589</v>
      </c>
      <c r="V518" s="144">
        <f t="shared" si="100"/>
        <v>3374.2630683199613</v>
      </c>
      <c r="W518" s="521"/>
    </row>
    <row r="519" spans="1:23" s="159" customFormat="1" ht="9" customHeight="1">
      <c r="A519" s="794">
        <v>139</v>
      </c>
      <c r="B519" s="582" t="s">
        <v>767</v>
      </c>
      <c r="C519" s="583" t="s">
        <v>1192</v>
      </c>
      <c r="D519" s="583" t="s">
        <v>111</v>
      </c>
      <c r="E519" s="584" t="s">
        <v>599</v>
      </c>
      <c r="F519" s="794"/>
      <c r="G519" s="585" t="s">
        <v>88</v>
      </c>
      <c r="H519" s="586">
        <v>5</v>
      </c>
      <c r="I519" s="586">
        <v>2</v>
      </c>
      <c r="J519" s="587">
        <v>1483.7</v>
      </c>
      <c r="K519" s="587">
        <v>1344.9</v>
      </c>
      <c r="L519" s="587">
        <v>736</v>
      </c>
      <c r="M519" s="586">
        <v>49</v>
      </c>
      <c r="N519" s="797">
        <f>'Приложение 2'!E521</f>
        <v>1529682</v>
      </c>
      <c r="O519" s="797">
        <v>0</v>
      </c>
      <c r="P519" s="797">
        <v>0</v>
      </c>
      <c r="Q519" s="797">
        <v>0</v>
      </c>
      <c r="R519" s="797">
        <f t="shared" si="101"/>
        <v>1529682</v>
      </c>
      <c r="S519" s="797">
        <f t="shared" si="102"/>
        <v>1137.3946018291322</v>
      </c>
      <c r="T519" s="797">
        <v>4503.95</v>
      </c>
      <c r="U519" s="132" t="s">
        <v>589</v>
      </c>
      <c r="V519" s="144">
        <f t="shared" si="100"/>
        <v>3366.5553981708676</v>
      </c>
      <c r="W519" s="521"/>
    </row>
    <row r="520" spans="1:23" s="159" customFormat="1" ht="9" customHeight="1">
      <c r="A520" s="794">
        <v>140</v>
      </c>
      <c r="B520" s="582" t="s">
        <v>768</v>
      </c>
      <c r="C520" s="583" t="s">
        <v>1192</v>
      </c>
      <c r="D520" s="583" t="s">
        <v>110</v>
      </c>
      <c r="E520" s="584" t="s">
        <v>617</v>
      </c>
      <c r="F520" s="794"/>
      <c r="G520" s="585" t="s">
        <v>88</v>
      </c>
      <c r="H520" s="586">
        <v>5</v>
      </c>
      <c r="I520" s="586">
        <v>4</v>
      </c>
      <c r="J520" s="587">
        <v>3633.2</v>
      </c>
      <c r="K520" s="587">
        <v>3203</v>
      </c>
      <c r="L520" s="587">
        <v>1306</v>
      </c>
      <c r="M520" s="586">
        <v>71</v>
      </c>
      <c r="N520" s="797">
        <f>'Приложение 2'!E522</f>
        <v>3534040</v>
      </c>
      <c r="O520" s="797">
        <v>0</v>
      </c>
      <c r="P520" s="797">
        <v>0</v>
      </c>
      <c r="Q520" s="797">
        <v>0</v>
      </c>
      <c r="R520" s="797">
        <f t="shared" si="101"/>
        <v>3534040</v>
      </c>
      <c r="S520" s="797">
        <f t="shared" si="102"/>
        <v>1103.3531064626911</v>
      </c>
      <c r="T520" s="797">
        <v>4180</v>
      </c>
      <c r="U520" s="132" t="s">
        <v>589</v>
      </c>
      <c r="V520" s="144">
        <f t="shared" si="100"/>
        <v>3076.6468935373086</v>
      </c>
      <c r="W520" s="521"/>
    </row>
    <row r="521" spans="1:23" s="159" customFormat="1" ht="9" customHeight="1">
      <c r="A521" s="794">
        <v>141</v>
      </c>
      <c r="B521" s="582" t="s">
        <v>769</v>
      </c>
      <c r="C521" s="583" t="s">
        <v>1192</v>
      </c>
      <c r="D521" s="583" t="s">
        <v>110</v>
      </c>
      <c r="E521" s="584" t="s">
        <v>299</v>
      </c>
      <c r="F521" s="794"/>
      <c r="G521" s="585" t="s">
        <v>90</v>
      </c>
      <c r="H521" s="586">
        <v>3</v>
      </c>
      <c r="I521" s="586">
        <v>3</v>
      </c>
      <c r="J521" s="587">
        <v>1391.7</v>
      </c>
      <c r="K521" s="587">
        <v>1271</v>
      </c>
      <c r="L521" s="587">
        <v>455</v>
      </c>
      <c r="M521" s="586">
        <v>30</v>
      </c>
      <c r="N521" s="797">
        <f>'Приложение 2'!E523</f>
        <v>2000400</v>
      </c>
      <c r="O521" s="797">
        <v>0</v>
      </c>
      <c r="P521" s="797">
        <v>0</v>
      </c>
      <c r="Q521" s="797">
        <v>0</v>
      </c>
      <c r="R521" s="797">
        <f t="shared" si="101"/>
        <v>2000400</v>
      </c>
      <c r="S521" s="797">
        <f t="shared" si="102"/>
        <v>1573.8788355625493</v>
      </c>
      <c r="T521" s="797">
        <v>4180</v>
      </c>
      <c r="U521" s="132" t="s">
        <v>589</v>
      </c>
      <c r="V521" s="144">
        <f t="shared" si="100"/>
        <v>2606.1211644374507</v>
      </c>
      <c r="W521" s="521"/>
    </row>
    <row r="522" spans="1:23" s="159" customFormat="1" ht="9" customHeight="1">
      <c r="A522" s="794">
        <v>142</v>
      </c>
      <c r="B522" s="582" t="s">
        <v>770</v>
      </c>
      <c r="C522" s="583" t="s">
        <v>1192</v>
      </c>
      <c r="D522" s="583" t="s">
        <v>110</v>
      </c>
      <c r="E522" s="584" t="s">
        <v>592</v>
      </c>
      <c r="F522" s="794"/>
      <c r="G522" s="585" t="s">
        <v>88</v>
      </c>
      <c r="H522" s="586">
        <v>5</v>
      </c>
      <c r="I522" s="586">
        <v>6</v>
      </c>
      <c r="J522" s="587">
        <v>4908.8</v>
      </c>
      <c r="K522" s="587">
        <v>4444.8</v>
      </c>
      <c r="L522" s="587">
        <v>431</v>
      </c>
      <c r="M522" s="586">
        <v>21</v>
      </c>
      <c r="N522" s="797">
        <f>'Приложение 2'!E524</f>
        <v>4487564</v>
      </c>
      <c r="O522" s="797">
        <v>0</v>
      </c>
      <c r="P522" s="797">
        <v>0</v>
      </c>
      <c r="Q522" s="797">
        <v>0</v>
      </c>
      <c r="R522" s="797">
        <f t="shared" si="101"/>
        <v>4487564</v>
      </c>
      <c r="S522" s="797">
        <f t="shared" si="102"/>
        <v>1009.6211303095752</v>
      </c>
      <c r="T522" s="797">
        <v>4180</v>
      </c>
      <c r="U522" s="132" t="s">
        <v>589</v>
      </c>
      <c r="V522" s="144">
        <f t="shared" si="100"/>
        <v>3170.3788696904248</v>
      </c>
      <c r="W522" s="521"/>
    </row>
    <row r="523" spans="1:23" s="159" customFormat="1" ht="9" customHeight="1">
      <c r="A523" s="794">
        <v>143</v>
      </c>
      <c r="B523" s="582" t="s">
        <v>771</v>
      </c>
      <c r="C523" s="583" t="s">
        <v>1192</v>
      </c>
      <c r="D523" s="583" t="s">
        <v>111</v>
      </c>
      <c r="E523" s="584" t="s">
        <v>592</v>
      </c>
      <c r="F523" s="794"/>
      <c r="G523" s="585" t="s">
        <v>88</v>
      </c>
      <c r="H523" s="586">
        <v>2</v>
      </c>
      <c r="I523" s="586">
        <v>3</v>
      </c>
      <c r="J523" s="587">
        <v>946.2</v>
      </c>
      <c r="K523" s="587">
        <v>861.6</v>
      </c>
      <c r="L523" s="587">
        <v>433</v>
      </c>
      <c r="M523" s="586">
        <v>29</v>
      </c>
      <c r="N523" s="797">
        <f>'Приложение 2'!E525</f>
        <v>2600136</v>
      </c>
      <c r="O523" s="797">
        <v>0</v>
      </c>
      <c r="P523" s="797">
        <v>0</v>
      </c>
      <c r="Q523" s="797">
        <v>0</v>
      </c>
      <c r="R523" s="797">
        <f t="shared" si="101"/>
        <v>2600136</v>
      </c>
      <c r="S523" s="797">
        <f t="shared" si="102"/>
        <v>3017.7994428969359</v>
      </c>
      <c r="T523" s="797">
        <v>4503.95</v>
      </c>
      <c r="U523" s="132" t="s">
        <v>589</v>
      </c>
      <c r="V523" s="144">
        <f t="shared" si="100"/>
        <v>1486.1505571030639</v>
      </c>
      <c r="W523" s="521"/>
    </row>
    <row r="524" spans="1:23" s="159" customFormat="1" ht="9" customHeight="1">
      <c r="A524" s="794">
        <v>144</v>
      </c>
      <c r="B524" s="582" t="s">
        <v>772</v>
      </c>
      <c r="C524" s="583" t="s">
        <v>1192</v>
      </c>
      <c r="D524" s="583" t="s">
        <v>110</v>
      </c>
      <c r="E524" s="584" t="s">
        <v>299</v>
      </c>
      <c r="F524" s="794"/>
      <c r="G524" s="585" t="s">
        <v>88</v>
      </c>
      <c r="H524" s="586">
        <v>2</v>
      </c>
      <c r="I524" s="586">
        <v>3</v>
      </c>
      <c r="J524" s="587">
        <v>916</v>
      </c>
      <c r="K524" s="587">
        <v>836.9</v>
      </c>
      <c r="L524" s="587">
        <v>836.9</v>
      </c>
      <c r="M524" s="586">
        <v>133</v>
      </c>
      <c r="N524" s="797">
        <f>'Приложение 2'!E526</f>
        <v>2277122</v>
      </c>
      <c r="O524" s="797">
        <v>0</v>
      </c>
      <c r="P524" s="797">
        <v>0</v>
      </c>
      <c r="Q524" s="797">
        <v>0</v>
      </c>
      <c r="R524" s="797">
        <f t="shared" si="101"/>
        <v>2277122</v>
      </c>
      <c r="S524" s="797">
        <f t="shared" si="102"/>
        <v>2720.9009439598517</v>
      </c>
      <c r="T524" s="797">
        <v>4180</v>
      </c>
      <c r="U524" s="132" t="s">
        <v>589</v>
      </c>
      <c r="V524" s="144">
        <f t="shared" si="100"/>
        <v>1459.0990560401483</v>
      </c>
      <c r="W524" s="521"/>
    </row>
    <row r="525" spans="1:23" s="159" customFormat="1" ht="9" customHeight="1">
      <c r="A525" s="794">
        <v>145</v>
      </c>
      <c r="B525" s="582" t="s">
        <v>773</v>
      </c>
      <c r="C525" s="583" t="s">
        <v>1192</v>
      </c>
      <c r="D525" s="583" t="s">
        <v>110</v>
      </c>
      <c r="E525" s="584" t="s">
        <v>593</v>
      </c>
      <c r="F525" s="794"/>
      <c r="G525" s="585" t="s">
        <v>90</v>
      </c>
      <c r="H525" s="586">
        <v>5</v>
      </c>
      <c r="I525" s="586">
        <v>1</v>
      </c>
      <c r="J525" s="587">
        <v>2427.5</v>
      </c>
      <c r="K525" s="587">
        <v>1990.5</v>
      </c>
      <c r="L525" s="587">
        <v>1287</v>
      </c>
      <c r="M525" s="586">
        <v>70</v>
      </c>
      <c r="N525" s="797">
        <f>'Приложение 2'!E527</f>
        <v>2120424</v>
      </c>
      <c r="O525" s="797">
        <v>0</v>
      </c>
      <c r="P525" s="797">
        <v>0</v>
      </c>
      <c r="Q525" s="797">
        <v>0</v>
      </c>
      <c r="R525" s="797">
        <f t="shared" si="101"/>
        <v>2120424</v>
      </c>
      <c r="S525" s="797">
        <f t="shared" si="102"/>
        <v>1065.2720422004522</v>
      </c>
      <c r="T525" s="797">
        <v>4180</v>
      </c>
      <c r="U525" s="132" t="s">
        <v>589</v>
      </c>
      <c r="V525" s="144">
        <f t="shared" si="100"/>
        <v>3114.7279577995478</v>
      </c>
      <c r="W525" s="521"/>
    </row>
    <row r="526" spans="1:23" s="159" customFormat="1" ht="9" customHeight="1">
      <c r="A526" s="794">
        <v>146</v>
      </c>
      <c r="B526" s="590" t="s">
        <v>774</v>
      </c>
      <c r="C526" s="591" t="s">
        <v>1192</v>
      </c>
      <c r="D526" s="591" t="s">
        <v>110</v>
      </c>
      <c r="E526" s="592" t="s">
        <v>608</v>
      </c>
      <c r="F526" s="799"/>
      <c r="G526" s="593" t="s">
        <v>90</v>
      </c>
      <c r="H526" s="594">
        <v>5</v>
      </c>
      <c r="I526" s="594">
        <v>6</v>
      </c>
      <c r="J526" s="595">
        <v>4950.8999999999996</v>
      </c>
      <c r="K526" s="595">
        <v>4338.1000000000004</v>
      </c>
      <c r="L526" s="595">
        <v>498</v>
      </c>
      <c r="M526" s="594">
        <v>190</v>
      </c>
      <c r="N526" s="797">
        <f>'Приложение 2'!E528</f>
        <v>4467560</v>
      </c>
      <c r="O526" s="164">
        <v>0</v>
      </c>
      <c r="P526" s="164">
        <v>0</v>
      </c>
      <c r="Q526" s="164">
        <v>0</v>
      </c>
      <c r="R526" s="164">
        <f t="shared" si="101"/>
        <v>4467560</v>
      </c>
      <c r="S526" s="164">
        <f t="shared" si="102"/>
        <v>1029.8425578018025</v>
      </c>
      <c r="T526" s="164">
        <v>4180</v>
      </c>
      <c r="U526" s="165" t="s">
        <v>589</v>
      </c>
      <c r="V526" s="144">
        <f t="shared" si="100"/>
        <v>3150.1574421981977</v>
      </c>
      <c r="W526" s="521"/>
    </row>
    <row r="527" spans="1:23" s="159" customFormat="1" ht="9" customHeight="1">
      <c r="A527" s="794">
        <v>147</v>
      </c>
      <c r="B527" s="213" t="s">
        <v>1054</v>
      </c>
      <c r="C527" s="214"/>
      <c r="D527" s="214"/>
      <c r="E527" s="215">
        <v>1975</v>
      </c>
      <c r="F527" s="794"/>
      <c r="G527" s="593" t="s">
        <v>90</v>
      </c>
      <c r="H527" s="216">
        <v>2</v>
      </c>
      <c r="I527" s="216">
        <v>3</v>
      </c>
      <c r="J527" s="217">
        <v>863.8</v>
      </c>
      <c r="K527" s="217">
        <v>777.4</v>
      </c>
      <c r="L527" s="217">
        <v>777.4</v>
      </c>
      <c r="M527" s="133">
        <v>42</v>
      </c>
      <c r="N527" s="797">
        <f>'Приложение 2'!E529</f>
        <v>1703674</v>
      </c>
      <c r="O527" s="164">
        <v>0</v>
      </c>
      <c r="P527" s="164">
        <v>0</v>
      </c>
      <c r="Q527" s="164">
        <v>0</v>
      </c>
      <c r="R527" s="164">
        <f t="shared" si="101"/>
        <v>1703674</v>
      </c>
      <c r="S527" s="164">
        <f t="shared" si="102"/>
        <v>2191.5024440442503</v>
      </c>
      <c r="T527" s="164">
        <v>4180</v>
      </c>
      <c r="U527" s="165" t="s">
        <v>589</v>
      </c>
      <c r="V527" s="144">
        <f t="shared" si="100"/>
        <v>1988.4975559557497</v>
      </c>
      <c r="W527" s="521"/>
    </row>
    <row r="528" spans="1:23" s="159" customFormat="1" ht="22.5" customHeight="1">
      <c r="A528" s="829" t="s">
        <v>231</v>
      </c>
      <c r="B528" s="830"/>
      <c r="C528" s="784"/>
      <c r="D528" s="784"/>
      <c r="E528" s="147" t="s">
        <v>391</v>
      </c>
      <c r="F528" s="141" t="s">
        <v>391</v>
      </c>
      <c r="G528" s="141" t="s">
        <v>391</v>
      </c>
      <c r="H528" s="141" t="s">
        <v>391</v>
      </c>
      <c r="I528" s="141" t="s">
        <v>391</v>
      </c>
      <c r="J528" s="797">
        <f>SUM(J515:J527)</f>
        <v>37695.800000000003</v>
      </c>
      <c r="K528" s="797">
        <f t="shared" ref="K528:R528" si="103">SUM(K515:K527)</f>
        <v>33694.700000000004</v>
      </c>
      <c r="L528" s="797">
        <f t="shared" si="103"/>
        <v>9866.2999999999993</v>
      </c>
      <c r="M528" s="130">
        <f t="shared" si="103"/>
        <v>1004</v>
      </c>
      <c r="N528" s="797">
        <f t="shared" si="103"/>
        <v>35735340.399999999</v>
      </c>
      <c r="O528" s="797">
        <f t="shared" si="103"/>
        <v>0</v>
      </c>
      <c r="P528" s="797">
        <f t="shared" si="103"/>
        <v>0</v>
      </c>
      <c r="Q528" s="797">
        <f t="shared" si="103"/>
        <v>0</v>
      </c>
      <c r="R528" s="797">
        <f t="shared" si="103"/>
        <v>35735340.399999999</v>
      </c>
      <c r="S528" s="164">
        <f t="shared" si="102"/>
        <v>1060.5626522865612</v>
      </c>
      <c r="T528" s="794"/>
      <c r="U528" s="132"/>
      <c r="V528" s="144">
        <f t="shared" si="100"/>
        <v>-1060.5626522865612</v>
      </c>
      <c r="W528" s="521"/>
    </row>
    <row r="529" spans="1:23" s="159" customFormat="1" ht="9" customHeight="1">
      <c r="A529" s="837" t="s">
        <v>242</v>
      </c>
      <c r="B529" s="838"/>
      <c r="C529" s="838"/>
      <c r="D529" s="838"/>
      <c r="E529" s="838"/>
      <c r="F529" s="838"/>
      <c r="G529" s="838"/>
      <c r="H529" s="838"/>
      <c r="I529" s="838"/>
      <c r="J529" s="838"/>
      <c r="K529" s="838"/>
      <c r="L529" s="838"/>
      <c r="M529" s="838"/>
      <c r="N529" s="838"/>
      <c r="O529" s="838"/>
      <c r="P529" s="838"/>
      <c r="Q529" s="838"/>
      <c r="R529" s="838"/>
      <c r="S529" s="838"/>
      <c r="T529" s="838"/>
      <c r="U529" s="839"/>
      <c r="V529" s="144">
        <f t="shared" si="100"/>
        <v>0</v>
      </c>
      <c r="W529" s="521"/>
    </row>
    <row r="530" spans="1:23" s="159" customFormat="1" ht="9" customHeight="1">
      <c r="A530" s="801">
        <v>148</v>
      </c>
      <c r="B530" s="596" t="s">
        <v>1016</v>
      </c>
      <c r="C530" s="597" t="s">
        <v>1192</v>
      </c>
      <c r="D530" s="597" t="s">
        <v>111</v>
      </c>
      <c r="E530" s="598" t="s">
        <v>788</v>
      </c>
      <c r="F530" s="599"/>
      <c r="G530" s="599" t="s">
        <v>88</v>
      </c>
      <c r="H530" s="600">
        <v>3</v>
      </c>
      <c r="I530" s="600">
        <v>3</v>
      </c>
      <c r="J530" s="601">
        <v>2216.6</v>
      </c>
      <c r="K530" s="601">
        <v>1523.7</v>
      </c>
      <c r="L530" s="601">
        <v>1523.7</v>
      </c>
      <c r="M530" s="600">
        <v>60</v>
      </c>
      <c r="N530" s="797">
        <f>'Приложение 2'!E532</f>
        <v>2690688</v>
      </c>
      <c r="O530" s="797">
        <v>0</v>
      </c>
      <c r="P530" s="797">
        <v>0</v>
      </c>
      <c r="Q530" s="797">
        <v>0</v>
      </c>
      <c r="R530" s="797">
        <f t="shared" ref="R530:R532" si="104">N530</f>
        <v>2690688</v>
      </c>
      <c r="S530" s="797">
        <f t="shared" ref="S530:S532" si="105">N530/K530</f>
        <v>1765.89092341012</v>
      </c>
      <c r="T530" s="797">
        <v>4503.95</v>
      </c>
      <c r="U530" s="132" t="s">
        <v>589</v>
      </c>
      <c r="V530" s="144">
        <f t="shared" si="100"/>
        <v>2738.0590765898796</v>
      </c>
      <c r="W530" s="521"/>
    </row>
    <row r="531" spans="1:23" s="159" customFormat="1" ht="9" customHeight="1">
      <c r="A531" s="801">
        <v>149</v>
      </c>
      <c r="B531" s="596" t="s">
        <v>1018</v>
      </c>
      <c r="C531" s="597" t="s">
        <v>1192</v>
      </c>
      <c r="D531" s="597" t="s">
        <v>111</v>
      </c>
      <c r="E531" s="598" t="s">
        <v>599</v>
      </c>
      <c r="F531" s="599" t="s">
        <v>1196</v>
      </c>
      <c r="G531" s="599" t="s">
        <v>88</v>
      </c>
      <c r="H531" s="600">
        <v>2</v>
      </c>
      <c r="I531" s="600">
        <v>3</v>
      </c>
      <c r="J531" s="601">
        <v>891.9</v>
      </c>
      <c r="K531" s="601">
        <v>848.3</v>
      </c>
      <c r="L531" s="601">
        <v>848.3</v>
      </c>
      <c r="M531" s="600">
        <v>135</v>
      </c>
      <c r="N531" s="797">
        <f>'Приложение 2'!E533</f>
        <v>2461074</v>
      </c>
      <c r="O531" s="797">
        <v>0</v>
      </c>
      <c r="P531" s="797">
        <v>0</v>
      </c>
      <c r="Q531" s="797">
        <v>0</v>
      </c>
      <c r="R531" s="797">
        <f t="shared" si="104"/>
        <v>2461074</v>
      </c>
      <c r="S531" s="797">
        <f t="shared" si="105"/>
        <v>2901.1835435577036</v>
      </c>
      <c r="T531" s="797">
        <v>4503.95</v>
      </c>
      <c r="U531" s="132" t="s">
        <v>589</v>
      </c>
      <c r="V531" s="144">
        <f t="shared" si="100"/>
        <v>1602.7664564422962</v>
      </c>
      <c r="W531" s="521"/>
    </row>
    <row r="532" spans="1:23" s="159" customFormat="1" ht="9" customHeight="1">
      <c r="A532" s="801">
        <v>150</v>
      </c>
      <c r="B532" s="596" t="s">
        <v>1017</v>
      </c>
      <c r="C532" s="597" t="s">
        <v>1192</v>
      </c>
      <c r="D532" s="597" t="s">
        <v>110</v>
      </c>
      <c r="E532" s="598" t="s">
        <v>618</v>
      </c>
      <c r="F532" s="599"/>
      <c r="G532" s="599" t="s">
        <v>88</v>
      </c>
      <c r="H532" s="600">
        <v>5</v>
      </c>
      <c r="I532" s="600">
        <v>1</v>
      </c>
      <c r="J532" s="601">
        <v>3026.4</v>
      </c>
      <c r="K532" s="601">
        <v>2440.6</v>
      </c>
      <c r="L532" s="601">
        <v>1529</v>
      </c>
      <c r="M532" s="600">
        <v>85</v>
      </c>
      <c r="N532" s="797">
        <f>'Приложение 2'!E534</f>
        <v>2040408</v>
      </c>
      <c r="O532" s="797">
        <v>0</v>
      </c>
      <c r="P532" s="797">
        <v>0</v>
      </c>
      <c r="Q532" s="797">
        <v>0</v>
      </c>
      <c r="R532" s="797">
        <f t="shared" si="104"/>
        <v>2040408</v>
      </c>
      <c r="S532" s="797">
        <f t="shared" si="105"/>
        <v>836.02720642464976</v>
      </c>
      <c r="T532" s="797">
        <v>4180</v>
      </c>
      <c r="U532" s="132" t="s">
        <v>589</v>
      </c>
      <c r="V532" s="144">
        <f t="shared" si="100"/>
        <v>3343.9727935753504</v>
      </c>
      <c r="W532" s="521"/>
    </row>
    <row r="533" spans="1:23" s="159" customFormat="1" ht="20.25" customHeight="1">
      <c r="A533" s="829" t="s">
        <v>426</v>
      </c>
      <c r="B533" s="830"/>
      <c r="C533" s="784"/>
      <c r="D533" s="784"/>
      <c r="E533" s="794" t="s">
        <v>391</v>
      </c>
      <c r="F533" s="794" t="s">
        <v>391</v>
      </c>
      <c r="G533" s="794" t="s">
        <v>391</v>
      </c>
      <c r="H533" s="794" t="s">
        <v>391</v>
      </c>
      <c r="I533" s="794" t="s">
        <v>391</v>
      </c>
      <c r="J533" s="162">
        <f t="shared" ref="J533:M533" si="106">SUM(J530:J532)</f>
        <v>6134.9</v>
      </c>
      <c r="K533" s="162">
        <f t="shared" si="106"/>
        <v>4812.6000000000004</v>
      </c>
      <c r="L533" s="162">
        <f t="shared" si="106"/>
        <v>3901</v>
      </c>
      <c r="M533" s="130">
        <f t="shared" si="106"/>
        <v>280</v>
      </c>
      <c r="N533" s="162">
        <f>SUM(N530:N532)</f>
        <v>7192170</v>
      </c>
      <c r="O533" s="162">
        <f>SUM(O530:O532)</f>
        <v>0</v>
      </c>
      <c r="P533" s="162">
        <f>SUM(P530:P532)</f>
        <v>0</v>
      </c>
      <c r="Q533" s="162">
        <f>SUM(Q530:Q532)</f>
        <v>0</v>
      </c>
      <c r="R533" s="162">
        <f>SUM(R530:R532)</f>
        <v>7192170</v>
      </c>
      <c r="S533" s="797">
        <f>N533/K533</f>
        <v>1494.4458296970452</v>
      </c>
      <c r="T533" s="797"/>
      <c r="U533" s="132"/>
      <c r="V533" s="144">
        <f t="shared" si="100"/>
        <v>-1494.4458296970452</v>
      </c>
      <c r="W533" s="521"/>
    </row>
    <row r="534" spans="1:23" s="159" customFormat="1" ht="9" customHeight="1">
      <c r="A534" s="837" t="s">
        <v>251</v>
      </c>
      <c r="B534" s="838"/>
      <c r="C534" s="838"/>
      <c r="D534" s="838"/>
      <c r="E534" s="838"/>
      <c r="F534" s="838"/>
      <c r="G534" s="838"/>
      <c r="H534" s="838"/>
      <c r="I534" s="838"/>
      <c r="J534" s="838"/>
      <c r="K534" s="838"/>
      <c r="L534" s="838"/>
      <c r="M534" s="838"/>
      <c r="N534" s="838"/>
      <c r="O534" s="838"/>
      <c r="P534" s="838"/>
      <c r="Q534" s="838"/>
      <c r="R534" s="838"/>
      <c r="S534" s="838"/>
      <c r="T534" s="838"/>
      <c r="U534" s="839"/>
      <c r="V534" s="144">
        <f t="shared" si="100"/>
        <v>0</v>
      </c>
      <c r="W534" s="521"/>
    </row>
    <row r="535" spans="1:23" s="159" customFormat="1" ht="9.75" customHeight="1">
      <c r="A535" s="794">
        <v>151</v>
      </c>
      <c r="B535" s="602" t="s">
        <v>789</v>
      </c>
      <c r="C535" s="603" t="s">
        <v>1192</v>
      </c>
      <c r="D535" s="603" t="s">
        <v>111</v>
      </c>
      <c r="E535" s="604" t="s">
        <v>611</v>
      </c>
      <c r="F535" s="794"/>
      <c r="G535" s="605" t="s">
        <v>88</v>
      </c>
      <c r="H535" s="606">
        <v>5</v>
      </c>
      <c r="I535" s="606">
        <v>4</v>
      </c>
      <c r="J535" s="607">
        <v>3471.8</v>
      </c>
      <c r="K535" s="607">
        <v>3227.4</v>
      </c>
      <c r="L535" s="607">
        <v>3227.4</v>
      </c>
      <c r="M535" s="605">
        <v>129</v>
      </c>
      <c r="N535" s="797">
        <f>'Приложение 2'!E537</f>
        <v>3880800</v>
      </c>
      <c r="O535" s="797">
        <v>0</v>
      </c>
      <c r="P535" s="797">
        <v>0</v>
      </c>
      <c r="Q535" s="797">
        <v>0</v>
      </c>
      <c r="R535" s="797">
        <f t="shared" ref="R535:R541" si="107">N535</f>
        <v>3880800</v>
      </c>
      <c r="S535" s="797">
        <f t="shared" ref="S535:S540" si="108">N535/K535</f>
        <v>1202.4539877300613</v>
      </c>
      <c r="T535" s="797">
        <v>4503.95</v>
      </c>
      <c r="U535" s="132" t="s">
        <v>589</v>
      </c>
      <c r="V535" s="144">
        <f t="shared" si="100"/>
        <v>3301.4960122699385</v>
      </c>
      <c r="W535" s="521"/>
    </row>
    <row r="536" spans="1:23" s="159" customFormat="1" ht="9.75" customHeight="1">
      <c r="A536" s="794">
        <v>152</v>
      </c>
      <c r="B536" s="602" t="s">
        <v>790</v>
      </c>
      <c r="C536" s="603" t="s">
        <v>1192</v>
      </c>
      <c r="D536" s="603" t="s">
        <v>111</v>
      </c>
      <c r="E536" s="604" t="s">
        <v>596</v>
      </c>
      <c r="F536" s="794"/>
      <c r="G536" s="605" t="s">
        <v>88</v>
      </c>
      <c r="H536" s="606">
        <v>4</v>
      </c>
      <c r="I536" s="606">
        <v>3</v>
      </c>
      <c r="J536" s="607">
        <v>2121.9</v>
      </c>
      <c r="K536" s="607">
        <f>1934.5+41.4</f>
        <v>1975.9</v>
      </c>
      <c r="L536" s="607">
        <v>1932.6</v>
      </c>
      <c r="M536" s="606">
        <v>105</v>
      </c>
      <c r="N536" s="797">
        <f>'Приложение 2'!E538</f>
        <v>3880800</v>
      </c>
      <c r="O536" s="797">
        <v>0</v>
      </c>
      <c r="P536" s="797">
        <v>0</v>
      </c>
      <c r="Q536" s="797">
        <v>0</v>
      </c>
      <c r="R536" s="797">
        <f t="shared" si="107"/>
        <v>3880800</v>
      </c>
      <c r="S536" s="797">
        <f t="shared" si="108"/>
        <v>1964.0670074396476</v>
      </c>
      <c r="T536" s="797">
        <v>4503.95</v>
      </c>
      <c r="U536" s="132" t="s">
        <v>589</v>
      </c>
      <c r="V536" s="144">
        <f t="shared" si="100"/>
        <v>2539.8829925603522</v>
      </c>
      <c r="W536" s="521"/>
    </row>
    <row r="537" spans="1:23" s="159" customFormat="1" ht="9.75" customHeight="1">
      <c r="A537" s="794">
        <v>153</v>
      </c>
      <c r="B537" s="602" t="s">
        <v>791</v>
      </c>
      <c r="C537" s="603" t="s">
        <v>1192</v>
      </c>
      <c r="D537" s="603" t="s">
        <v>110</v>
      </c>
      <c r="E537" s="604" t="s">
        <v>748</v>
      </c>
      <c r="F537" s="794"/>
      <c r="G537" s="605" t="s">
        <v>88</v>
      </c>
      <c r="H537" s="606">
        <v>2</v>
      </c>
      <c r="I537" s="606">
        <v>2</v>
      </c>
      <c r="J537" s="607">
        <v>896.32</v>
      </c>
      <c r="K537" s="607">
        <v>608.02</v>
      </c>
      <c r="L537" s="607">
        <v>608.02</v>
      </c>
      <c r="M537" s="606">
        <v>28</v>
      </c>
      <c r="N537" s="797">
        <f>'Приложение 2'!E539</f>
        <v>1747682.8</v>
      </c>
      <c r="O537" s="797">
        <v>0</v>
      </c>
      <c r="P537" s="797">
        <v>0</v>
      </c>
      <c r="Q537" s="797">
        <v>0</v>
      </c>
      <c r="R537" s="797">
        <f t="shared" si="107"/>
        <v>1747682.8</v>
      </c>
      <c r="S537" s="797">
        <f t="shared" si="108"/>
        <v>2874.3837373770602</v>
      </c>
      <c r="T537" s="797">
        <v>4180</v>
      </c>
      <c r="U537" s="132" t="s">
        <v>589</v>
      </c>
      <c r="V537" s="144">
        <f t="shared" si="100"/>
        <v>1305.6162626229398</v>
      </c>
      <c r="W537" s="521"/>
    </row>
    <row r="538" spans="1:23" s="159" customFormat="1" ht="9.75" customHeight="1">
      <c r="A538" s="794">
        <v>154</v>
      </c>
      <c r="B538" s="602" t="s">
        <v>792</v>
      </c>
      <c r="C538" s="603" t="s">
        <v>1192</v>
      </c>
      <c r="D538" s="603" t="s">
        <v>111</v>
      </c>
      <c r="E538" s="604" t="s">
        <v>796</v>
      </c>
      <c r="F538" s="794"/>
      <c r="G538" s="605" t="s">
        <v>252</v>
      </c>
      <c r="H538" s="606">
        <v>2</v>
      </c>
      <c r="I538" s="606">
        <v>1</v>
      </c>
      <c r="J538" s="607">
        <v>588.20000000000005</v>
      </c>
      <c r="K538" s="607">
        <v>530</v>
      </c>
      <c r="L538" s="607">
        <v>530</v>
      </c>
      <c r="M538" s="606">
        <v>21</v>
      </c>
      <c r="N538" s="797">
        <f>'Приложение 2'!E540</f>
        <v>1450125.6</v>
      </c>
      <c r="O538" s="797">
        <v>0</v>
      </c>
      <c r="P538" s="797">
        <v>0</v>
      </c>
      <c r="Q538" s="797">
        <v>0</v>
      </c>
      <c r="R538" s="797">
        <f t="shared" si="107"/>
        <v>1450125.6</v>
      </c>
      <c r="S538" s="797">
        <f t="shared" si="108"/>
        <v>2736.0860377358495</v>
      </c>
      <c r="T538" s="797">
        <v>4503.95</v>
      </c>
      <c r="U538" s="132" t="s">
        <v>589</v>
      </c>
      <c r="V538" s="144">
        <f t="shared" si="100"/>
        <v>1767.8639622641504</v>
      </c>
      <c r="W538" s="521"/>
    </row>
    <row r="539" spans="1:23" s="159" customFormat="1" ht="9.75" customHeight="1">
      <c r="A539" s="794">
        <v>155</v>
      </c>
      <c r="B539" s="602" t="s">
        <v>793</v>
      </c>
      <c r="C539" s="603" t="s">
        <v>1192</v>
      </c>
      <c r="D539" s="603" t="s">
        <v>111</v>
      </c>
      <c r="E539" s="604" t="s">
        <v>797</v>
      </c>
      <c r="F539" s="794"/>
      <c r="G539" s="605" t="s">
        <v>252</v>
      </c>
      <c r="H539" s="606">
        <v>2</v>
      </c>
      <c r="I539" s="606">
        <v>2</v>
      </c>
      <c r="J539" s="607">
        <v>427.4</v>
      </c>
      <c r="K539" s="607">
        <v>383.2</v>
      </c>
      <c r="L539" s="607">
        <v>383.2</v>
      </c>
      <c r="M539" s="606">
        <v>15</v>
      </c>
      <c r="N539" s="797">
        <f>'Приложение 2'!E541</f>
        <v>1158418.8</v>
      </c>
      <c r="O539" s="797">
        <v>0</v>
      </c>
      <c r="P539" s="797">
        <v>0</v>
      </c>
      <c r="Q539" s="797">
        <v>0</v>
      </c>
      <c r="R539" s="797">
        <f t="shared" si="107"/>
        <v>1158418.8</v>
      </c>
      <c r="S539" s="797">
        <f t="shared" si="108"/>
        <v>3023.0135699373695</v>
      </c>
      <c r="T539" s="797">
        <v>4503.95</v>
      </c>
      <c r="U539" s="132" t="s">
        <v>589</v>
      </c>
      <c r="V539" s="144">
        <f t="shared" si="100"/>
        <v>1480.9364300626303</v>
      </c>
      <c r="W539" s="521"/>
    </row>
    <row r="540" spans="1:23" s="159" customFormat="1" ht="9.75" customHeight="1">
      <c r="A540" s="794">
        <v>156</v>
      </c>
      <c r="B540" s="602" t="s">
        <v>794</v>
      </c>
      <c r="C540" s="603" t="s">
        <v>1192</v>
      </c>
      <c r="D540" s="603" t="s">
        <v>111</v>
      </c>
      <c r="E540" s="604" t="s">
        <v>797</v>
      </c>
      <c r="F540" s="794"/>
      <c r="G540" s="605" t="s">
        <v>252</v>
      </c>
      <c r="H540" s="606">
        <v>2</v>
      </c>
      <c r="I540" s="606">
        <v>2</v>
      </c>
      <c r="J540" s="607">
        <v>429.1</v>
      </c>
      <c r="K540" s="607">
        <v>384.2</v>
      </c>
      <c r="L540" s="607">
        <v>384.2</v>
      </c>
      <c r="M540" s="606">
        <v>11</v>
      </c>
      <c r="N540" s="797">
        <f>'Приложение 2'!E542</f>
        <v>1158418.8</v>
      </c>
      <c r="O540" s="797">
        <v>0</v>
      </c>
      <c r="P540" s="797">
        <v>0</v>
      </c>
      <c r="Q540" s="797">
        <v>0</v>
      </c>
      <c r="R540" s="797">
        <f t="shared" si="107"/>
        <v>1158418.8</v>
      </c>
      <c r="S540" s="797">
        <f t="shared" si="108"/>
        <v>3015.1452368558043</v>
      </c>
      <c r="T540" s="797">
        <v>4503.95</v>
      </c>
      <c r="U540" s="132" t="s">
        <v>589</v>
      </c>
      <c r="V540" s="144">
        <f t="shared" si="100"/>
        <v>1488.8047631441955</v>
      </c>
      <c r="W540" s="521"/>
    </row>
    <row r="541" spans="1:23" s="159" customFormat="1" ht="9.75" customHeight="1">
      <c r="A541" s="794">
        <v>157</v>
      </c>
      <c r="B541" s="602" t="s">
        <v>795</v>
      </c>
      <c r="C541" s="603" t="s">
        <v>1192</v>
      </c>
      <c r="D541" s="603" t="s">
        <v>111</v>
      </c>
      <c r="E541" s="604" t="s">
        <v>748</v>
      </c>
      <c r="F541" s="794"/>
      <c r="G541" s="605" t="s">
        <v>88</v>
      </c>
      <c r="H541" s="606">
        <v>2</v>
      </c>
      <c r="I541" s="606">
        <v>2</v>
      </c>
      <c r="J541" s="607">
        <v>658.1</v>
      </c>
      <c r="K541" s="607">
        <v>633.5</v>
      </c>
      <c r="L541" s="607">
        <v>633.5</v>
      </c>
      <c r="M541" s="606">
        <v>28</v>
      </c>
      <c r="N541" s="797">
        <f>'Приложение 2'!E543</f>
        <v>1688148</v>
      </c>
      <c r="O541" s="797">
        <v>0</v>
      </c>
      <c r="P541" s="797">
        <v>0</v>
      </c>
      <c r="Q541" s="797">
        <v>0</v>
      </c>
      <c r="R541" s="797">
        <f t="shared" si="107"/>
        <v>1688148</v>
      </c>
      <c r="S541" s="797">
        <f>N541/K541</f>
        <v>2664.7955801104972</v>
      </c>
      <c r="T541" s="797">
        <v>4503.95</v>
      </c>
      <c r="U541" s="132" t="s">
        <v>589</v>
      </c>
      <c r="V541" s="144">
        <f t="shared" si="100"/>
        <v>1839.1544198895026</v>
      </c>
      <c r="W541" s="521"/>
    </row>
    <row r="542" spans="1:23" s="159" customFormat="1" ht="21" customHeight="1">
      <c r="A542" s="829" t="s">
        <v>250</v>
      </c>
      <c r="B542" s="830"/>
      <c r="C542" s="163"/>
      <c r="D542" s="163"/>
      <c r="E542" s="799" t="s">
        <v>391</v>
      </c>
      <c r="F542" s="799" t="s">
        <v>391</v>
      </c>
      <c r="G542" s="799" t="s">
        <v>391</v>
      </c>
      <c r="H542" s="799" t="s">
        <v>391</v>
      </c>
      <c r="I542" s="799" t="s">
        <v>391</v>
      </c>
      <c r="J542" s="164">
        <f t="shared" ref="J542:R542" si="109">SUM(J535:J541)</f>
        <v>8592.82</v>
      </c>
      <c r="K542" s="164">
        <f t="shared" si="109"/>
        <v>7742.2199999999993</v>
      </c>
      <c r="L542" s="164">
        <f t="shared" si="109"/>
        <v>7698.92</v>
      </c>
      <c r="M542" s="606">
        <f t="shared" si="109"/>
        <v>337</v>
      </c>
      <c r="N542" s="164">
        <f t="shared" si="109"/>
        <v>14964394.000000002</v>
      </c>
      <c r="O542" s="164">
        <f t="shared" si="109"/>
        <v>0</v>
      </c>
      <c r="P542" s="164">
        <f t="shared" si="109"/>
        <v>0</v>
      </c>
      <c r="Q542" s="164">
        <f t="shared" si="109"/>
        <v>0</v>
      </c>
      <c r="R542" s="164">
        <f t="shared" si="109"/>
        <v>14964394.000000002</v>
      </c>
      <c r="S542" s="797">
        <f>N542/K542</f>
        <v>1932.8298601693059</v>
      </c>
      <c r="T542" s="164"/>
      <c r="U542" s="165"/>
      <c r="V542" s="144">
        <f t="shared" si="100"/>
        <v>-1932.8298601693059</v>
      </c>
      <c r="W542" s="521"/>
    </row>
    <row r="543" spans="1:23" s="159" customFormat="1" ht="9" customHeight="1">
      <c r="A543" s="833" t="s">
        <v>259</v>
      </c>
      <c r="B543" s="834"/>
      <c r="C543" s="834"/>
      <c r="D543" s="834"/>
      <c r="E543" s="834"/>
      <c r="F543" s="834"/>
      <c r="G543" s="834"/>
      <c r="H543" s="834"/>
      <c r="I543" s="834"/>
      <c r="J543" s="834"/>
      <c r="K543" s="834"/>
      <c r="L543" s="834"/>
      <c r="M543" s="834"/>
      <c r="N543" s="834"/>
      <c r="O543" s="834"/>
      <c r="P543" s="834"/>
      <c r="Q543" s="834"/>
      <c r="R543" s="834"/>
      <c r="S543" s="834"/>
      <c r="T543" s="834"/>
      <c r="U543" s="835"/>
      <c r="V543" s="144">
        <f t="shared" si="100"/>
        <v>0</v>
      </c>
      <c r="W543" s="521"/>
    </row>
    <row r="544" spans="1:23" s="159" customFormat="1" ht="9" customHeight="1">
      <c r="A544" s="166">
        <v>158</v>
      </c>
      <c r="B544" s="608" t="s">
        <v>804</v>
      </c>
      <c r="C544" s="609" t="s">
        <v>1192</v>
      </c>
      <c r="D544" s="609" t="s">
        <v>110</v>
      </c>
      <c r="E544" s="609" t="s">
        <v>616</v>
      </c>
      <c r="F544" s="166"/>
      <c r="G544" s="609" t="s">
        <v>90</v>
      </c>
      <c r="H544" s="610">
        <v>5</v>
      </c>
      <c r="I544" s="610">
        <v>6</v>
      </c>
      <c r="J544" s="611">
        <v>5571.4</v>
      </c>
      <c r="K544" s="611">
        <v>4482.8999999999996</v>
      </c>
      <c r="L544" s="611">
        <v>1547</v>
      </c>
      <c r="M544" s="610">
        <v>96</v>
      </c>
      <c r="N544" s="797">
        <f>'Приложение 2'!E546</f>
        <v>4800960</v>
      </c>
      <c r="O544" s="797">
        <v>0</v>
      </c>
      <c r="P544" s="797">
        <v>0</v>
      </c>
      <c r="Q544" s="797">
        <v>0</v>
      </c>
      <c r="R544" s="168">
        <f t="shared" ref="R544:R546" si="110">N544</f>
        <v>4800960</v>
      </c>
      <c r="S544" s="797">
        <f>N544/K544</f>
        <v>1070.9496085123469</v>
      </c>
      <c r="T544" s="797">
        <v>4180</v>
      </c>
      <c r="U544" s="132" t="s">
        <v>589</v>
      </c>
      <c r="V544" s="144">
        <f t="shared" si="100"/>
        <v>3109.0503914876531</v>
      </c>
      <c r="W544" s="521"/>
    </row>
    <row r="545" spans="1:23" s="159" customFormat="1" ht="9" customHeight="1">
      <c r="A545" s="166">
        <v>159</v>
      </c>
      <c r="B545" s="608" t="s">
        <v>805</v>
      </c>
      <c r="C545" s="609" t="s">
        <v>1192</v>
      </c>
      <c r="D545" s="609" t="s">
        <v>111</v>
      </c>
      <c r="E545" s="609" t="s">
        <v>619</v>
      </c>
      <c r="F545" s="166"/>
      <c r="G545" s="609" t="s">
        <v>88</v>
      </c>
      <c r="H545" s="610">
        <v>2</v>
      </c>
      <c r="I545" s="610">
        <v>3</v>
      </c>
      <c r="J545" s="611">
        <v>916</v>
      </c>
      <c r="K545" s="611">
        <v>776.5</v>
      </c>
      <c r="L545" s="611">
        <v>776.5</v>
      </c>
      <c r="M545" s="609">
        <v>29</v>
      </c>
      <c r="N545" s="797">
        <f>'Приложение 2'!E547</f>
        <v>2076551.4</v>
      </c>
      <c r="O545" s="797">
        <v>0</v>
      </c>
      <c r="P545" s="797">
        <v>0</v>
      </c>
      <c r="Q545" s="797">
        <v>0</v>
      </c>
      <c r="R545" s="168">
        <f t="shared" si="110"/>
        <v>2076551.4</v>
      </c>
      <c r="S545" s="797">
        <f t="shared" ref="S545:S546" si="111">N545/K545</f>
        <v>2674.2452028332259</v>
      </c>
      <c r="T545" s="797">
        <v>4503.95</v>
      </c>
      <c r="U545" s="132" t="s">
        <v>589</v>
      </c>
      <c r="V545" s="144">
        <f t="shared" si="100"/>
        <v>1829.7047971667739</v>
      </c>
      <c r="W545" s="521"/>
    </row>
    <row r="546" spans="1:23" s="159" customFormat="1" ht="9" customHeight="1">
      <c r="A546" s="166">
        <v>160</v>
      </c>
      <c r="B546" s="608" t="s">
        <v>806</v>
      </c>
      <c r="C546" s="609" t="s">
        <v>1192</v>
      </c>
      <c r="D546" s="609" t="s">
        <v>111</v>
      </c>
      <c r="E546" s="609" t="s">
        <v>219</v>
      </c>
      <c r="F546" s="166"/>
      <c r="G546" s="609" t="s">
        <v>88</v>
      </c>
      <c r="H546" s="610">
        <v>2</v>
      </c>
      <c r="I546" s="610">
        <v>1</v>
      </c>
      <c r="J546" s="611">
        <v>402.1</v>
      </c>
      <c r="K546" s="611">
        <v>381.3</v>
      </c>
      <c r="L546" s="611">
        <v>293</v>
      </c>
      <c r="M546" s="610">
        <v>18</v>
      </c>
      <c r="N546" s="797">
        <f>'Приложение 2'!E548</f>
        <v>1280664</v>
      </c>
      <c r="O546" s="797">
        <v>0</v>
      </c>
      <c r="P546" s="797">
        <v>0</v>
      </c>
      <c r="Q546" s="797">
        <v>0</v>
      </c>
      <c r="R546" s="168">
        <f t="shared" si="110"/>
        <v>1280664</v>
      </c>
      <c r="S546" s="797">
        <f t="shared" si="111"/>
        <v>3358.6782061368999</v>
      </c>
      <c r="T546" s="797">
        <v>4503.95</v>
      </c>
      <c r="U546" s="132" t="s">
        <v>589</v>
      </c>
      <c r="V546" s="144">
        <f t="shared" si="100"/>
        <v>1145.2717938630999</v>
      </c>
      <c r="W546" s="521"/>
    </row>
    <row r="547" spans="1:23" s="159" customFormat="1" ht="20.25" customHeight="1">
      <c r="A547" s="831" t="s">
        <v>261</v>
      </c>
      <c r="B547" s="832"/>
      <c r="C547" s="787"/>
      <c r="D547" s="787"/>
      <c r="E547" s="794" t="s">
        <v>391</v>
      </c>
      <c r="F547" s="794" t="s">
        <v>391</v>
      </c>
      <c r="G547" s="794" t="s">
        <v>391</v>
      </c>
      <c r="H547" s="794" t="s">
        <v>391</v>
      </c>
      <c r="I547" s="794" t="s">
        <v>391</v>
      </c>
      <c r="J547" s="167">
        <f t="shared" ref="J547:R547" si="112">SUM(J544:J546)</f>
        <v>6889.5</v>
      </c>
      <c r="K547" s="167">
        <f t="shared" si="112"/>
        <v>5640.7</v>
      </c>
      <c r="L547" s="167">
        <f t="shared" si="112"/>
        <v>2616.5</v>
      </c>
      <c r="M547" s="130">
        <f t="shared" si="112"/>
        <v>143</v>
      </c>
      <c r="N547" s="167">
        <f t="shared" si="112"/>
        <v>8158175.4000000004</v>
      </c>
      <c r="O547" s="167">
        <f t="shared" si="112"/>
        <v>0</v>
      </c>
      <c r="P547" s="167">
        <f t="shared" si="112"/>
        <v>0</v>
      </c>
      <c r="Q547" s="167">
        <f t="shared" si="112"/>
        <v>0</v>
      </c>
      <c r="R547" s="167">
        <f t="shared" si="112"/>
        <v>8158175.4000000004</v>
      </c>
      <c r="S547" s="797">
        <f>N547/K547</f>
        <v>1446.3054939989718</v>
      </c>
      <c r="T547" s="166"/>
      <c r="U547" s="168"/>
      <c r="V547" s="144">
        <f t="shared" si="100"/>
        <v>-1446.3054939989718</v>
      </c>
      <c r="W547" s="521"/>
    </row>
    <row r="548" spans="1:23" s="159" customFormat="1" ht="11.25" customHeight="1">
      <c r="A548" s="837" t="s">
        <v>264</v>
      </c>
      <c r="B548" s="838"/>
      <c r="C548" s="838"/>
      <c r="D548" s="838"/>
      <c r="E548" s="838"/>
      <c r="F548" s="838"/>
      <c r="G548" s="838"/>
      <c r="H548" s="838"/>
      <c r="I548" s="838"/>
      <c r="J548" s="838"/>
      <c r="K548" s="838"/>
      <c r="L548" s="838"/>
      <c r="M548" s="838"/>
      <c r="N548" s="838"/>
      <c r="O548" s="838"/>
      <c r="P548" s="838"/>
      <c r="Q548" s="838"/>
      <c r="R548" s="838"/>
      <c r="S548" s="838"/>
      <c r="T548" s="838"/>
      <c r="U548" s="839"/>
      <c r="V548" s="144">
        <f t="shared" si="100"/>
        <v>0</v>
      </c>
      <c r="W548" s="521"/>
    </row>
    <row r="549" spans="1:23" ht="9" customHeight="1">
      <c r="A549" s="794">
        <v>161</v>
      </c>
      <c r="B549" s="608" t="s">
        <v>809</v>
      </c>
      <c r="C549" s="609" t="s">
        <v>1192</v>
      </c>
      <c r="D549" s="609" t="s">
        <v>111</v>
      </c>
      <c r="E549" s="609" t="s">
        <v>219</v>
      </c>
      <c r="F549" s="794"/>
      <c r="G549" s="609" t="s">
        <v>88</v>
      </c>
      <c r="H549" s="610">
        <v>2</v>
      </c>
      <c r="I549" s="610">
        <v>3</v>
      </c>
      <c r="J549" s="797">
        <v>971.3</v>
      </c>
      <c r="K549" s="797">
        <v>924.1</v>
      </c>
      <c r="L549" s="797">
        <v>924.1</v>
      </c>
      <c r="M549" s="130">
        <v>7</v>
      </c>
      <c r="N549" s="797">
        <f>'Приложение 2'!E551</f>
        <v>3169320</v>
      </c>
      <c r="O549" s="797">
        <v>0</v>
      </c>
      <c r="P549" s="797">
        <v>0</v>
      </c>
      <c r="Q549" s="797">
        <v>0</v>
      </c>
      <c r="R549" s="797">
        <f t="shared" ref="R549:R552" si="113">N549</f>
        <v>3169320</v>
      </c>
      <c r="S549" s="797">
        <f t="shared" ref="S549:S552" si="114">N549/K549</f>
        <v>3429.6288280489125</v>
      </c>
      <c r="T549" s="797">
        <v>4503.95</v>
      </c>
      <c r="U549" s="132" t="s">
        <v>589</v>
      </c>
      <c r="V549" s="144">
        <f t="shared" si="100"/>
        <v>1074.3211719510873</v>
      </c>
    </row>
    <row r="550" spans="1:23" ht="9" customHeight="1">
      <c r="A550" s="794">
        <v>162</v>
      </c>
      <c r="B550" s="608" t="s">
        <v>810</v>
      </c>
      <c r="C550" s="609" t="s">
        <v>1192</v>
      </c>
      <c r="D550" s="609" t="s">
        <v>111</v>
      </c>
      <c r="E550" s="609" t="s">
        <v>107</v>
      </c>
      <c r="F550" s="794"/>
      <c r="G550" s="609" t="s">
        <v>88</v>
      </c>
      <c r="H550" s="610">
        <v>2</v>
      </c>
      <c r="I550" s="610">
        <v>3</v>
      </c>
      <c r="J550" s="797">
        <v>731.9</v>
      </c>
      <c r="K550" s="797">
        <v>726.8</v>
      </c>
      <c r="L550" s="797">
        <v>726.8</v>
      </c>
      <c r="M550" s="794">
        <v>35</v>
      </c>
      <c r="N550" s="797">
        <f>'Приложение 2'!E552</f>
        <v>2166780</v>
      </c>
      <c r="O550" s="797">
        <v>0</v>
      </c>
      <c r="P550" s="797">
        <v>0</v>
      </c>
      <c r="Q550" s="797">
        <v>0</v>
      </c>
      <c r="R550" s="797">
        <f t="shared" si="113"/>
        <v>2166780</v>
      </c>
      <c r="S550" s="797">
        <f t="shared" si="114"/>
        <v>2981.2603192074848</v>
      </c>
      <c r="T550" s="797">
        <v>4503.95</v>
      </c>
      <c r="U550" s="132" t="s">
        <v>589</v>
      </c>
      <c r="V550" s="144">
        <f t="shared" si="100"/>
        <v>1522.689680792515</v>
      </c>
    </row>
    <row r="551" spans="1:23" ht="9" customHeight="1">
      <c r="A551" s="794">
        <v>163</v>
      </c>
      <c r="B551" s="608" t="s">
        <v>811</v>
      </c>
      <c r="C551" s="609" t="s">
        <v>1192</v>
      </c>
      <c r="D551" s="609" t="s">
        <v>111</v>
      </c>
      <c r="E551" s="609" t="s">
        <v>612</v>
      </c>
      <c r="F551" s="794"/>
      <c r="G551" s="609" t="s">
        <v>88</v>
      </c>
      <c r="H551" s="610">
        <v>2</v>
      </c>
      <c r="I551" s="610">
        <v>1</v>
      </c>
      <c r="J551" s="797">
        <v>465.51</v>
      </c>
      <c r="K551" s="797">
        <v>369.21</v>
      </c>
      <c r="L551" s="797">
        <v>369.21</v>
      </c>
      <c r="M551" s="130">
        <v>8</v>
      </c>
      <c r="N551" s="797">
        <f>'Приложение 2'!E553</f>
        <v>771955.8</v>
      </c>
      <c r="O551" s="797">
        <v>0</v>
      </c>
      <c r="P551" s="797">
        <v>0</v>
      </c>
      <c r="Q551" s="797">
        <v>0</v>
      </c>
      <c r="R551" s="797">
        <f t="shared" si="113"/>
        <v>771955.8</v>
      </c>
      <c r="S551" s="797">
        <f t="shared" si="114"/>
        <v>2090.831234256927</v>
      </c>
      <c r="T551" s="797">
        <v>4503.95</v>
      </c>
      <c r="U551" s="132" t="s">
        <v>589</v>
      </c>
      <c r="V551" s="144">
        <f t="shared" si="100"/>
        <v>2413.1187657430728</v>
      </c>
    </row>
    <row r="552" spans="1:23" ht="9" customHeight="1">
      <c r="A552" s="794">
        <v>164</v>
      </c>
      <c r="B552" s="608" t="s">
        <v>812</v>
      </c>
      <c r="C552" s="609" t="s">
        <v>1192</v>
      </c>
      <c r="D552" s="609" t="s">
        <v>111</v>
      </c>
      <c r="E552" s="609" t="s">
        <v>606</v>
      </c>
      <c r="F552" s="794"/>
      <c r="G552" s="609" t="s">
        <v>88</v>
      </c>
      <c r="H552" s="610">
        <v>2</v>
      </c>
      <c r="I552" s="610">
        <v>1</v>
      </c>
      <c r="J552" s="797">
        <v>314</v>
      </c>
      <c r="K552" s="797">
        <v>287.5</v>
      </c>
      <c r="L552" s="797">
        <v>287.5</v>
      </c>
      <c r="M552" s="130">
        <v>184</v>
      </c>
      <c r="N552" s="797">
        <f>'Приложение 2'!E554</f>
        <v>604111.19999999995</v>
      </c>
      <c r="O552" s="797">
        <v>0</v>
      </c>
      <c r="P552" s="797">
        <v>0</v>
      </c>
      <c r="Q552" s="797">
        <v>0</v>
      </c>
      <c r="R552" s="797">
        <f t="shared" si="113"/>
        <v>604111.19999999995</v>
      </c>
      <c r="S552" s="797">
        <f t="shared" si="114"/>
        <v>2101.2563478260868</v>
      </c>
      <c r="T552" s="797">
        <v>4503.95</v>
      </c>
      <c r="U552" s="132" t="s">
        <v>589</v>
      </c>
      <c r="V552" s="144">
        <f t="shared" si="100"/>
        <v>2402.6936521739131</v>
      </c>
    </row>
    <row r="553" spans="1:23" ht="30" customHeight="1">
      <c r="A553" s="829" t="s">
        <v>441</v>
      </c>
      <c r="B553" s="830"/>
      <c r="C553" s="784"/>
      <c r="D553" s="784"/>
      <c r="E553" s="794" t="s">
        <v>391</v>
      </c>
      <c r="F553" s="794" t="s">
        <v>391</v>
      </c>
      <c r="G553" s="794" t="s">
        <v>391</v>
      </c>
      <c r="H553" s="794" t="s">
        <v>391</v>
      </c>
      <c r="I553" s="794" t="s">
        <v>391</v>
      </c>
      <c r="J553" s="797">
        <f t="shared" ref="J553:R553" si="115">SUM(J549:J552)</f>
        <v>2482.71</v>
      </c>
      <c r="K553" s="797">
        <f t="shared" si="115"/>
        <v>2307.61</v>
      </c>
      <c r="L553" s="797">
        <f t="shared" si="115"/>
        <v>2307.61</v>
      </c>
      <c r="M553" s="130">
        <f t="shared" si="115"/>
        <v>234</v>
      </c>
      <c r="N553" s="797">
        <f t="shared" si="115"/>
        <v>6712167</v>
      </c>
      <c r="O553" s="797">
        <f t="shared" si="115"/>
        <v>0</v>
      </c>
      <c r="P553" s="797">
        <f t="shared" si="115"/>
        <v>0</v>
      </c>
      <c r="Q553" s="797">
        <f t="shared" si="115"/>
        <v>0</v>
      </c>
      <c r="R553" s="797">
        <f t="shared" si="115"/>
        <v>6712167</v>
      </c>
      <c r="S553" s="797">
        <f>N553/K553</f>
        <v>2908.7094439701682</v>
      </c>
      <c r="T553" s="797"/>
      <c r="U553" s="132"/>
      <c r="V553" s="144">
        <f t="shared" si="100"/>
        <v>-2908.7094439701682</v>
      </c>
    </row>
    <row r="554" spans="1:23" ht="12" customHeight="1">
      <c r="A554" s="821" t="s">
        <v>395</v>
      </c>
      <c r="B554" s="821"/>
      <c r="C554" s="821"/>
      <c r="D554" s="821"/>
      <c r="E554" s="821"/>
      <c r="F554" s="821"/>
      <c r="G554" s="821"/>
      <c r="H554" s="821"/>
      <c r="I554" s="821"/>
      <c r="J554" s="821"/>
      <c r="K554" s="821"/>
      <c r="L554" s="821"/>
      <c r="M554" s="821"/>
      <c r="N554" s="821"/>
      <c r="O554" s="821"/>
      <c r="P554" s="821"/>
      <c r="Q554" s="821"/>
      <c r="R554" s="821"/>
      <c r="S554" s="821"/>
      <c r="T554" s="821"/>
      <c r="U554" s="821"/>
      <c r="V554" s="144">
        <f t="shared" si="100"/>
        <v>0</v>
      </c>
    </row>
    <row r="555" spans="1:23" ht="9" customHeight="1">
      <c r="A555" s="794">
        <v>165</v>
      </c>
      <c r="B555" s="785" t="s">
        <v>813</v>
      </c>
      <c r="C555" s="794" t="s">
        <v>1192</v>
      </c>
      <c r="D555" s="794" t="s">
        <v>110</v>
      </c>
      <c r="E555" s="794" t="s">
        <v>605</v>
      </c>
      <c r="F555" s="794"/>
      <c r="G555" s="794" t="s">
        <v>88</v>
      </c>
      <c r="H555" s="130">
        <v>5</v>
      </c>
      <c r="I555" s="130">
        <v>1</v>
      </c>
      <c r="J555" s="797">
        <v>2159.59</v>
      </c>
      <c r="K555" s="797">
        <v>1055</v>
      </c>
      <c r="L555" s="797">
        <v>1055</v>
      </c>
      <c r="M555" s="794">
        <v>46</v>
      </c>
      <c r="N555" s="797">
        <f>'Приложение 2'!E557</f>
        <v>1256918</v>
      </c>
      <c r="O555" s="797">
        <v>0</v>
      </c>
      <c r="P555" s="797">
        <v>0</v>
      </c>
      <c r="Q555" s="797">
        <v>0</v>
      </c>
      <c r="R555" s="797">
        <f t="shared" ref="R555:R569" si="116">N555-Q555</f>
        <v>1256918</v>
      </c>
      <c r="S555" s="797">
        <f t="shared" ref="S555:S569" si="117">N555/K555</f>
        <v>1191.3914691943128</v>
      </c>
      <c r="T555" s="797">
        <v>4180</v>
      </c>
      <c r="U555" s="132" t="s">
        <v>589</v>
      </c>
      <c r="V555" s="144">
        <f t="shared" si="100"/>
        <v>2988.6085308056872</v>
      </c>
    </row>
    <row r="556" spans="1:23" ht="9" customHeight="1">
      <c r="A556" s="794">
        <v>166</v>
      </c>
      <c r="B556" s="785" t="s">
        <v>814</v>
      </c>
      <c r="C556" s="794" t="s">
        <v>1192</v>
      </c>
      <c r="D556" s="794" t="s">
        <v>110</v>
      </c>
      <c r="E556" s="794" t="s">
        <v>828</v>
      </c>
      <c r="F556" s="794"/>
      <c r="G556" s="794" t="s">
        <v>90</v>
      </c>
      <c r="H556" s="130">
        <v>3</v>
      </c>
      <c r="I556" s="130">
        <v>3</v>
      </c>
      <c r="J556" s="797">
        <v>1058.2</v>
      </c>
      <c r="K556" s="797">
        <v>961.6</v>
      </c>
      <c r="L556" s="797">
        <v>838.93</v>
      </c>
      <c r="M556" s="130">
        <v>37</v>
      </c>
      <c r="N556" s="797">
        <f>'Приложение 2'!E558</f>
        <v>1500300</v>
      </c>
      <c r="O556" s="797">
        <v>0</v>
      </c>
      <c r="P556" s="797">
        <v>0</v>
      </c>
      <c r="Q556" s="797">
        <v>0</v>
      </c>
      <c r="R556" s="797">
        <f t="shared" si="116"/>
        <v>1500300</v>
      </c>
      <c r="S556" s="797">
        <f t="shared" si="117"/>
        <v>1560.2121464226288</v>
      </c>
      <c r="T556" s="797">
        <v>4180</v>
      </c>
      <c r="U556" s="132" t="s">
        <v>589</v>
      </c>
      <c r="V556" s="144">
        <f t="shared" si="100"/>
        <v>2619.7878535773712</v>
      </c>
    </row>
    <row r="557" spans="1:23" ht="9" customHeight="1">
      <c r="A557" s="794">
        <v>167</v>
      </c>
      <c r="B557" s="785" t="s">
        <v>815</v>
      </c>
      <c r="C557" s="794" t="s">
        <v>1192</v>
      </c>
      <c r="D557" s="794" t="s">
        <v>110</v>
      </c>
      <c r="E557" s="794" t="s">
        <v>614</v>
      </c>
      <c r="F557" s="794"/>
      <c r="G557" s="794" t="s">
        <v>88</v>
      </c>
      <c r="H557" s="130">
        <v>4</v>
      </c>
      <c r="I557" s="130">
        <v>1</v>
      </c>
      <c r="J557" s="797">
        <v>618.29999999999995</v>
      </c>
      <c r="K557" s="797">
        <v>571.1</v>
      </c>
      <c r="L557" s="797">
        <v>503.1</v>
      </c>
      <c r="M557" s="130">
        <v>32</v>
      </c>
      <c r="N557" s="797">
        <f>'Приложение 2'!E559</f>
        <v>733480</v>
      </c>
      <c r="O557" s="797">
        <v>0</v>
      </c>
      <c r="P557" s="797">
        <v>0</v>
      </c>
      <c r="Q557" s="797">
        <v>0</v>
      </c>
      <c r="R557" s="797">
        <f t="shared" si="116"/>
        <v>733480</v>
      </c>
      <c r="S557" s="797">
        <f t="shared" si="117"/>
        <v>1284.3284888811065</v>
      </c>
      <c r="T557" s="797">
        <v>4180</v>
      </c>
      <c r="U557" s="132" t="s">
        <v>589</v>
      </c>
      <c r="V557" s="144">
        <f t="shared" si="100"/>
        <v>2895.6715111188932</v>
      </c>
    </row>
    <row r="558" spans="1:23" ht="9" customHeight="1">
      <c r="A558" s="794">
        <v>168</v>
      </c>
      <c r="B558" s="785" t="s">
        <v>816</v>
      </c>
      <c r="C558" s="794" t="s">
        <v>1192</v>
      </c>
      <c r="D558" s="794" t="s">
        <v>111</v>
      </c>
      <c r="E558" s="794" t="s">
        <v>592</v>
      </c>
      <c r="F558" s="794"/>
      <c r="G558" s="794" t="s">
        <v>88</v>
      </c>
      <c r="H558" s="130">
        <v>4</v>
      </c>
      <c r="I558" s="130">
        <v>1</v>
      </c>
      <c r="J558" s="797">
        <v>940.8</v>
      </c>
      <c r="K558" s="797">
        <v>844.6</v>
      </c>
      <c r="L558" s="797">
        <v>793.4</v>
      </c>
      <c r="M558" s="130">
        <v>40</v>
      </c>
      <c r="N558" s="797">
        <f>'Приложение 2'!E560</f>
        <v>1941046.8</v>
      </c>
      <c r="O558" s="797">
        <v>0</v>
      </c>
      <c r="P558" s="797">
        <v>0</v>
      </c>
      <c r="Q558" s="797">
        <v>0</v>
      </c>
      <c r="R558" s="797">
        <f t="shared" si="116"/>
        <v>1941046.8</v>
      </c>
      <c r="S558" s="797">
        <f t="shared" si="117"/>
        <v>2298.1847028179018</v>
      </c>
      <c r="T558" s="797">
        <v>4503.95</v>
      </c>
      <c r="U558" s="132" t="s">
        <v>589</v>
      </c>
      <c r="V558" s="144">
        <f t="shared" si="100"/>
        <v>2205.765297182098</v>
      </c>
    </row>
    <row r="559" spans="1:23" ht="9" customHeight="1">
      <c r="A559" s="794">
        <v>169</v>
      </c>
      <c r="B559" s="785" t="s">
        <v>817</v>
      </c>
      <c r="C559" s="794" t="s">
        <v>1192</v>
      </c>
      <c r="D559" s="794" t="s">
        <v>110</v>
      </c>
      <c r="E559" s="794" t="s">
        <v>613</v>
      </c>
      <c r="F559" s="794"/>
      <c r="G559" s="794" t="s">
        <v>90</v>
      </c>
      <c r="H559" s="130">
        <v>2</v>
      </c>
      <c r="I559" s="130">
        <v>2</v>
      </c>
      <c r="J559" s="797">
        <v>1163.2</v>
      </c>
      <c r="K559" s="797">
        <v>638.20000000000005</v>
      </c>
      <c r="L559" s="797">
        <v>515.1</v>
      </c>
      <c r="M559" s="130">
        <v>32</v>
      </c>
      <c r="N559" s="797">
        <f>'Приложение 2'!E561</f>
        <v>1646996</v>
      </c>
      <c r="O559" s="797">
        <v>0</v>
      </c>
      <c r="P559" s="797">
        <v>0</v>
      </c>
      <c r="Q559" s="797">
        <v>0</v>
      </c>
      <c r="R559" s="797">
        <f t="shared" si="116"/>
        <v>1646996</v>
      </c>
      <c r="S559" s="797">
        <f t="shared" si="117"/>
        <v>2580.6894390473203</v>
      </c>
      <c r="T559" s="797">
        <v>4180</v>
      </c>
      <c r="U559" s="132" t="s">
        <v>589</v>
      </c>
      <c r="V559" s="144">
        <f t="shared" si="100"/>
        <v>1599.3105609526797</v>
      </c>
    </row>
    <row r="560" spans="1:23" ht="9" customHeight="1">
      <c r="A560" s="794">
        <v>170</v>
      </c>
      <c r="B560" s="785" t="s">
        <v>818</v>
      </c>
      <c r="C560" s="794" t="s">
        <v>1192</v>
      </c>
      <c r="D560" s="794" t="s">
        <v>110</v>
      </c>
      <c r="E560" s="794" t="s">
        <v>601</v>
      </c>
      <c r="F560" s="794"/>
      <c r="G560" s="794" t="s">
        <v>88</v>
      </c>
      <c r="H560" s="130">
        <v>5</v>
      </c>
      <c r="I560" s="130">
        <v>4</v>
      </c>
      <c r="J560" s="797">
        <v>4349.5</v>
      </c>
      <c r="K560" s="797">
        <v>3181.15</v>
      </c>
      <c r="L560" s="797">
        <v>2878.4</v>
      </c>
      <c r="M560" s="130">
        <v>156</v>
      </c>
      <c r="N560" s="797">
        <f>'Приложение 2'!E562</f>
        <v>3000600</v>
      </c>
      <c r="O560" s="797">
        <v>0</v>
      </c>
      <c r="P560" s="797">
        <v>0</v>
      </c>
      <c r="Q560" s="797">
        <v>0</v>
      </c>
      <c r="R560" s="797">
        <f t="shared" si="116"/>
        <v>3000600</v>
      </c>
      <c r="S560" s="797">
        <f t="shared" si="117"/>
        <v>943.24379548276568</v>
      </c>
      <c r="T560" s="797">
        <v>4180</v>
      </c>
      <c r="U560" s="132" t="s">
        <v>589</v>
      </c>
      <c r="V560" s="144">
        <f t="shared" si="100"/>
        <v>3236.7562045172344</v>
      </c>
    </row>
    <row r="561" spans="1:23" ht="9" customHeight="1">
      <c r="A561" s="794">
        <v>171</v>
      </c>
      <c r="B561" s="785" t="s">
        <v>819</v>
      </c>
      <c r="C561" s="794" t="s">
        <v>1192</v>
      </c>
      <c r="D561" s="794" t="s">
        <v>111</v>
      </c>
      <c r="E561" s="794" t="s">
        <v>607</v>
      </c>
      <c r="F561" s="794"/>
      <c r="G561" s="794" t="s">
        <v>88</v>
      </c>
      <c r="H561" s="130">
        <v>3</v>
      </c>
      <c r="I561" s="130">
        <v>2</v>
      </c>
      <c r="J561" s="797">
        <v>1235.8699999999999</v>
      </c>
      <c r="K561" s="797">
        <v>1127.8699999999999</v>
      </c>
      <c r="L561" s="797">
        <v>1127.8699999999999</v>
      </c>
      <c r="M561" s="794">
        <v>66</v>
      </c>
      <c r="N561" s="797">
        <f>'Приложение 2'!E563</f>
        <v>2425500</v>
      </c>
      <c r="O561" s="797">
        <v>0</v>
      </c>
      <c r="P561" s="797">
        <v>0</v>
      </c>
      <c r="Q561" s="797">
        <v>0</v>
      </c>
      <c r="R561" s="797">
        <f t="shared" si="116"/>
        <v>2425500</v>
      </c>
      <c r="S561" s="797">
        <f t="shared" si="117"/>
        <v>2150.5138003493312</v>
      </c>
      <c r="T561" s="797">
        <v>4503.95</v>
      </c>
      <c r="U561" s="132" t="s">
        <v>589</v>
      </c>
      <c r="V561" s="144">
        <f t="shared" si="100"/>
        <v>2353.4361996506686</v>
      </c>
    </row>
    <row r="562" spans="1:23" ht="9" customHeight="1">
      <c r="A562" s="794">
        <v>172</v>
      </c>
      <c r="B562" s="785" t="s">
        <v>820</v>
      </c>
      <c r="C562" s="794" t="s">
        <v>1192</v>
      </c>
      <c r="D562" s="794" t="s">
        <v>111</v>
      </c>
      <c r="E562" s="794" t="s">
        <v>607</v>
      </c>
      <c r="F562" s="794"/>
      <c r="G562" s="794" t="s">
        <v>88</v>
      </c>
      <c r="H562" s="130">
        <v>3</v>
      </c>
      <c r="I562" s="130">
        <v>2</v>
      </c>
      <c r="J562" s="797">
        <v>1221.9000000000001</v>
      </c>
      <c r="K562" s="797">
        <v>1113.9000000000001</v>
      </c>
      <c r="L562" s="797">
        <v>908.74</v>
      </c>
      <c r="M562" s="130">
        <v>56</v>
      </c>
      <c r="N562" s="797">
        <f>'Приложение 2'!E564</f>
        <v>2425500</v>
      </c>
      <c r="O562" s="797">
        <v>0</v>
      </c>
      <c r="P562" s="797">
        <v>0</v>
      </c>
      <c r="Q562" s="797">
        <v>0</v>
      </c>
      <c r="R562" s="797">
        <f t="shared" si="116"/>
        <v>2425500</v>
      </c>
      <c r="S562" s="797">
        <f t="shared" si="117"/>
        <v>2177.4845138701858</v>
      </c>
      <c r="T562" s="797">
        <v>4503.95</v>
      </c>
      <c r="U562" s="132" t="s">
        <v>589</v>
      </c>
      <c r="V562" s="144">
        <f t="shared" si="100"/>
        <v>2326.4654861298141</v>
      </c>
    </row>
    <row r="563" spans="1:23" ht="9" customHeight="1">
      <c r="A563" s="794">
        <v>173</v>
      </c>
      <c r="B563" s="785" t="s">
        <v>821</v>
      </c>
      <c r="C563" s="794" t="s">
        <v>1192</v>
      </c>
      <c r="D563" s="794" t="s">
        <v>110</v>
      </c>
      <c r="E563" s="794" t="s">
        <v>605</v>
      </c>
      <c r="F563" s="794"/>
      <c r="G563" s="794" t="s">
        <v>90</v>
      </c>
      <c r="H563" s="130">
        <v>2</v>
      </c>
      <c r="I563" s="130">
        <v>3</v>
      </c>
      <c r="J563" s="797">
        <v>1158.7</v>
      </c>
      <c r="K563" s="797">
        <v>1076.7</v>
      </c>
      <c r="L563" s="797">
        <v>675.24</v>
      </c>
      <c r="M563" s="794">
        <v>52</v>
      </c>
      <c r="N563" s="797">
        <f>'Приложение 2'!E565</f>
        <v>2300460</v>
      </c>
      <c r="O563" s="797">
        <v>0</v>
      </c>
      <c r="P563" s="797">
        <v>0</v>
      </c>
      <c r="Q563" s="797">
        <v>0</v>
      </c>
      <c r="R563" s="797">
        <f t="shared" si="116"/>
        <v>2300460</v>
      </c>
      <c r="S563" s="797">
        <f t="shared" si="117"/>
        <v>2136.5840066870992</v>
      </c>
      <c r="T563" s="797">
        <v>4180</v>
      </c>
      <c r="U563" s="132" t="s">
        <v>589</v>
      </c>
      <c r="V563" s="144">
        <f t="shared" si="100"/>
        <v>2043.4159933129008</v>
      </c>
    </row>
    <row r="564" spans="1:23" ht="9" customHeight="1">
      <c r="A564" s="794">
        <v>174</v>
      </c>
      <c r="B564" s="785" t="s">
        <v>822</v>
      </c>
      <c r="C564" s="794" t="s">
        <v>1192</v>
      </c>
      <c r="D564" s="794" t="s">
        <v>110</v>
      </c>
      <c r="E564" s="794" t="s">
        <v>0</v>
      </c>
      <c r="F564" s="794"/>
      <c r="G564" s="794" t="s">
        <v>88</v>
      </c>
      <c r="H564" s="130">
        <v>2</v>
      </c>
      <c r="I564" s="130">
        <v>1</v>
      </c>
      <c r="J564" s="797">
        <v>326</v>
      </c>
      <c r="K564" s="797">
        <v>255</v>
      </c>
      <c r="L564" s="797">
        <v>255</v>
      </c>
      <c r="M564" s="794">
        <v>18</v>
      </c>
      <c r="N564" s="797">
        <f>'Приложение 2'!E566</f>
        <v>1043208.6</v>
      </c>
      <c r="O564" s="797">
        <v>0</v>
      </c>
      <c r="P564" s="797">
        <v>0</v>
      </c>
      <c r="Q564" s="797">
        <v>0</v>
      </c>
      <c r="R564" s="797">
        <f t="shared" si="116"/>
        <v>1043208.6</v>
      </c>
      <c r="S564" s="797">
        <f t="shared" si="117"/>
        <v>4091.0141176470588</v>
      </c>
      <c r="T564" s="797">
        <v>4180</v>
      </c>
      <c r="U564" s="132" t="s">
        <v>589</v>
      </c>
      <c r="V564" s="144">
        <f t="shared" si="100"/>
        <v>88.985882352941189</v>
      </c>
    </row>
    <row r="565" spans="1:23" ht="9" customHeight="1">
      <c r="A565" s="794">
        <v>175</v>
      </c>
      <c r="B565" s="785" t="s">
        <v>823</v>
      </c>
      <c r="C565" s="794" t="s">
        <v>1197</v>
      </c>
      <c r="D565" s="794" t="s">
        <v>111</v>
      </c>
      <c r="E565" s="794" t="s">
        <v>615</v>
      </c>
      <c r="F565" s="794"/>
      <c r="G565" s="794" t="s">
        <v>88</v>
      </c>
      <c r="H565" s="130">
        <v>2</v>
      </c>
      <c r="I565" s="130">
        <v>3</v>
      </c>
      <c r="J565" s="797">
        <v>1452.7</v>
      </c>
      <c r="K565" s="797">
        <v>904.2</v>
      </c>
      <c r="L565" s="797">
        <v>769.4</v>
      </c>
      <c r="M565" s="130">
        <v>56</v>
      </c>
      <c r="N565" s="797">
        <f>'Приложение 2'!E567</f>
        <v>2497228.5999999996</v>
      </c>
      <c r="O565" s="797">
        <v>0</v>
      </c>
      <c r="P565" s="797">
        <v>0</v>
      </c>
      <c r="Q565" s="797">
        <v>0</v>
      </c>
      <c r="R565" s="797">
        <f t="shared" si="116"/>
        <v>2497228.5999999996</v>
      </c>
      <c r="S565" s="797">
        <f t="shared" si="117"/>
        <v>2761.8099977880993</v>
      </c>
      <c r="T565" s="797">
        <v>5479.99</v>
      </c>
      <c r="U565" s="132" t="s">
        <v>589</v>
      </c>
      <c r="V565" s="144">
        <f t="shared" si="100"/>
        <v>2718.1800022119005</v>
      </c>
      <c r="W565" s="123">
        <f>4984.65+322.91</f>
        <v>5307.5599999999995</v>
      </c>
    </row>
    <row r="566" spans="1:23" ht="9" customHeight="1">
      <c r="A566" s="794">
        <v>176</v>
      </c>
      <c r="B566" s="785" t="s">
        <v>824</v>
      </c>
      <c r="C566" s="794" t="s">
        <v>1195</v>
      </c>
      <c r="D566" s="794" t="s">
        <v>110</v>
      </c>
      <c r="E566" s="794" t="s">
        <v>601</v>
      </c>
      <c r="F566" s="794"/>
      <c r="G566" s="794" t="s">
        <v>88</v>
      </c>
      <c r="H566" s="130">
        <v>2</v>
      </c>
      <c r="I566" s="130">
        <v>1</v>
      </c>
      <c r="J566" s="797">
        <v>637.9</v>
      </c>
      <c r="K566" s="797">
        <v>375.9</v>
      </c>
      <c r="L566" s="797">
        <v>288.8</v>
      </c>
      <c r="M566" s="794">
        <v>22</v>
      </c>
      <c r="N566" s="797">
        <f>'Приложение 2'!E568</f>
        <v>1038164.39</v>
      </c>
      <c r="O566" s="797">
        <v>0</v>
      </c>
      <c r="P566" s="797">
        <v>0</v>
      </c>
      <c r="Q566" s="797">
        <v>0</v>
      </c>
      <c r="R566" s="797">
        <f t="shared" si="116"/>
        <v>1038164.39</v>
      </c>
      <c r="S566" s="797">
        <f t="shared" si="117"/>
        <v>2761.810029263102</v>
      </c>
      <c r="T566" s="797">
        <v>5479.99</v>
      </c>
      <c r="U566" s="132" t="s">
        <v>589</v>
      </c>
      <c r="V566" s="144">
        <f t="shared" si="100"/>
        <v>2718.1799707368978</v>
      </c>
    </row>
    <row r="567" spans="1:23" ht="9" customHeight="1">
      <c r="A567" s="794">
        <v>177</v>
      </c>
      <c r="B567" s="785" t="s">
        <v>825</v>
      </c>
      <c r="C567" s="794" t="s">
        <v>1192</v>
      </c>
      <c r="D567" s="794" t="s">
        <v>111</v>
      </c>
      <c r="E567" s="794" t="s">
        <v>616</v>
      </c>
      <c r="F567" s="794"/>
      <c r="G567" s="794" t="s">
        <v>88</v>
      </c>
      <c r="H567" s="130">
        <v>2</v>
      </c>
      <c r="I567" s="130">
        <v>3</v>
      </c>
      <c r="J567" s="797">
        <v>944</v>
      </c>
      <c r="K567" s="797">
        <v>884</v>
      </c>
      <c r="L567" s="797">
        <v>746.6</v>
      </c>
      <c r="M567" s="130">
        <v>47</v>
      </c>
      <c r="N567" s="797">
        <f>'Приложение 2'!E569</f>
        <v>2506350</v>
      </c>
      <c r="O567" s="797">
        <v>0</v>
      </c>
      <c r="P567" s="797">
        <v>0</v>
      </c>
      <c r="Q567" s="797">
        <v>0</v>
      </c>
      <c r="R567" s="797">
        <f t="shared" si="116"/>
        <v>2506350</v>
      </c>
      <c r="S567" s="797">
        <f t="shared" si="117"/>
        <v>2835.237556561086</v>
      </c>
      <c r="T567" s="797">
        <v>4503.95</v>
      </c>
      <c r="U567" s="132" t="s">
        <v>589</v>
      </c>
      <c r="V567" s="144">
        <f t="shared" si="100"/>
        <v>1668.7124434389139</v>
      </c>
    </row>
    <row r="568" spans="1:23" ht="9" customHeight="1">
      <c r="A568" s="794">
        <v>178</v>
      </c>
      <c r="B568" s="785" t="s">
        <v>826</v>
      </c>
      <c r="C568" s="794" t="s">
        <v>1198</v>
      </c>
      <c r="D568" s="794" t="s">
        <v>111</v>
      </c>
      <c r="E568" s="794" t="s">
        <v>748</v>
      </c>
      <c r="F568" s="794"/>
      <c r="G568" s="794" t="s">
        <v>88</v>
      </c>
      <c r="H568" s="130">
        <v>2</v>
      </c>
      <c r="I568" s="130">
        <v>2</v>
      </c>
      <c r="J568" s="797">
        <v>432.9</v>
      </c>
      <c r="K568" s="797">
        <v>392.1</v>
      </c>
      <c r="L568" s="797">
        <v>243.5</v>
      </c>
      <c r="M568" s="794">
        <v>28</v>
      </c>
      <c r="N568" s="797">
        <f>'Приложение 2'!E570</f>
        <v>1029638.92</v>
      </c>
      <c r="O568" s="797">
        <v>0</v>
      </c>
      <c r="P568" s="797">
        <v>0</v>
      </c>
      <c r="Q568" s="797">
        <v>0</v>
      </c>
      <c r="R568" s="797">
        <f t="shared" si="116"/>
        <v>1029638.92</v>
      </c>
      <c r="S568" s="797">
        <f t="shared" si="117"/>
        <v>2625.9600102014792</v>
      </c>
      <c r="T568" s="797">
        <v>5307.56</v>
      </c>
      <c r="U568" s="132" t="s">
        <v>589</v>
      </c>
      <c r="V568" s="144">
        <f t="shared" si="100"/>
        <v>2681.5999897985212</v>
      </c>
    </row>
    <row r="569" spans="1:23" ht="9" customHeight="1">
      <c r="A569" s="794">
        <v>179</v>
      </c>
      <c r="B569" s="785" t="s">
        <v>827</v>
      </c>
      <c r="C569" s="794" t="s">
        <v>1192</v>
      </c>
      <c r="D569" s="794" t="s">
        <v>110</v>
      </c>
      <c r="E569" s="794" t="s">
        <v>599</v>
      </c>
      <c r="F569" s="794"/>
      <c r="G569" s="794" t="s">
        <v>88</v>
      </c>
      <c r="H569" s="130">
        <v>2</v>
      </c>
      <c r="I569" s="130">
        <v>2</v>
      </c>
      <c r="J569" s="797">
        <v>677.7</v>
      </c>
      <c r="K569" s="797">
        <v>605.70000000000005</v>
      </c>
      <c r="L569" s="797">
        <v>573.29999999999995</v>
      </c>
      <c r="M569" s="794">
        <v>33</v>
      </c>
      <c r="N569" s="797">
        <f>'Приложение 2'!E571</f>
        <v>1440288</v>
      </c>
      <c r="O569" s="797">
        <v>0</v>
      </c>
      <c r="P569" s="797">
        <v>0</v>
      </c>
      <c r="Q569" s="797">
        <v>0</v>
      </c>
      <c r="R569" s="797">
        <f t="shared" si="116"/>
        <v>1440288</v>
      </c>
      <c r="S569" s="797">
        <f t="shared" si="117"/>
        <v>2377.890044576523</v>
      </c>
      <c r="T569" s="797">
        <v>4180</v>
      </c>
      <c r="U569" s="132" t="s">
        <v>589</v>
      </c>
      <c r="V569" s="144">
        <f t="shared" si="100"/>
        <v>1802.109955423477</v>
      </c>
    </row>
    <row r="570" spans="1:23" ht="22.5" customHeight="1">
      <c r="A570" s="822" t="s">
        <v>271</v>
      </c>
      <c r="B570" s="822"/>
      <c r="C570" s="785"/>
      <c r="D570" s="785"/>
      <c r="E570" s="141" t="s">
        <v>391</v>
      </c>
      <c r="F570" s="141" t="s">
        <v>391</v>
      </c>
      <c r="G570" s="141" t="s">
        <v>391</v>
      </c>
      <c r="H570" s="141" t="s">
        <v>391</v>
      </c>
      <c r="I570" s="141" t="s">
        <v>391</v>
      </c>
      <c r="J570" s="797">
        <f t="shared" ref="J570:R570" si="118">SUM(J555:J569)</f>
        <v>18377.260000000002</v>
      </c>
      <c r="K570" s="797">
        <f t="shared" si="118"/>
        <v>13987.020000000002</v>
      </c>
      <c r="L570" s="797">
        <f t="shared" si="118"/>
        <v>12172.38</v>
      </c>
      <c r="M570" s="794">
        <f t="shared" si="118"/>
        <v>721</v>
      </c>
      <c r="N570" s="797">
        <f t="shared" si="118"/>
        <v>26785679.310000002</v>
      </c>
      <c r="O570" s="797">
        <f t="shared" si="118"/>
        <v>0</v>
      </c>
      <c r="P570" s="797">
        <f t="shared" si="118"/>
        <v>0</v>
      </c>
      <c r="Q570" s="797">
        <f t="shared" si="118"/>
        <v>0</v>
      </c>
      <c r="R570" s="797">
        <f t="shared" si="118"/>
        <v>26785679.310000002</v>
      </c>
      <c r="S570" s="797">
        <f>N570/K570</f>
        <v>1915.0383219585015</v>
      </c>
      <c r="T570" s="794"/>
      <c r="U570" s="132"/>
      <c r="V570" s="144">
        <f t="shared" si="100"/>
        <v>-1915.0383219585015</v>
      </c>
    </row>
    <row r="571" spans="1:23" ht="12.75" customHeight="1">
      <c r="A571" s="833" t="s">
        <v>445</v>
      </c>
      <c r="B571" s="834"/>
      <c r="C571" s="834"/>
      <c r="D571" s="834"/>
      <c r="E571" s="834"/>
      <c r="F571" s="834"/>
      <c r="G571" s="834"/>
      <c r="H571" s="834"/>
      <c r="I571" s="834"/>
      <c r="J571" s="834"/>
      <c r="K571" s="834"/>
      <c r="L571" s="834"/>
      <c r="M571" s="834"/>
      <c r="N571" s="834"/>
      <c r="O571" s="834"/>
      <c r="P571" s="834"/>
      <c r="Q571" s="834"/>
      <c r="R571" s="834"/>
      <c r="S571" s="834"/>
      <c r="T571" s="834"/>
      <c r="U571" s="835"/>
      <c r="V571" s="144">
        <f t="shared" si="100"/>
        <v>0</v>
      </c>
    </row>
    <row r="572" spans="1:23" ht="9" customHeight="1">
      <c r="A572" s="166">
        <v>180</v>
      </c>
      <c r="B572" s="785" t="s">
        <v>844</v>
      </c>
      <c r="C572" s="794" t="s">
        <v>1008</v>
      </c>
      <c r="D572" s="794" t="s">
        <v>111</v>
      </c>
      <c r="E572" s="794" t="s">
        <v>600</v>
      </c>
      <c r="F572" s="166"/>
      <c r="G572" s="794" t="s">
        <v>776</v>
      </c>
      <c r="H572" s="130">
        <v>2</v>
      </c>
      <c r="I572" s="130">
        <v>1</v>
      </c>
      <c r="J572" s="797">
        <v>306.7</v>
      </c>
      <c r="K572" s="797">
        <v>291.39999999999998</v>
      </c>
      <c r="L572" s="797">
        <v>172</v>
      </c>
      <c r="M572" s="130">
        <v>13</v>
      </c>
      <c r="N572" s="797">
        <f>'Приложение 2'!E574</f>
        <v>107818</v>
      </c>
      <c r="O572" s="167">
        <v>0</v>
      </c>
      <c r="P572" s="167">
        <v>0</v>
      </c>
      <c r="Q572" s="797">
        <v>0</v>
      </c>
      <c r="R572" s="167">
        <f>N572</f>
        <v>107818</v>
      </c>
      <c r="S572" s="797">
        <f t="shared" ref="S572:S573" si="119">N572/K572</f>
        <v>370.00000000000006</v>
      </c>
      <c r="T572" s="797">
        <v>4984.6499999999996</v>
      </c>
      <c r="U572" s="132" t="s">
        <v>589</v>
      </c>
      <c r="V572" s="144">
        <f t="shared" si="100"/>
        <v>4614.6499999999996</v>
      </c>
    </row>
    <row r="573" spans="1:23" ht="9" customHeight="1">
      <c r="A573" s="166">
        <v>181</v>
      </c>
      <c r="B573" s="785" t="s">
        <v>845</v>
      </c>
      <c r="C573" s="794" t="s">
        <v>1192</v>
      </c>
      <c r="D573" s="794" t="s">
        <v>110</v>
      </c>
      <c r="E573" s="794" t="s">
        <v>593</v>
      </c>
      <c r="F573" s="166"/>
      <c r="G573" s="794" t="s">
        <v>90</v>
      </c>
      <c r="H573" s="130">
        <v>2</v>
      </c>
      <c r="I573" s="130">
        <v>2</v>
      </c>
      <c r="J573" s="797">
        <v>853.7</v>
      </c>
      <c r="K573" s="797">
        <v>803.5</v>
      </c>
      <c r="L573" s="797">
        <v>78</v>
      </c>
      <c r="M573" s="130">
        <v>10</v>
      </c>
      <c r="N573" s="797">
        <f>'Приложение 2'!E575</f>
        <v>1400280</v>
      </c>
      <c r="O573" s="167">
        <v>0</v>
      </c>
      <c r="P573" s="167">
        <v>0</v>
      </c>
      <c r="Q573" s="797">
        <v>0</v>
      </c>
      <c r="R573" s="167">
        <f>N573</f>
        <v>1400280</v>
      </c>
      <c r="S573" s="797">
        <f t="shared" si="119"/>
        <v>1742.7255756067207</v>
      </c>
      <c r="T573" s="797">
        <v>4180</v>
      </c>
      <c r="U573" s="132" t="s">
        <v>589</v>
      </c>
      <c r="V573" s="144">
        <f t="shared" si="100"/>
        <v>2437.2744243932793</v>
      </c>
    </row>
    <row r="574" spans="1:23" ht="24.75" customHeight="1">
      <c r="A574" s="831" t="s">
        <v>446</v>
      </c>
      <c r="B574" s="832"/>
      <c r="C574" s="793"/>
      <c r="D574" s="793"/>
      <c r="E574" s="166" t="s">
        <v>391</v>
      </c>
      <c r="F574" s="166" t="s">
        <v>391</v>
      </c>
      <c r="G574" s="166" t="s">
        <v>391</v>
      </c>
      <c r="H574" s="166" t="s">
        <v>391</v>
      </c>
      <c r="I574" s="166" t="s">
        <v>391</v>
      </c>
      <c r="J574" s="167">
        <f t="shared" ref="J574:R574" si="120">SUM(J572:J573)</f>
        <v>1160.4000000000001</v>
      </c>
      <c r="K574" s="167">
        <f t="shared" si="120"/>
        <v>1094.9000000000001</v>
      </c>
      <c r="L574" s="167">
        <f t="shared" si="120"/>
        <v>250</v>
      </c>
      <c r="M574" s="130">
        <f t="shared" si="120"/>
        <v>23</v>
      </c>
      <c r="N574" s="167">
        <f t="shared" si="120"/>
        <v>1508098</v>
      </c>
      <c r="O574" s="167">
        <f t="shared" si="120"/>
        <v>0</v>
      </c>
      <c r="P574" s="167">
        <f t="shared" si="120"/>
        <v>0</v>
      </c>
      <c r="Q574" s="167">
        <f t="shared" si="120"/>
        <v>0</v>
      </c>
      <c r="R574" s="167">
        <f t="shared" si="120"/>
        <v>1508098</v>
      </c>
      <c r="S574" s="797">
        <f>N574/K574</f>
        <v>1377.3842360032879</v>
      </c>
      <c r="T574" s="797"/>
      <c r="U574" s="166"/>
      <c r="V574" s="144">
        <f t="shared" si="100"/>
        <v>-1377.3842360032879</v>
      </c>
    </row>
    <row r="575" spans="1:23" s="171" customFormat="1" ht="12" customHeight="1">
      <c r="A575" s="823" t="s">
        <v>397</v>
      </c>
      <c r="B575" s="823"/>
      <c r="C575" s="823"/>
      <c r="D575" s="823"/>
      <c r="E575" s="823"/>
      <c r="F575" s="823"/>
      <c r="G575" s="823"/>
      <c r="H575" s="823"/>
      <c r="I575" s="823"/>
      <c r="J575" s="823"/>
      <c r="K575" s="823"/>
      <c r="L575" s="823"/>
      <c r="M575" s="823"/>
      <c r="N575" s="823"/>
      <c r="O575" s="823"/>
      <c r="P575" s="823"/>
      <c r="Q575" s="823"/>
      <c r="R575" s="823"/>
      <c r="S575" s="823"/>
      <c r="T575" s="823"/>
      <c r="U575" s="823"/>
      <c r="V575" s="144">
        <f t="shared" si="100"/>
        <v>0</v>
      </c>
      <c r="W575" s="123"/>
    </row>
    <row r="576" spans="1:23" s="171" customFormat="1" ht="9" customHeight="1">
      <c r="A576" s="166">
        <v>182</v>
      </c>
      <c r="B576" s="785" t="s">
        <v>843</v>
      </c>
      <c r="C576" s="794" t="s">
        <v>1192</v>
      </c>
      <c r="D576" s="794" t="s">
        <v>111</v>
      </c>
      <c r="E576" s="794" t="s">
        <v>0</v>
      </c>
      <c r="F576" s="166"/>
      <c r="G576" s="794" t="s">
        <v>88</v>
      </c>
      <c r="H576" s="130">
        <v>2</v>
      </c>
      <c r="I576" s="130">
        <v>2</v>
      </c>
      <c r="J576" s="797">
        <v>838.5</v>
      </c>
      <c r="K576" s="797">
        <v>752.2</v>
      </c>
      <c r="L576" s="797">
        <v>134</v>
      </c>
      <c r="M576" s="130">
        <v>35</v>
      </c>
      <c r="N576" s="797">
        <f>'Приложение 2'!E578</f>
        <v>1358280</v>
      </c>
      <c r="O576" s="167">
        <v>0</v>
      </c>
      <c r="P576" s="167">
        <v>0</v>
      </c>
      <c r="Q576" s="167">
        <v>0</v>
      </c>
      <c r="R576" s="167">
        <f>N576</f>
        <v>1358280</v>
      </c>
      <c r="S576" s="797">
        <f t="shared" ref="S576:S577" si="121">N576/K576</f>
        <v>1805.7431534166444</v>
      </c>
      <c r="T576" s="797">
        <v>4503.95</v>
      </c>
      <c r="U576" s="132" t="s">
        <v>589</v>
      </c>
      <c r="V576" s="144">
        <f t="shared" si="100"/>
        <v>2698.2068465833554</v>
      </c>
      <c r="W576" s="123"/>
    </row>
    <row r="577" spans="1:23" s="171" customFormat="1" ht="9" customHeight="1">
      <c r="A577" s="166">
        <v>183</v>
      </c>
      <c r="B577" s="785" t="s">
        <v>846</v>
      </c>
      <c r="C577" s="794" t="s">
        <v>1192</v>
      </c>
      <c r="D577" s="794" t="s">
        <v>110</v>
      </c>
      <c r="E577" s="794" t="s">
        <v>608</v>
      </c>
      <c r="F577" s="166"/>
      <c r="G577" s="794" t="s">
        <v>88</v>
      </c>
      <c r="H577" s="130">
        <v>2</v>
      </c>
      <c r="I577" s="130">
        <v>3</v>
      </c>
      <c r="J577" s="797">
        <v>1977.1</v>
      </c>
      <c r="K577" s="797">
        <v>1865</v>
      </c>
      <c r="L577" s="797">
        <v>185</v>
      </c>
      <c r="M577" s="130">
        <v>12</v>
      </c>
      <c r="N577" s="797">
        <f>'Приложение 2'!E579</f>
        <v>2100420</v>
      </c>
      <c r="O577" s="167">
        <v>0</v>
      </c>
      <c r="P577" s="167">
        <v>0</v>
      </c>
      <c r="Q577" s="167">
        <v>0</v>
      </c>
      <c r="R577" s="167">
        <f>N577</f>
        <v>2100420</v>
      </c>
      <c r="S577" s="797">
        <f t="shared" si="121"/>
        <v>1126.230563002681</v>
      </c>
      <c r="T577" s="797">
        <v>4180</v>
      </c>
      <c r="U577" s="132" t="s">
        <v>589</v>
      </c>
      <c r="V577" s="144">
        <f t="shared" ref="V577:V601" si="122">T577-S577</f>
        <v>3053.7694369973187</v>
      </c>
      <c r="W577" s="123"/>
    </row>
    <row r="578" spans="1:23" ht="21.75" customHeight="1">
      <c r="A578" s="865" t="s">
        <v>398</v>
      </c>
      <c r="B578" s="865"/>
      <c r="C578" s="172"/>
      <c r="D578" s="172"/>
      <c r="E578" s="172" t="s">
        <v>391</v>
      </c>
      <c r="F578" s="172" t="s">
        <v>391</v>
      </c>
      <c r="G578" s="172" t="s">
        <v>391</v>
      </c>
      <c r="H578" s="172" t="s">
        <v>391</v>
      </c>
      <c r="I578" s="172" t="s">
        <v>391</v>
      </c>
      <c r="J578" s="173">
        <f t="shared" ref="J578:R578" si="123">SUM(J576:J577)</f>
        <v>2815.6</v>
      </c>
      <c r="K578" s="173">
        <f t="shared" si="123"/>
        <v>2617.1999999999998</v>
      </c>
      <c r="L578" s="173">
        <f t="shared" si="123"/>
        <v>319</v>
      </c>
      <c r="M578" s="130">
        <f t="shared" si="123"/>
        <v>47</v>
      </c>
      <c r="N578" s="173">
        <f t="shared" si="123"/>
        <v>3458700</v>
      </c>
      <c r="O578" s="173">
        <f t="shared" si="123"/>
        <v>0</v>
      </c>
      <c r="P578" s="173">
        <f t="shared" si="123"/>
        <v>0</v>
      </c>
      <c r="Q578" s="173">
        <f t="shared" si="123"/>
        <v>0</v>
      </c>
      <c r="R578" s="173">
        <f t="shared" si="123"/>
        <v>3458700</v>
      </c>
      <c r="S578" s="162">
        <f>N578/K578</f>
        <v>1321.5268225584596</v>
      </c>
      <c r="T578" s="162"/>
      <c r="U578" s="172"/>
      <c r="V578" s="144">
        <f t="shared" si="122"/>
        <v>-1321.5268225584596</v>
      </c>
    </row>
    <row r="579" spans="1:23" ht="14.25" customHeight="1">
      <c r="A579" s="837" t="s">
        <v>442</v>
      </c>
      <c r="B579" s="838"/>
      <c r="C579" s="838"/>
      <c r="D579" s="838"/>
      <c r="E579" s="838"/>
      <c r="F579" s="838"/>
      <c r="G579" s="838"/>
      <c r="H579" s="838"/>
      <c r="I579" s="838"/>
      <c r="J579" s="838"/>
      <c r="K579" s="838"/>
      <c r="L579" s="838"/>
      <c r="M579" s="838"/>
      <c r="N579" s="838"/>
      <c r="O579" s="838"/>
      <c r="P579" s="838"/>
      <c r="Q579" s="838"/>
      <c r="R579" s="838"/>
      <c r="S579" s="838"/>
      <c r="T579" s="838"/>
      <c r="U579" s="839"/>
      <c r="V579" s="144">
        <f t="shared" si="122"/>
        <v>0</v>
      </c>
    </row>
    <row r="580" spans="1:23" ht="9" customHeight="1">
      <c r="A580" s="794">
        <v>184</v>
      </c>
      <c r="B580" s="785" t="s">
        <v>850</v>
      </c>
      <c r="C580" s="794" t="s">
        <v>1199</v>
      </c>
      <c r="D580" s="794" t="s">
        <v>111</v>
      </c>
      <c r="E580" s="794" t="s">
        <v>746</v>
      </c>
      <c r="F580" s="794"/>
      <c r="G580" s="794" t="s">
        <v>88</v>
      </c>
      <c r="H580" s="130">
        <v>3</v>
      </c>
      <c r="I580" s="130">
        <v>3</v>
      </c>
      <c r="J580" s="797">
        <v>2049.8000000000002</v>
      </c>
      <c r="K580" s="797">
        <v>1538.2</v>
      </c>
      <c r="L580" s="797">
        <v>204</v>
      </c>
      <c r="M580" s="130">
        <v>18</v>
      </c>
      <c r="N580" s="797">
        <f>'Приложение 2'!E582</f>
        <v>2911295.58</v>
      </c>
      <c r="O580" s="797">
        <v>0</v>
      </c>
      <c r="P580" s="797">
        <v>0</v>
      </c>
      <c r="Q580" s="797">
        <v>0</v>
      </c>
      <c r="R580" s="797">
        <f>N580</f>
        <v>2911295.58</v>
      </c>
      <c r="S580" s="797">
        <f t="shared" ref="S580" si="124">N580/K580</f>
        <v>1892.6638798595761</v>
      </c>
      <c r="T580" s="797">
        <f>4984.65+322.91</f>
        <v>5307.5599999999995</v>
      </c>
      <c r="U580" s="132" t="s">
        <v>589</v>
      </c>
      <c r="V580" s="144">
        <f t="shared" si="122"/>
        <v>3414.8961201404236</v>
      </c>
    </row>
    <row r="581" spans="1:23" ht="29.25" customHeight="1">
      <c r="A581" s="829" t="s">
        <v>443</v>
      </c>
      <c r="B581" s="830"/>
      <c r="C581" s="784"/>
      <c r="D581" s="784"/>
      <c r="E581" s="794" t="s">
        <v>391</v>
      </c>
      <c r="F581" s="794" t="s">
        <v>391</v>
      </c>
      <c r="G581" s="794" t="s">
        <v>391</v>
      </c>
      <c r="H581" s="794" t="s">
        <v>391</v>
      </c>
      <c r="I581" s="794" t="s">
        <v>391</v>
      </c>
      <c r="J581" s="797">
        <f t="shared" ref="J581:R581" si="125">SUM(J580:J580)</f>
        <v>2049.8000000000002</v>
      </c>
      <c r="K581" s="797">
        <f t="shared" si="125"/>
        <v>1538.2</v>
      </c>
      <c r="L581" s="797">
        <f t="shared" si="125"/>
        <v>204</v>
      </c>
      <c r="M581" s="130">
        <f t="shared" si="125"/>
        <v>18</v>
      </c>
      <c r="N581" s="797">
        <f t="shared" si="125"/>
        <v>2911295.58</v>
      </c>
      <c r="O581" s="797">
        <f t="shared" si="125"/>
        <v>0</v>
      </c>
      <c r="P581" s="797">
        <f t="shared" si="125"/>
        <v>0</v>
      </c>
      <c r="Q581" s="797">
        <f t="shared" si="125"/>
        <v>0</v>
      </c>
      <c r="R581" s="797">
        <f t="shared" si="125"/>
        <v>2911295.58</v>
      </c>
      <c r="S581" s="797">
        <f>N581/K581</f>
        <v>1892.6638798595761</v>
      </c>
      <c r="T581" s="797"/>
      <c r="U581" s="132"/>
      <c r="V581" s="144">
        <f t="shared" si="122"/>
        <v>-1892.6638798595761</v>
      </c>
    </row>
    <row r="582" spans="1:23" ht="9" customHeight="1">
      <c r="A582" s="833" t="s">
        <v>435</v>
      </c>
      <c r="B582" s="834"/>
      <c r="C582" s="834"/>
      <c r="D582" s="834"/>
      <c r="E582" s="834"/>
      <c r="F582" s="834"/>
      <c r="G582" s="834"/>
      <c r="H582" s="834"/>
      <c r="I582" s="834"/>
      <c r="J582" s="834"/>
      <c r="K582" s="834"/>
      <c r="L582" s="834"/>
      <c r="M582" s="834"/>
      <c r="N582" s="834"/>
      <c r="O582" s="834"/>
      <c r="P582" s="834"/>
      <c r="Q582" s="834"/>
      <c r="R582" s="834"/>
      <c r="S582" s="834"/>
      <c r="T582" s="834"/>
      <c r="U582" s="835"/>
      <c r="V582" s="144">
        <f t="shared" si="122"/>
        <v>0</v>
      </c>
    </row>
    <row r="583" spans="1:23" ht="9" customHeight="1">
      <c r="A583" s="166">
        <v>185</v>
      </c>
      <c r="B583" s="785" t="s">
        <v>857</v>
      </c>
      <c r="C583" s="794" t="s">
        <v>1192</v>
      </c>
      <c r="D583" s="794" t="s">
        <v>111</v>
      </c>
      <c r="E583" s="794" t="s">
        <v>596</v>
      </c>
      <c r="F583" s="166"/>
      <c r="G583" s="794" t="s">
        <v>88</v>
      </c>
      <c r="H583" s="130">
        <v>2</v>
      </c>
      <c r="I583" s="130">
        <v>2</v>
      </c>
      <c r="J583" s="797">
        <v>531.5</v>
      </c>
      <c r="K583" s="797">
        <v>516.20000000000005</v>
      </c>
      <c r="L583" s="797">
        <v>516.20000000000005</v>
      </c>
      <c r="M583" s="130">
        <v>15</v>
      </c>
      <c r="N583" s="797">
        <f>'Приложение 2'!E585</f>
        <v>1856316</v>
      </c>
      <c r="O583" s="797">
        <v>0</v>
      </c>
      <c r="P583" s="797">
        <v>0</v>
      </c>
      <c r="Q583" s="797">
        <v>0</v>
      </c>
      <c r="R583" s="797">
        <f>N583</f>
        <v>1856316</v>
      </c>
      <c r="S583" s="797">
        <f>N583/K583</f>
        <v>3596.1177838047265</v>
      </c>
      <c r="T583" s="797">
        <v>4503.95</v>
      </c>
      <c r="U583" s="132" t="s">
        <v>589</v>
      </c>
      <c r="V583" s="144">
        <f t="shared" si="122"/>
        <v>907.8322161952733</v>
      </c>
    </row>
    <row r="584" spans="1:23" ht="30.75" customHeight="1">
      <c r="A584" s="829" t="s">
        <v>436</v>
      </c>
      <c r="B584" s="830"/>
      <c r="C584" s="784"/>
      <c r="D584" s="784"/>
      <c r="E584" s="166" t="s">
        <v>391</v>
      </c>
      <c r="F584" s="166" t="s">
        <v>391</v>
      </c>
      <c r="G584" s="166" t="s">
        <v>391</v>
      </c>
      <c r="H584" s="166" t="s">
        <v>391</v>
      </c>
      <c r="I584" s="166" t="s">
        <v>391</v>
      </c>
      <c r="J584" s="167">
        <f t="shared" ref="J584:R584" si="126">SUM(J583:J583)</f>
        <v>531.5</v>
      </c>
      <c r="K584" s="167">
        <f t="shared" si="126"/>
        <v>516.20000000000005</v>
      </c>
      <c r="L584" s="167">
        <f t="shared" si="126"/>
        <v>516.20000000000005</v>
      </c>
      <c r="M584" s="130">
        <f t="shared" si="126"/>
        <v>15</v>
      </c>
      <c r="N584" s="167">
        <f t="shared" si="126"/>
        <v>1856316</v>
      </c>
      <c r="O584" s="167">
        <f t="shared" si="126"/>
        <v>0</v>
      </c>
      <c r="P584" s="167">
        <f t="shared" si="126"/>
        <v>0</v>
      </c>
      <c r="Q584" s="167">
        <f t="shared" si="126"/>
        <v>0</v>
      </c>
      <c r="R584" s="167">
        <f t="shared" si="126"/>
        <v>1856316</v>
      </c>
      <c r="S584" s="797">
        <f>N584/K584</f>
        <v>3596.1177838047265</v>
      </c>
      <c r="T584" s="797"/>
      <c r="U584" s="166"/>
      <c r="V584" s="144">
        <f t="shared" si="122"/>
        <v>-3596.1177838047265</v>
      </c>
    </row>
    <row r="585" spans="1:23" ht="9" customHeight="1">
      <c r="A585" s="833" t="s">
        <v>861</v>
      </c>
      <c r="B585" s="834"/>
      <c r="C585" s="834"/>
      <c r="D585" s="834"/>
      <c r="E585" s="834"/>
      <c r="F585" s="834"/>
      <c r="G585" s="834"/>
      <c r="H585" s="834"/>
      <c r="I585" s="834"/>
      <c r="J585" s="834"/>
      <c r="K585" s="834"/>
      <c r="L585" s="834"/>
      <c r="M585" s="834"/>
      <c r="N585" s="834"/>
      <c r="O585" s="834"/>
      <c r="P585" s="834"/>
      <c r="Q585" s="834"/>
      <c r="R585" s="834"/>
      <c r="S585" s="834"/>
      <c r="T585" s="834"/>
      <c r="U585" s="835"/>
      <c r="V585" s="144">
        <f t="shared" si="122"/>
        <v>0</v>
      </c>
    </row>
    <row r="586" spans="1:23" ht="9" customHeight="1">
      <c r="A586" s="166">
        <v>186</v>
      </c>
      <c r="B586" s="785" t="s">
        <v>858</v>
      </c>
      <c r="C586" s="794" t="s">
        <v>1192</v>
      </c>
      <c r="D586" s="794" t="s">
        <v>110</v>
      </c>
      <c r="E586" s="794" t="s">
        <v>597</v>
      </c>
      <c r="F586" s="166"/>
      <c r="G586" s="794" t="s">
        <v>90</v>
      </c>
      <c r="H586" s="794" t="s">
        <v>73</v>
      </c>
      <c r="I586" s="794" t="s">
        <v>73</v>
      </c>
      <c r="J586" s="797">
        <v>674.2</v>
      </c>
      <c r="K586" s="797">
        <v>634.20000000000005</v>
      </c>
      <c r="L586" s="797">
        <v>372</v>
      </c>
      <c r="M586" s="130">
        <v>15</v>
      </c>
      <c r="N586" s="797">
        <f>'Приложение 2'!E588</f>
        <v>1583650</v>
      </c>
      <c r="O586" s="167">
        <f>SUM(O585)</f>
        <v>0</v>
      </c>
      <c r="P586" s="167">
        <f>SUM(P585)</f>
        <v>0</v>
      </c>
      <c r="Q586" s="167">
        <f>SUM(Q585)</f>
        <v>0</v>
      </c>
      <c r="R586" s="167">
        <f>N586</f>
        <v>1583650</v>
      </c>
      <c r="S586" s="162">
        <f>N586/K586</f>
        <v>2497.0829391359189</v>
      </c>
      <c r="T586" s="797">
        <v>4180</v>
      </c>
      <c r="U586" s="132" t="s">
        <v>589</v>
      </c>
      <c r="V586" s="144">
        <f t="shared" si="122"/>
        <v>1682.9170608640811</v>
      </c>
    </row>
    <row r="587" spans="1:23" ht="21.75" customHeight="1">
      <c r="A587" s="840" t="s">
        <v>1014</v>
      </c>
      <c r="B587" s="841"/>
      <c r="C587" s="795"/>
      <c r="D587" s="795"/>
      <c r="E587" s="172" t="s">
        <v>391</v>
      </c>
      <c r="F587" s="172" t="s">
        <v>391</v>
      </c>
      <c r="G587" s="172" t="s">
        <v>391</v>
      </c>
      <c r="H587" s="172" t="s">
        <v>391</v>
      </c>
      <c r="I587" s="172" t="s">
        <v>391</v>
      </c>
      <c r="J587" s="173">
        <f>SUM(J586)</f>
        <v>674.2</v>
      </c>
      <c r="K587" s="173">
        <f t="shared" ref="K587:R587" si="127">SUM(K586)</f>
        <v>634.20000000000005</v>
      </c>
      <c r="L587" s="173">
        <f t="shared" si="127"/>
        <v>372</v>
      </c>
      <c r="M587" s="130">
        <f t="shared" si="127"/>
        <v>15</v>
      </c>
      <c r="N587" s="173">
        <f t="shared" si="127"/>
        <v>1583650</v>
      </c>
      <c r="O587" s="173">
        <f t="shared" si="127"/>
        <v>0</v>
      </c>
      <c r="P587" s="173">
        <f t="shared" si="127"/>
        <v>0</v>
      </c>
      <c r="Q587" s="173">
        <f t="shared" si="127"/>
        <v>0</v>
      </c>
      <c r="R587" s="173">
        <f t="shared" si="127"/>
        <v>1583650</v>
      </c>
      <c r="S587" s="162">
        <f>N587/K587</f>
        <v>2497.0829391359189</v>
      </c>
      <c r="T587" s="162"/>
      <c r="U587" s="172"/>
      <c r="V587" s="144">
        <f t="shared" si="122"/>
        <v>-2497.0829391359189</v>
      </c>
    </row>
    <row r="588" spans="1:23" s="159" customFormat="1" ht="9" customHeight="1">
      <c r="A588" s="821" t="s">
        <v>409</v>
      </c>
      <c r="B588" s="821"/>
      <c r="C588" s="821"/>
      <c r="D588" s="821"/>
      <c r="E588" s="821"/>
      <c r="F588" s="821"/>
      <c r="G588" s="821"/>
      <c r="H588" s="821"/>
      <c r="I588" s="821"/>
      <c r="J588" s="821"/>
      <c r="K588" s="821"/>
      <c r="L588" s="821"/>
      <c r="M588" s="821"/>
      <c r="N588" s="821"/>
      <c r="O588" s="821"/>
      <c r="P588" s="821"/>
      <c r="Q588" s="821"/>
      <c r="R588" s="821"/>
      <c r="S588" s="821"/>
      <c r="T588" s="821"/>
      <c r="U588" s="821"/>
      <c r="V588" s="144">
        <f t="shared" si="122"/>
        <v>0</v>
      </c>
      <c r="W588" s="521"/>
    </row>
    <row r="589" spans="1:23" s="159" customFormat="1" ht="9" customHeight="1">
      <c r="A589" s="141">
        <v>187</v>
      </c>
      <c r="B589" s="150" t="s">
        <v>886</v>
      </c>
      <c r="C589" s="794" t="s">
        <v>1192</v>
      </c>
      <c r="D589" s="794" t="s">
        <v>110</v>
      </c>
      <c r="E589" s="794" t="s">
        <v>599</v>
      </c>
      <c r="F589" s="794"/>
      <c r="G589" s="794" t="s">
        <v>90</v>
      </c>
      <c r="H589" s="130">
        <v>3</v>
      </c>
      <c r="I589" s="130">
        <v>2</v>
      </c>
      <c r="J589" s="149">
        <v>1279.2</v>
      </c>
      <c r="K589" s="149">
        <v>1137.9000000000001</v>
      </c>
      <c r="L589" s="149">
        <v>1137.9000000000001</v>
      </c>
      <c r="M589" s="130">
        <v>230</v>
      </c>
      <c r="N589" s="797">
        <f>'Приложение 2'!E591</f>
        <v>1667000</v>
      </c>
      <c r="O589" s="149">
        <v>0</v>
      </c>
      <c r="P589" s="149">
        <v>0</v>
      </c>
      <c r="Q589" s="149">
        <v>0</v>
      </c>
      <c r="R589" s="797">
        <f>N589</f>
        <v>1667000</v>
      </c>
      <c r="S589" s="162">
        <f>N589/K589</f>
        <v>1464.9793479216098</v>
      </c>
      <c r="T589" s="797">
        <v>4180</v>
      </c>
      <c r="U589" s="132" t="s">
        <v>589</v>
      </c>
      <c r="V589" s="144">
        <f t="shared" si="122"/>
        <v>2715.0206520783904</v>
      </c>
      <c r="W589" s="521"/>
    </row>
    <row r="590" spans="1:23" s="159" customFormat="1" ht="25.5" customHeight="1">
      <c r="A590" s="864" t="s">
        <v>410</v>
      </c>
      <c r="B590" s="864"/>
      <c r="C590" s="796"/>
      <c r="D590" s="796"/>
      <c r="E590" s="801" t="s">
        <v>391</v>
      </c>
      <c r="F590" s="801" t="s">
        <v>391</v>
      </c>
      <c r="G590" s="801" t="s">
        <v>391</v>
      </c>
      <c r="H590" s="801" t="s">
        <v>391</v>
      </c>
      <c r="I590" s="801" t="s">
        <v>391</v>
      </c>
      <c r="J590" s="162">
        <f t="shared" ref="J590:R590" si="128">SUM(J589:J589)</f>
        <v>1279.2</v>
      </c>
      <c r="K590" s="162">
        <f t="shared" si="128"/>
        <v>1137.9000000000001</v>
      </c>
      <c r="L590" s="162">
        <f t="shared" si="128"/>
        <v>1137.9000000000001</v>
      </c>
      <c r="M590" s="130">
        <f t="shared" si="128"/>
        <v>230</v>
      </c>
      <c r="N590" s="162">
        <f t="shared" si="128"/>
        <v>1667000</v>
      </c>
      <c r="O590" s="162">
        <f t="shared" si="128"/>
        <v>0</v>
      </c>
      <c r="P590" s="162">
        <f t="shared" si="128"/>
        <v>0</v>
      </c>
      <c r="Q590" s="162">
        <f t="shared" si="128"/>
        <v>0</v>
      </c>
      <c r="R590" s="162">
        <f t="shared" si="128"/>
        <v>1667000</v>
      </c>
      <c r="S590" s="162">
        <f>N590/K590</f>
        <v>1464.9793479216098</v>
      </c>
      <c r="T590" s="162"/>
      <c r="U590" s="177"/>
      <c r="V590" s="144">
        <f t="shared" si="122"/>
        <v>-1464.9793479216098</v>
      </c>
      <c r="W590" s="521"/>
    </row>
    <row r="591" spans="1:23" s="159" customFormat="1" ht="9" customHeight="1">
      <c r="A591" s="821" t="s">
        <v>295</v>
      </c>
      <c r="B591" s="821"/>
      <c r="C591" s="821"/>
      <c r="D591" s="821"/>
      <c r="E591" s="821"/>
      <c r="F591" s="821"/>
      <c r="G591" s="821"/>
      <c r="H591" s="821"/>
      <c r="I591" s="821"/>
      <c r="J591" s="821"/>
      <c r="K591" s="821"/>
      <c r="L591" s="821"/>
      <c r="M591" s="821"/>
      <c r="N591" s="821"/>
      <c r="O591" s="821"/>
      <c r="P591" s="821"/>
      <c r="Q591" s="821"/>
      <c r="R591" s="821"/>
      <c r="S591" s="821"/>
      <c r="T591" s="821"/>
      <c r="U591" s="821"/>
      <c r="V591" s="144">
        <f t="shared" si="122"/>
        <v>0</v>
      </c>
      <c r="W591" s="521"/>
    </row>
    <row r="592" spans="1:23" s="159" customFormat="1" ht="9" customHeight="1">
      <c r="A592" s="794">
        <v>188</v>
      </c>
      <c r="B592" s="785" t="s">
        <v>862</v>
      </c>
      <c r="C592" s="794" t="s">
        <v>1192</v>
      </c>
      <c r="D592" s="794" t="s">
        <v>110</v>
      </c>
      <c r="E592" s="794" t="s">
        <v>593</v>
      </c>
      <c r="F592" s="794"/>
      <c r="G592" s="794" t="s">
        <v>90</v>
      </c>
      <c r="H592" s="130">
        <v>5</v>
      </c>
      <c r="I592" s="130">
        <v>6</v>
      </c>
      <c r="J592" s="797">
        <v>6330.1</v>
      </c>
      <c r="K592" s="797">
        <v>5744.2</v>
      </c>
      <c r="L592" s="797">
        <v>5744.2</v>
      </c>
      <c r="M592" s="133">
        <v>206</v>
      </c>
      <c r="N592" s="797">
        <f>'Приложение 2'!E594</f>
        <v>5166033</v>
      </c>
      <c r="O592" s="797">
        <v>0</v>
      </c>
      <c r="P592" s="797">
        <v>0</v>
      </c>
      <c r="Q592" s="797">
        <v>0</v>
      </c>
      <c r="R592" s="797">
        <f t="shared" ref="R592:R601" si="129">N592</f>
        <v>5166033</v>
      </c>
      <c r="S592" s="797">
        <f t="shared" ref="S592:S602" si="130">N592/K592</f>
        <v>899.34768984366838</v>
      </c>
      <c r="T592" s="797">
        <v>4180</v>
      </c>
      <c r="U592" s="132" t="s">
        <v>589</v>
      </c>
      <c r="V592" s="144">
        <f t="shared" si="122"/>
        <v>3280.6523101563316</v>
      </c>
      <c r="W592" s="521"/>
    </row>
    <row r="593" spans="1:23" s="159" customFormat="1" ht="9" customHeight="1">
      <c r="A593" s="794">
        <v>189</v>
      </c>
      <c r="B593" s="785" t="s">
        <v>863</v>
      </c>
      <c r="C593" s="794" t="s">
        <v>1192</v>
      </c>
      <c r="D593" s="794" t="s">
        <v>110</v>
      </c>
      <c r="E593" s="794" t="s">
        <v>828</v>
      </c>
      <c r="F593" s="794"/>
      <c r="G593" s="794" t="s">
        <v>90</v>
      </c>
      <c r="H593" s="130">
        <v>5</v>
      </c>
      <c r="I593" s="130">
        <v>6</v>
      </c>
      <c r="J593" s="797">
        <v>6737.5</v>
      </c>
      <c r="K593" s="797">
        <v>6094.5</v>
      </c>
      <c r="L593" s="797">
        <v>6094.5</v>
      </c>
      <c r="M593" s="133">
        <v>234</v>
      </c>
      <c r="N593" s="797">
        <f>'Приложение 2'!E595</f>
        <v>5652130.2000000002</v>
      </c>
      <c r="O593" s="797">
        <v>0</v>
      </c>
      <c r="P593" s="797">
        <v>0</v>
      </c>
      <c r="Q593" s="797">
        <v>0</v>
      </c>
      <c r="R593" s="797">
        <f t="shared" si="129"/>
        <v>5652130.2000000002</v>
      </c>
      <c r="S593" s="797">
        <f t="shared" si="130"/>
        <v>927.41491508737386</v>
      </c>
      <c r="T593" s="797">
        <v>4180</v>
      </c>
      <c r="U593" s="132" t="s">
        <v>589</v>
      </c>
      <c r="V593" s="144">
        <f t="shared" si="122"/>
        <v>3252.5850849126264</v>
      </c>
      <c r="W593" s="521"/>
    </row>
    <row r="594" spans="1:23" s="159" customFormat="1" ht="9" customHeight="1">
      <c r="A594" s="794">
        <v>190</v>
      </c>
      <c r="B594" s="796" t="s">
        <v>864</v>
      </c>
      <c r="C594" s="801" t="s">
        <v>1192</v>
      </c>
      <c r="D594" s="801" t="s">
        <v>111</v>
      </c>
      <c r="E594" s="801" t="s">
        <v>745</v>
      </c>
      <c r="F594" s="801"/>
      <c r="G594" s="801" t="s">
        <v>88</v>
      </c>
      <c r="H594" s="612">
        <v>2</v>
      </c>
      <c r="I594" s="612">
        <v>2</v>
      </c>
      <c r="J594" s="162">
        <v>959.1</v>
      </c>
      <c r="K594" s="162">
        <v>922.2</v>
      </c>
      <c r="L594" s="162">
        <v>922.2</v>
      </c>
      <c r="M594" s="133">
        <v>27</v>
      </c>
      <c r="N594" s="797">
        <f>'Приложение 2'!E596</f>
        <v>3084589.2</v>
      </c>
      <c r="O594" s="162">
        <v>0</v>
      </c>
      <c r="P594" s="162">
        <v>0</v>
      </c>
      <c r="Q594" s="162">
        <v>0</v>
      </c>
      <c r="R594" s="162">
        <f t="shared" si="129"/>
        <v>3084589.2</v>
      </c>
      <c r="S594" s="797">
        <f t="shared" si="130"/>
        <v>3344.8158750813272</v>
      </c>
      <c r="T594" s="797">
        <v>4503.95</v>
      </c>
      <c r="U594" s="177" t="s">
        <v>589</v>
      </c>
      <c r="V594" s="144">
        <f t="shared" si="122"/>
        <v>1159.1341249186726</v>
      </c>
      <c r="W594" s="521"/>
    </row>
    <row r="595" spans="1:23" s="159" customFormat="1" ht="9" customHeight="1">
      <c r="A595" s="794">
        <v>191</v>
      </c>
      <c r="B595" s="785" t="s">
        <v>865</v>
      </c>
      <c r="C595" s="794" t="s">
        <v>1192</v>
      </c>
      <c r="D595" s="794" t="s">
        <v>111</v>
      </c>
      <c r="E595" s="794" t="s">
        <v>615</v>
      </c>
      <c r="F595" s="794"/>
      <c r="G595" s="794" t="s">
        <v>88</v>
      </c>
      <c r="H595" s="130">
        <v>5</v>
      </c>
      <c r="I595" s="130">
        <v>2</v>
      </c>
      <c r="J595" s="797">
        <v>2010.5</v>
      </c>
      <c r="K595" s="797">
        <v>1816.3</v>
      </c>
      <c r="L595" s="797">
        <v>1816.3</v>
      </c>
      <c r="M595" s="133">
        <v>59</v>
      </c>
      <c r="N595" s="797">
        <f>'Приложение 2'!E597</f>
        <v>2120210.4</v>
      </c>
      <c r="O595" s="797">
        <v>0</v>
      </c>
      <c r="P595" s="797">
        <v>0</v>
      </c>
      <c r="Q595" s="797">
        <v>0</v>
      </c>
      <c r="R595" s="797">
        <f t="shared" si="129"/>
        <v>2120210.4</v>
      </c>
      <c r="S595" s="797">
        <f t="shared" si="130"/>
        <v>1167.323900236745</v>
      </c>
      <c r="T595" s="797">
        <v>4503.95</v>
      </c>
      <c r="U595" s="132" t="s">
        <v>589</v>
      </c>
      <c r="V595" s="144">
        <f t="shared" si="122"/>
        <v>3336.6260997632548</v>
      </c>
      <c r="W595" s="521"/>
    </row>
    <row r="596" spans="1:23" s="159" customFormat="1" ht="9" customHeight="1">
      <c r="A596" s="794">
        <v>192</v>
      </c>
      <c r="B596" s="785" t="s">
        <v>866</v>
      </c>
      <c r="C596" s="794" t="s">
        <v>1192</v>
      </c>
      <c r="D596" s="794" t="s">
        <v>111</v>
      </c>
      <c r="E596" s="794" t="s">
        <v>328</v>
      </c>
      <c r="F596" s="794"/>
      <c r="G596" s="794" t="s">
        <v>776</v>
      </c>
      <c r="H596" s="130">
        <v>2</v>
      </c>
      <c r="I596" s="130">
        <v>2</v>
      </c>
      <c r="J596" s="797">
        <v>652.4</v>
      </c>
      <c r="K596" s="797">
        <v>640.4</v>
      </c>
      <c r="L596" s="797">
        <v>586.1</v>
      </c>
      <c r="M596" s="133">
        <v>21</v>
      </c>
      <c r="N596" s="797">
        <f>'Приложение 2'!E598</f>
        <v>1963038</v>
      </c>
      <c r="O596" s="797">
        <v>0</v>
      </c>
      <c r="P596" s="797">
        <v>0</v>
      </c>
      <c r="Q596" s="797">
        <v>0</v>
      </c>
      <c r="R596" s="797">
        <f t="shared" si="129"/>
        <v>1963038</v>
      </c>
      <c r="S596" s="797">
        <f t="shared" si="130"/>
        <v>3065.3310430980637</v>
      </c>
      <c r="T596" s="797">
        <v>4503.95</v>
      </c>
      <c r="U596" s="132" t="s">
        <v>589</v>
      </c>
      <c r="V596" s="144">
        <f t="shared" si="122"/>
        <v>1438.6189569019361</v>
      </c>
      <c r="W596" s="521"/>
    </row>
    <row r="597" spans="1:23" s="159" customFormat="1" ht="9" customHeight="1">
      <c r="A597" s="794">
        <v>193</v>
      </c>
      <c r="B597" s="785" t="s">
        <v>867</v>
      </c>
      <c r="C597" s="794" t="s">
        <v>1192</v>
      </c>
      <c r="D597" s="794" t="s">
        <v>111</v>
      </c>
      <c r="E597" s="794" t="s">
        <v>599</v>
      </c>
      <c r="F597" s="794"/>
      <c r="G597" s="794" t="s">
        <v>88</v>
      </c>
      <c r="H597" s="130">
        <v>5</v>
      </c>
      <c r="I597" s="130">
        <v>4</v>
      </c>
      <c r="J597" s="797">
        <v>3714.8</v>
      </c>
      <c r="K597" s="797">
        <v>3115</v>
      </c>
      <c r="L597" s="797">
        <v>3115</v>
      </c>
      <c r="M597" s="133">
        <v>136</v>
      </c>
      <c r="N597" s="797">
        <f>'Приложение 2'!E599</f>
        <v>4482970.8</v>
      </c>
      <c r="O597" s="797">
        <v>0</v>
      </c>
      <c r="P597" s="797">
        <v>0</v>
      </c>
      <c r="Q597" s="797">
        <v>0</v>
      </c>
      <c r="R597" s="797">
        <f t="shared" si="129"/>
        <v>4482970.8</v>
      </c>
      <c r="S597" s="797">
        <f t="shared" si="130"/>
        <v>1439.1559550561797</v>
      </c>
      <c r="T597" s="797">
        <v>4503.95</v>
      </c>
      <c r="U597" s="132" t="s">
        <v>589</v>
      </c>
      <c r="V597" s="144">
        <f t="shared" si="122"/>
        <v>3064.7940449438202</v>
      </c>
      <c r="W597" s="521"/>
    </row>
    <row r="598" spans="1:23" s="159" customFormat="1" ht="9" customHeight="1">
      <c r="A598" s="794">
        <v>194</v>
      </c>
      <c r="B598" s="785" t="s">
        <v>868</v>
      </c>
      <c r="C598" s="794" t="s">
        <v>1198</v>
      </c>
      <c r="D598" s="794" t="s">
        <v>110</v>
      </c>
      <c r="E598" s="794" t="s">
        <v>607</v>
      </c>
      <c r="F598" s="794"/>
      <c r="G598" s="794" t="s">
        <v>88</v>
      </c>
      <c r="H598" s="130">
        <v>5</v>
      </c>
      <c r="I598" s="130">
        <v>1</v>
      </c>
      <c r="J598" s="797">
        <v>3974.1</v>
      </c>
      <c r="K598" s="797">
        <v>2545.1999999999998</v>
      </c>
      <c r="L598" s="797">
        <v>2545.1999999999998</v>
      </c>
      <c r="M598" s="133">
        <v>194</v>
      </c>
      <c r="N598" s="797">
        <f>'Приложение 2'!E600</f>
        <v>7370797.3900000006</v>
      </c>
      <c r="O598" s="797">
        <v>0</v>
      </c>
      <c r="P598" s="797">
        <v>0</v>
      </c>
      <c r="Q598" s="797">
        <v>0</v>
      </c>
      <c r="R598" s="797">
        <f t="shared" si="129"/>
        <v>7370797.3900000006</v>
      </c>
      <c r="S598" s="797">
        <f t="shared" si="130"/>
        <v>2895.9599992142075</v>
      </c>
      <c r="T598" s="797">
        <v>5307.56</v>
      </c>
      <c r="U598" s="132" t="s">
        <v>589</v>
      </c>
      <c r="V598" s="144">
        <f t="shared" si="122"/>
        <v>2411.6000007857929</v>
      </c>
      <c r="W598" s="521"/>
    </row>
    <row r="599" spans="1:23" s="159" customFormat="1" ht="9" customHeight="1">
      <c r="A599" s="794">
        <v>195</v>
      </c>
      <c r="B599" s="785" t="s">
        <v>869</v>
      </c>
      <c r="C599" s="794" t="s">
        <v>1192</v>
      </c>
      <c r="D599" s="794" t="s">
        <v>110</v>
      </c>
      <c r="E599" s="794" t="s">
        <v>608</v>
      </c>
      <c r="F599" s="794"/>
      <c r="G599" s="794" t="s">
        <v>88</v>
      </c>
      <c r="H599" s="130">
        <v>2</v>
      </c>
      <c r="I599" s="130">
        <v>1</v>
      </c>
      <c r="J599" s="797">
        <v>400.9</v>
      </c>
      <c r="K599" s="797">
        <v>372.7</v>
      </c>
      <c r="L599" s="797">
        <v>372.7</v>
      </c>
      <c r="M599" s="133">
        <v>231</v>
      </c>
      <c r="N599" s="797">
        <f>'Приложение 2'!E601</f>
        <v>980196</v>
      </c>
      <c r="O599" s="797">
        <v>0</v>
      </c>
      <c r="P599" s="797">
        <v>0</v>
      </c>
      <c r="Q599" s="797">
        <v>0</v>
      </c>
      <c r="R599" s="797">
        <f t="shared" si="129"/>
        <v>980196</v>
      </c>
      <c r="S599" s="797">
        <f t="shared" si="130"/>
        <v>2629.9865843842235</v>
      </c>
      <c r="T599" s="797">
        <v>4180</v>
      </c>
      <c r="U599" s="132" t="s">
        <v>589</v>
      </c>
      <c r="V599" s="144">
        <f t="shared" si="122"/>
        <v>1550.0134156157765</v>
      </c>
      <c r="W599" s="521"/>
    </row>
    <row r="600" spans="1:23" s="159" customFormat="1" ht="9" customHeight="1">
      <c r="A600" s="794">
        <v>196</v>
      </c>
      <c r="B600" s="796" t="s">
        <v>870</v>
      </c>
      <c r="C600" s="801" t="s">
        <v>1192</v>
      </c>
      <c r="D600" s="801" t="s">
        <v>110</v>
      </c>
      <c r="E600" s="801" t="s">
        <v>604</v>
      </c>
      <c r="F600" s="801"/>
      <c r="G600" s="801" t="s">
        <v>88</v>
      </c>
      <c r="H600" s="612">
        <v>2</v>
      </c>
      <c r="I600" s="612">
        <v>3</v>
      </c>
      <c r="J600" s="162">
        <v>1050.9000000000001</v>
      </c>
      <c r="K600" s="162">
        <v>972.4</v>
      </c>
      <c r="L600" s="162">
        <v>972.4</v>
      </c>
      <c r="M600" s="133">
        <v>184</v>
      </c>
      <c r="N600" s="797">
        <f>'Приложение 2'!E602</f>
        <v>2164432.7999999998</v>
      </c>
      <c r="O600" s="162">
        <v>0</v>
      </c>
      <c r="P600" s="162">
        <v>0</v>
      </c>
      <c r="Q600" s="162">
        <v>0</v>
      </c>
      <c r="R600" s="162">
        <f t="shared" si="129"/>
        <v>2164432.7999999998</v>
      </c>
      <c r="S600" s="797">
        <f t="shared" si="130"/>
        <v>2225.8667215137802</v>
      </c>
      <c r="T600" s="797">
        <v>4180</v>
      </c>
      <c r="U600" s="177" t="s">
        <v>589</v>
      </c>
      <c r="V600" s="144">
        <f t="shared" si="122"/>
        <v>1954.1332784862198</v>
      </c>
      <c r="W600" s="521"/>
    </row>
    <row r="601" spans="1:23" s="159" customFormat="1" ht="9" customHeight="1">
      <c r="A601" s="794">
        <v>197</v>
      </c>
      <c r="B601" s="785" t="s">
        <v>871</v>
      </c>
      <c r="C601" s="794" t="s">
        <v>1192</v>
      </c>
      <c r="D601" s="794" t="s">
        <v>111</v>
      </c>
      <c r="E601" s="794" t="s">
        <v>608</v>
      </c>
      <c r="F601" s="794"/>
      <c r="G601" s="794" t="s">
        <v>90</v>
      </c>
      <c r="H601" s="130">
        <v>2</v>
      </c>
      <c r="I601" s="130">
        <v>2</v>
      </c>
      <c r="J601" s="797">
        <v>676.1</v>
      </c>
      <c r="K601" s="797">
        <v>594.6</v>
      </c>
      <c r="L601" s="797">
        <v>123</v>
      </c>
      <c r="M601" s="133">
        <v>23</v>
      </c>
      <c r="N601" s="797">
        <f>'Приложение 2'!E603</f>
        <v>1269345</v>
      </c>
      <c r="O601" s="797">
        <v>0</v>
      </c>
      <c r="P601" s="797">
        <v>0</v>
      </c>
      <c r="Q601" s="797">
        <v>0</v>
      </c>
      <c r="R601" s="797">
        <f t="shared" si="129"/>
        <v>1269345</v>
      </c>
      <c r="S601" s="797">
        <f t="shared" si="130"/>
        <v>2134.7880928355198</v>
      </c>
      <c r="T601" s="797">
        <v>4503.95</v>
      </c>
      <c r="U601" s="132" t="s">
        <v>589</v>
      </c>
      <c r="V601" s="144">
        <f t="shared" si="122"/>
        <v>2369.16190716448</v>
      </c>
      <c r="W601" s="521"/>
    </row>
    <row r="602" spans="1:23" s="159" customFormat="1" ht="9" customHeight="1">
      <c r="A602" s="794">
        <v>198</v>
      </c>
      <c r="B602" s="785" t="s">
        <v>1081</v>
      </c>
      <c r="C602" s="794"/>
      <c r="D602" s="794"/>
      <c r="E602" s="794">
        <v>1986</v>
      </c>
      <c r="F602" s="794"/>
      <c r="G602" s="801" t="s">
        <v>88</v>
      </c>
      <c r="H602" s="794">
        <v>9</v>
      </c>
      <c r="I602" s="794">
        <v>1</v>
      </c>
      <c r="J602" s="797">
        <v>7081.8</v>
      </c>
      <c r="K602" s="797">
        <v>3837.7999999999997</v>
      </c>
      <c r="L602" s="797">
        <v>3805.6</v>
      </c>
      <c r="M602" s="133">
        <v>345</v>
      </c>
      <c r="N602" s="797">
        <f>'Приложение 2'!E604</f>
        <v>3927193.6000000001</v>
      </c>
      <c r="O602" s="797">
        <v>0</v>
      </c>
      <c r="P602" s="797">
        <v>0</v>
      </c>
      <c r="Q602" s="797">
        <v>200000</v>
      </c>
      <c r="R602" s="797">
        <f>N602-Q602</f>
        <v>3727193.6</v>
      </c>
      <c r="S602" s="797">
        <f t="shared" si="130"/>
        <v>1023.2929282401377</v>
      </c>
      <c r="T602" s="797">
        <f>3090099.49*'[2]Приложение 2'!G604/'[2]Приложение 1'!K601</f>
        <v>1610.3494137266143</v>
      </c>
      <c r="U602" s="132" t="s">
        <v>589</v>
      </c>
      <c r="V602" s="144"/>
      <c r="W602" s="521"/>
    </row>
    <row r="603" spans="1:23" s="159" customFormat="1" ht="21.75" customHeight="1">
      <c r="A603" s="829" t="s">
        <v>301</v>
      </c>
      <c r="B603" s="830"/>
      <c r="C603" s="794"/>
      <c r="D603" s="794"/>
      <c r="E603" s="794" t="s">
        <v>391</v>
      </c>
      <c r="F603" s="794" t="s">
        <v>391</v>
      </c>
      <c r="G603" s="794" t="s">
        <v>391</v>
      </c>
      <c r="H603" s="794" t="s">
        <v>391</v>
      </c>
      <c r="I603" s="794" t="s">
        <v>391</v>
      </c>
      <c r="J603" s="797">
        <f>SUM(J592:J602)</f>
        <v>33588.200000000004</v>
      </c>
      <c r="K603" s="797">
        <f t="shared" ref="K603:R603" si="131">SUM(K592:K602)</f>
        <v>26655.3</v>
      </c>
      <c r="L603" s="797">
        <f t="shared" si="131"/>
        <v>26097.200000000004</v>
      </c>
      <c r="M603" s="133">
        <f t="shared" si="131"/>
        <v>1660</v>
      </c>
      <c r="N603" s="797">
        <f t="shared" si="131"/>
        <v>38180936.390000001</v>
      </c>
      <c r="O603" s="797">
        <f t="shared" si="131"/>
        <v>0</v>
      </c>
      <c r="P603" s="797">
        <f t="shared" si="131"/>
        <v>0</v>
      </c>
      <c r="Q603" s="797">
        <f t="shared" si="131"/>
        <v>200000</v>
      </c>
      <c r="R603" s="797">
        <f t="shared" si="131"/>
        <v>37980936.390000001</v>
      </c>
      <c r="S603" s="797">
        <f>N603/K603</f>
        <v>1432.395673280736</v>
      </c>
      <c r="T603" s="797"/>
      <c r="U603" s="132"/>
      <c r="V603" s="144">
        <f t="shared" ref="V603:V647" si="132">T603-S603</f>
        <v>-1432.395673280736</v>
      </c>
      <c r="W603" s="521"/>
    </row>
    <row r="604" spans="1:23" s="159" customFormat="1" ht="9" customHeight="1">
      <c r="A604" s="821" t="s">
        <v>296</v>
      </c>
      <c r="B604" s="821"/>
      <c r="C604" s="821"/>
      <c r="D604" s="821"/>
      <c r="E604" s="821"/>
      <c r="F604" s="821"/>
      <c r="G604" s="821"/>
      <c r="H604" s="821"/>
      <c r="I604" s="821"/>
      <c r="J604" s="821"/>
      <c r="K604" s="821"/>
      <c r="L604" s="821"/>
      <c r="M604" s="821"/>
      <c r="N604" s="821"/>
      <c r="O604" s="821"/>
      <c r="P604" s="821"/>
      <c r="Q604" s="821"/>
      <c r="R604" s="821"/>
      <c r="S604" s="821"/>
      <c r="T604" s="821"/>
      <c r="U604" s="821"/>
      <c r="V604" s="144">
        <f t="shared" si="132"/>
        <v>0</v>
      </c>
      <c r="W604" s="521"/>
    </row>
    <row r="605" spans="1:23" s="159" customFormat="1" ht="9" customHeight="1">
      <c r="A605" s="157">
        <v>199</v>
      </c>
      <c r="B605" s="156" t="s">
        <v>884</v>
      </c>
      <c r="C605" s="785" t="s">
        <v>1192</v>
      </c>
      <c r="D605" s="794" t="s">
        <v>110</v>
      </c>
      <c r="E605" s="794" t="s">
        <v>608</v>
      </c>
      <c r="F605" s="794"/>
      <c r="G605" s="794" t="s">
        <v>88</v>
      </c>
      <c r="H605" s="130">
        <v>5</v>
      </c>
      <c r="I605" s="130">
        <v>4</v>
      </c>
      <c r="J605" s="797">
        <v>3412.9</v>
      </c>
      <c r="K605" s="797">
        <v>3144</v>
      </c>
      <c r="L605" s="797">
        <v>3144</v>
      </c>
      <c r="M605" s="130">
        <v>17</v>
      </c>
      <c r="N605" s="797">
        <f>'Приложение 2'!E607</f>
        <v>3113956</v>
      </c>
      <c r="O605" s="797">
        <v>0</v>
      </c>
      <c r="P605" s="797">
        <v>0</v>
      </c>
      <c r="Q605" s="797">
        <v>0</v>
      </c>
      <c r="R605" s="797">
        <f t="shared" ref="R605" si="133">N605</f>
        <v>3113956</v>
      </c>
      <c r="S605" s="797">
        <f t="shared" ref="S605" si="134">N605/K605</f>
        <v>990.44402035623409</v>
      </c>
      <c r="T605" s="797">
        <v>4180</v>
      </c>
      <c r="U605" s="132" t="s">
        <v>589</v>
      </c>
      <c r="V605" s="144">
        <f t="shared" si="132"/>
        <v>3189.555979643766</v>
      </c>
      <c r="W605" s="521"/>
    </row>
    <row r="606" spans="1:23" s="159" customFormat="1" ht="22.5" customHeight="1">
      <c r="A606" s="822" t="s">
        <v>302</v>
      </c>
      <c r="B606" s="822"/>
      <c r="C606" s="785"/>
      <c r="D606" s="785"/>
      <c r="E606" s="794" t="s">
        <v>391</v>
      </c>
      <c r="F606" s="794" t="s">
        <v>391</v>
      </c>
      <c r="G606" s="794" t="s">
        <v>391</v>
      </c>
      <c r="H606" s="794" t="s">
        <v>391</v>
      </c>
      <c r="I606" s="794" t="s">
        <v>391</v>
      </c>
      <c r="J606" s="797">
        <f t="shared" ref="J606:R606" si="135">SUM(J605:J605)</f>
        <v>3412.9</v>
      </c>
      <c r="K606" s="797">
        <f t="shared" si="135"/>
        <v>3144</v>
      </c>
      <c r="L606" s="797">
        <f t="shared" si="135"/>
        <v>3144</v>
      </c>
      <c r="M606" s="130">
        <f t="shared" si="135"/>
        <v>17</v>
      </c>
      <c r="N606" s="797">
        <f t="shared" si="135"/>
        <v>3113956</v>
      </c>
      <c r="O606" s="797">
        <f t="shared" si="135"/>
        <v>0</v>
      </c>
      <c r="P606" s="797">
        <f t="shared" si="135"/>
        <v>0</v>
      </c>
      <c r="Q606" s="797">
        <f t="shared" si="135"/>
        <v>0</v>
      </c>
      <c r="R606" s="797">
        <f t="shared" si="135"/>
        <v>3113956</v>
      </c>
      <c r="S606" s="797">
        <f>N606/K606</f>
        <v>990.44402035623409</v>
      </c>
      <c r="T606" s="797"/>
      <c r="U606" s="132"/>
      <c r="V606" s="144">
        <f t="shared" si="132"/>
        <v>-990.44402035623409</v>
      </c>
      <c r="W606" s="521"/>
    </row>
    <row r="607" spans="1:23" s="159" customFormat="1" ht="9" customHeight="1">
      <c r="A607" s="821" t="s">
        <v>298</v>
      </c>
      <c r="B607" s="821"/>
      <c r="C607" s="821"/>
      <c r="D607" s="821"/>
      <c r="E607" s="821"/>
      <c r="F607" s="821"/>
      <c r="G607" s="821"/>
      <c r="H607" s="821"/>
      <c r="I607" s="821"/>
      <c r="J607" s="821"/>
      <c r="K607" s="821"/>
      <c r="L607" s="821"/>
      <c r="M607" s="821"/>
      <c r="N607" s="821"/>
      <c r="O607" s="821"/>
      <c r="P607" s="821"/>
      <c r="Q607" s="821"/>
      <c r="R607" s="821"/>
      <c r="S607" s="821"/>
      <c r="T607" s="821"/>
      <c r="U607" s="821"/>
      <c r="V607" s="144">
        <f t="shared" si="132"/>
        <v>0</v>
      </c>
      <c r="W607" s="521"/>
    </row>
    <row r="608" spans="1:23" s="159" customFormat="1" ht="9" customHeight="1">
      <c r="A608" s="794">
        <v>200</v>
      </c>
      <c r="B608" s="785" t="s">
        <v>882</v>
      </c>
      <c r="C608" s="794" t="s">
        <v>1192</v>
      </c>
      <c r="D608" s="794" t="s">
        <v>110</v>
      </c>
      <c r="E608" s="794" t="s">
        <v>299</v>
      </c>
      <c r="F608" s="794"/>
      <c r="G608" s="794" t="s">
        <v>90</v>
      </c>
      <c r="H608" s="794" t="s">
        <v>76</v>
      </c>
      <c r="I608" s="794" t="s">
        <v>75</v>
      </c>
      <c r="J608" s="797">
        <v>4457.7</v>
      </c>
      <c r="K608" s="797">
        <v>3118.3</v>
      </c>
      <c r="L608" s="797">
        <v>3118.3</v>
      </c>
      <c r="M608" s="794">
        <v>128</v>
      </c>
      <c r="N608" s="797">
        <f>'Приложение 2'!E610</f>
        <v>2757884.8</v>
      </c>
      <c r="O608" s="797">
        <v>0</v>
      </c>
      <c r="P608" s="797">
        <v>0</v>
      </c>
      <c r="Q608" s="797">
        <v>0</v>
      </c>
      <c r="R608" s="797">
        <f t="shared" ref="R608" si="136">N608</f>
        <v>2757884.8</v>
      </c>
      <c r="S608" s="797">
        <f t="shared" ref="S608" si="137">N608/K608</f>
        <v>884.41933104576196</v>
      </c>
      <c r="T608" s="797">
        <v>4180</v>
      </c>
      <c r="U608" s="132" t="s">
        <v>589</v>
      </c>
      <c r="V608" s="144">
        <f t="shared" si="132"/>
        <v>3295.5806689542378</v>
      </c>
      <c r="W608" s="521"/>
    </row>
    <row r="609" spans="1:23" s="159" customFormat="1" ht="21" customHeight="1">
      <c r="A609" s="822" t="s">
        <v>304</v>
      </c>
      <c r="B609" s="822"/>
      <c r="C609" s="785"/>
      <c r="D609" s="785"/>
      <c r="E609" s="794" t="s">
        <v>391</v>
      </c>
      <c r="F609" s="794" t="s">
        <v>391</v>
      </c>
      <c r="G609" s="794" t="s">
        <v>391</v>
      </c>
      <c r="H609" s="794" t="s">
        <v>391</v>
      </c>
      <c r="I609" s="794" t="s">
        <v>391</v>
      </c>
      <c r="J609" s="797">
        <f>J608</f>
        <v>4457.7</v>
      </c>
      <c r="K609" s="797">
        <f>K608</f>
        <v>3118.3</v>
      </c>
      <c r="L609" s="797">
        <f>L608</f>
        <v>3118.3</v>
      </c>
      <c r="M609" s="130">
        <f>M608</f>
        <v>128</v>
      </c>
      <c r="N609" s="797">
        <f>N608</f>
        <v>2757884.8</v>
      </c>
      <c r="O609" s="797">
        <v>0</v>
      </c>
      <c r="P609" s="797">
        <v>0</v>
      </c>
      <c r="Q609" s="797">
        <v>0</v>
      </c>
      <c r="R609" s="797">
        <f>R608</f>
        <v>2757884.8</v>
      </c>
      <c r="S609" s="797">
        <f>N609/K609</f>
        <v>884.41933104576196</v>
      </c>
      <c r="T609" s="794"/>
      <c r="U609" s="132"/>
      <c r="V609" s="144">
        <f t="shared" si="132"/>
        <v>-884.41933104576196</v>
      </c>
      <c r="W609" s="521"/>
    </row>
    <row r="610" spans="1:23" s="159" customFormat="1" ht="9" customHeight="1">
      <c r="A610" s="828" t="s">
        <v>330</v>
      </c>
      <c r="B610" s="828"/>
      <c r="C610" s="828"/>
      <c r="D610" s="828"/>
      <c r="E610" s="828"/>
      <c r="F610" s="828"/>
      <c r="G610" s="828"/>
      <c r="H610" s="828"/>
      <c r="I610" s="828"/>
      <c r="J610" s="828"/>
      <c r="K610" s="828"/>
      <c r="L610" s="828"/>
      <c r="M610" s="828"/>
      <c r="N610" s="828"/>
      <c r="O610" s="828"/>
      <c r="P610" s="828"/>
      <c r="Q610" s="828"/>
      <c r="R610" s="828"/>
      <c r="S610" s="828"/>
      <c r="T610" s="828"/>
      <c r="U610" s="828"/>
      <c r="V610" s="144">
        <f t="shared" si="132"/>
        <v>0</v>
      </c>
      <c r="W610" s="521"/>
    </row>
    <row r="611" spans="1:23" s="159" customFormat="1" ht="9" customHeight="1">
      <c r="A611" s="178">
        <v>201</v>
      </c>
      <c r="B611" s="785" t="s">
        <v>889</v>
      </c>
      <c r="C611" s="794" t="s">
        <v>1192</v>
      </c>
      <c r="D611" s="794" t="s">
        <v>110</v>
      </c>
      <c r="E611" s="794" t="s">
        <v>608</v>
      </c>
      <c r="F611" s="178"/>
      <c r="G611" s="794" t="s">
        <v>90</v>
      </c>
      <c r="H611" s="130">
        <v>5</v>
      </c>
      <c r="I611" s="130">
        <v>6</v>
      </c>
      <c r="J611" s="797">
        <v>6186.67</v>
      </c>
      <c r="K611" s="797">
        <f>4576.57+103.1</f>
        <v>4679.67</v>
      </c>
      <c r="L611" s="797">
        <v>4576.57</v>
      </c>
      <c r="M611" s="130">
        <v>157</v>
      </c>
      <c r="N611" s="797">
        <f>'Приложение 2'!E613</f>
        <v>3904114</v>
      </c>
      <c r="O611" s="180">
        <v>0</v>
      </c>
      <c r="P611" s="180">
        <v>0</v>
      </c>
      <c r="Q611" s="180">
        <v>0</v>
      </c>
      <c r="R611" s="180">
        <f t="shared" ref="R611:R614" si="138">N611</f>
        <v>3904114</v>
      </c>
      <c r="S611" s="797">
        <f t="shared" ref="S611:S614" si="139">N611/K611</f>
        <v>834.27121997918653</v>
      </c>
      <c r="T611" s="797">
        <v>4180</v>
      </c>
      <c r="U611" s="132" t="s">
        <v>589</v>
      </c>
      <c r="V611" s="144">
        <f t="shared" si="132"/>
        <v>3345.7287800208132</v>
      </c>
      <c r="W611" s="521"/>
    </row>
    <row r="612" spans="1:23" s="159" customFormat="1" ht="9" customHeight="1">
      <c r="A612" s="178">
        <v>202</v>
      </c>
      <c r="B612" s="785" t="s">
        <v>890</v>
      </c>
      <c r="C612" s="794" t="s">
        <v>1192</v>
      </c>
      <c r="D612" s="794" t="s">
        <v>110</v>
      </c>
      <c r="E612" s="794" t="s">
        <v>604</v>
      </c>
      <c r="F612" s="178"/>
      <c r="G612" s="794" t="s">
        <v>90</v>
      </c>
      <c r="H612" s="130">
        <v>5</v>
      </c>
      <c r="I612" s="130">
        <v>6</v>
      </c>
      <c r="J612" s="797">
        <v>5148.3</v>
      </c>
      <c r="K612" s="797">
        <v>3784</v>
      </c>
      <c r="L612" s="797">
        <v>3784</v>
      </c>
      <c r="M612" s="130">
        <v>130</v>
      </c>
      <c r="N612" s="797">
        <f>'Приложение 2'!E614</f>
        <v>3273988</v>
      </c>
      <c r="O612" s="180">
        <v>0</v>
      </c>
      <c r="P612" s="180">
        <v>0</v>
      </c>
      <c r="Q612" s="180">
        <v>0</v>
      </c>
      <c r="R612" s="180">
        <f t="shared" si="138"/>
        <v>3273988</v>
      </c>
      <c r="S612" s="797">
        <f t="shared" si="139"/>
        <v>865.21881606765328</v>
      </c>
      <c r="T612" s="797">
        <v>4180</v>
      </c>
      <c r="U612" s="132" t="s">
        <v>589</v>
      </c>
      <c r="V612" s="144">
        <f t="shared" si="132"/>
        <v>3314.7811839323467</v>
      </c>
      <c r="W612" s="521"/>
    </row>
    <row r="613" spans="1:23" s="159" customFormat="1" ht="9" customHeight="1">
      <c r="A613" s="178">
        <v>203</v>
      </c>
      <c r="B613" s="785" t="s">
        <v>891</v>
      </c>
      <c r="C613" s="794" t="s">
        <v>1192</v>
      </c>
      <c r="D613" s="794" t="s">
        <v>110</v>
      </c>
      <c r="E613" s="794" t="s">
        <v>608</v>
      </c>
      <c r="F613" s="178"/>
      <c r="G613" s="794" t="s">
        <v>88</v>
      </c>
      <c r="H613" s="130">
        <v>5</v>
      </c>
      <c r="I613" s="130">
        <v>6</v>
      </c>
      <c r="J613" s="797">
        <v>5872.8</v>
      </c>
      <c r="K613" s="797">
        <v>4220.7</v>
      </c>
      <c r="L613" s="797">
        <v>4220.7</v>
      </c>
      <c r="M613" s="130">
        <v>164</v>
      </c>
      <c r="N613" s="797">
        <f>'Приложение 2'!E615</f>
        <v>3974128</v>
      </c>
      <c r="O613" s="180">
        <v>0</v>
      </c>
      <c r="P613" s="180">
        <v>0</v>
      </c>
      <c r="Q613" s="180">
        <v>0</v>
      </c>
      <c r="R613" s="180">
        <f t="shared" si="138"/>
        <v>3974128</v>
      </c>
      <c r="S613" s="797">
        <f t="shared" si="139"/>
        <v>941.58030658421592</v>
      </c>
      <c r="T613" s="797">
        <v>4180</v>
      </c>
      <c r="U613" s="132" t="s">
        <v>589</v>
      </c>
      <c r="V613" s="144">
        <f t="shared" si="132"/>
        <v>3238.419693415784</v>
      </c>
      <c r="W613" s="521"/>
    </row>
    <row r="614" spans="1:23" s="159" customFormat="1" ht="9" customHeight="1">
      <c r="A614" s="178">
        <v>204</v>
      </c>
      <c r="B614" s="785" t="s">
        <v>892</v>
      </c>
      <c r="C614" s="794" t="s">
        <v>1192</v>
      </c>
      <c r="D614" s="794" t="s">
        <v>110</v>
      </c>
      <c r="E614" s="794" t="s">
        <v>614</v>
      </c>
      <c r="F614" s="178"/>
      <c r="G614" s="794" t="s">
        <v>90</v>
      </c>
      <c r="H614" s="130">
        <v>5</v>
      </c>
      <c r="I614" s="130">
        <v>6</v>
      </c>
      <c r="J614" s="797">
        <v>6151.62</v>
      </c>
      <c r="K614" s="797">
        <f>4334.82+202.9</f>
        <v>4537.7199999999993</v>
      </c>
      <c r="L614" s="797">
        <v>4334.82</v>
      </c>
      <c r="M614" s="130">
        <v>151</v>
      </c>
      <c r="N614" s="797">
        <f>'Приложение 2'!E616</f>
        <v>3767420</v>
      </c>
      <c r="O614" s="180">
        <v>0</v>
      </c>
      <c r="P614" s="180">
        <v>0</v>
      </c>
      <c r="Q614" s="180">
        <v>0</v>
      </c>
      <c r="R614" s="180">
        <f t="shared" si="138"/>
        <v>3767420</v>
      </c>
      <c r="S614" s="797">
        <f t="shared" si="139"/>
        <v>830.24514513896861</v>
      </c>
      <c r="T614" s="797">
        <v>4180</v>
      </c>
      <c r="U614" s="132" t="s">
        <v>589</v>
      </c>
      <c r="V614" s="144">
        <f t="shared" si="132"/>
        <v>3349.7548548610312</v>
      </c>
      <c r="W614" s="521"/>
    </row>
    <row r="615" spans="1:23" s="159" customFormat="1" ht="21.75" customHeight="1">
      <c r="A615" s="836" t="s">
        <v>331</v>
      </c>
      <c r="B615" s="836"/>
      <c r="C615" s="178"/>
      <c r="D615" s="178"/>
      <c r="E615" s="794" t="s">
        <v>391</v>
      </c>
      <c r="F615" s="794" t="s">
        <v>391</v>
      </c>
      <c r="G615" s="794" t="s">
        <v>391</v>
      </c>
      <c r="H615" s="794" t="s">
        <v>391</v>
      </c>
      <c r="I615" s="794" t="s">
        <v>391</v>
      </c>
      <c r="J615" s="180">
        <f>SUM(J611:J614)</f>
        <v>23359.39</v>
      </c>
      <c r="K615" s="180">
        <f t="shared" ref="K615:R615" si="140">SUM(K611:K614)</f>
        <v>17222.089999999997</v>
      </c>
      <c r="L615" s="180">
        <f t="shared" si="140"/>
        <v>16916.09</v>
      </c>
      <c r="M615" s="130">
        <f t="shared" si="140"/>
        <v>602</v>
      </c>
      <c r="N615" s="180">
        <f t="shared" si="140"/>
        <v>14919650</v>
      </c>
      <c r="O615" s="180">
        <f t="shared" si="140"/>
        <v>0</v>
      </c>
      <c r="P615" s="180">
        <f t="shared" si="140"/>
        <v>0</v>
      </c>
      <c r="Q615" s="180">
        <f t="shared" si="140"/>
        <v>0</v>
      </c>
      <c r="R615" s="180">
        <f t="shared" si="140"/>
        <v>14919650</v>
      </c>
      <c r="S615" s="797">
        <f>N615/K615</f>
        <v>866.3089090813022</v>
      </c>
      <c r="T615" s="178"/>
      <c r="U615" s="182"/>
      <c r="V615" s="144">
        <f t="shared" si="132"/>
        <v>-866.3089090813022</v>
      </c>
      <c r="W615" s="521"/>
    </row>
    <row r="616" spans="1:23" s="159" customFormat="1" ht="9" customHeight="1">
      <c r="A616" s="821" t="s">
        <v>902</v>
      </c>
      <c r="B616" s="821"/>
      <c r="C616" s="821"/>
      <c r="D616" s="821"/>
      <c r="E616" s="821"/>
      <c r="F616" s="821"/>
      <c r="G616" s="821"/>
      <c r="H616" s="821"/>
      <c r="I616" s="821"/>
      <c r="J616" s="821"/>
      <c r="K616" s="821"/>
      <c r="L616" s="821"/>
      <c r="M616" s="821"/>
      <c r="N616" s="821"/>
      <c r="O616" s="821"/>
      <c r="P616" s="821"/>
      <c r="Q616" s="821"/>
      <c r="R616" s="821"/>
      <c r="S616" s="821"/>
      <c r="T616" s="821"/>
      <c r="U616" s="821"/>
      <c r="V616" s="144">
        <f t="shared" si="132"/>
        <v>0</v>
      </c>
      <c r="W616" s="521"/>
    </row>
    <row r="617" spans="1:23" s="159" customFormat="1" ht="9" customHeight="1">
      <c r="A617" s="791">
        <v>205</v>
      </c>
      <c r="B617" s="785" t="s">
        <v>903</v>
      </c>
      <c r="C617" s="794" t="s">
        <v>1192</v>
      </c>
      <c r="D617" s="794" t="s">
        <v>111</v>
      </c>
      <c r="E617" s="794" t="s">
        <v>614</v>
      </c>
      <c r="F617" s="794"/>
      <c r="G617" s="794" t="s">
        <v>88</v>
      </c>
      <c r="H617" s="130">
        <v>2</v>
      </c>
      <c r="I617" s="130">
        <v>2</v>
      </c>
      <c r="J617" s="797">
        <v>535.29999999999995</v>
      </c>
      <c r="K617" s="797">
        <v>447.6</v>
      </c>
      <c r="L617" s="797">
        <v>447.6</v>
      </c>
      <c r="M617" s="130">
        <v>12</v>
      </c>
      <c r="N617" s="797">
        <f>'Приложение 2'!E619</f>
        <v>986370</v>
      </c>
      <c r="O617" s="180">
        <v>0</v>
      </c>
      <c r="P617" s="180">
        <v>0</v>
      </c>
      <c r="Q617" s="180">
        <v>0</v>
      </c>
      <c r="R617" s="180">
        <f t="shared" ref="R617" si="141">N617</f>
        <v>986370</v>
      </c>
      <c r="S617" s="797">
        <f t="shared" ref="S617" si="142">N617/K617</f>
        <v>2203.686327077748</v>
      </c>
      <c r="T617" s="797">
        <v>4503.95</v>
      </c>
      <c r="U617" s="132" t="s">
        <v>589</v>
      </c>
      <c r="V617" s="144">
        <f t="shared" si="132"/>
        <v>2300.2636729222518</v>
      </c>
      <c r="W617" s="521"/>
    </row>
    <row r="618" spans="1:23" s="159" customFormat="1" ht="20.25" customHeight="1">
      <c r="A618" s="836" t="s">
        <v>904</v>
      </c>
      <c r="B618" s="836"/>
      <c r="C618" s="178"/>
      <c r="D618" s="178"/>
      <c r="E618" s="794" t="s">
        <v>391</v>
      </c>
      <c r="F618" s="794" t="s">
        <v>391</v>
      </c>
      <c r="G618" s="794" t="s">
        <v>391</v>
      </c>
      <c r="H618" s="794" t="s">
        <v>391</v>
      </c>
      <c r="I618" s="794" t="s">
        <v>391</v>
      </c>
      <c r="J618" s="180">
        <f>SUM(J617)</f>
        <v>535.29999999999995</v>
      </c>
      <c r="K618" s="180">
        <f t="shared" ref="K618:R618" si="143">SUM(K617)</f>
        <v>447.6</v>
      </c>
      <c r="L618" s="180">
        <f t="shared" si="143"/>
        <v>447.6</v>
      </c>
      <c r="M618" s="133">
        <f t="shared" si="143"/>
        <v>12</v>
      </c>
      <c r="N618" s="180">
        <f t="shared" si="143"/>
        <v>986370</v>
      </c>
      <c r="O618" s="180">
        <f t="shared" si="143"/>
        <v>0</v>
      </c>
      <c r="P618" s="180">
        <f t="shared" si="143"/>
        <v>0</v>
      </c>
      <c r="Q618" s="180">
        <f t="shared" si="143"/>
        <v>0</v>
      </c>
      <c r="R618" s="180">
        <f t="shared" si="143"/>
        <v>986370</v>
      </c>
      <c r="S618" s="797">
        <f>N618/K618</f>
        <v>2203.686327077748</v>
      </c>
      <c r="T618" s="178"/>
      <c r="U618" s="182"/>
      <c r="V618" s="144">
        <f t="shared" si="132"/>
        <v>-2203.686327077748</v>
      </c>
      <c r="W618" s="521"/>
    </row>
    <row r="619" spans="1:23" s="159" customFormat="1" ht="9" customHeight="1">
      <c r="A619" s="821" t="s">
        <v>427</v>
      </c>
      <c r="B619" s="821"/>
      <c r="C619" s="821"/>
      <c r="D619" s="821"/>
      <c r="E619" s="821"/>
      <c r="F619" s="821"/>
      <c r="G619" s="821"/>
      <c r="H619" s="821"/>
      <c r="I619" s="821"/>
      <c r="J619" s="821"/>
      <c r="K619" s="821"/>
      <c r="L619" s="821"/>
      <c r="M619" s="821"/>
      <c r="N619" s="821"/>
      <c r="O619" s="821"/>
      <c r="P619" s="821"/>
      <c r="Q619" s="821"/>
      <c r="R619" s="821"/>
      <c r="S619" s="821"/>
      <c r="T619" s="821"/>
      <c r="U619" s="821"/>
      <c r="V619" s="144">
        <f t="shared" si="132"/>
        <v>0</v>
      </c>
      <c r="W619" s="521"/>
    </row>
    <row r="620" spans="1:23" s="159" customFormat="1" ht="9" customHeight="1">
      <c r="A620" s="794">
        <v>206</v>
      </c>
      <c r="B620" s="156" t="s">
        <v>906</v>
      </c>
      <c r="C620" s="785" t="s">
        <v>1192</v>
      </c>
      <c r="D620" s="785" t="s">
        <v>111</v>
      </c>
      <c r="E620" s="794" t="s">
        <v>748</v>
      </c>
      <c r="F620" s="794"/>
      <c r="G620" s="794" t="s">
        <v>88</v>
      </c>
      <c r="H620" s="130">
        <v>2</v>
      </c>
      <c r="I620" s="130">
        <v>2</v>
      </c>
      <c r="J620" s="797">
        <v>846.5</v>
      </c>
      <c r="K620" s="797">
        <v>557.29999999999995</v>
      </c>
      <c r="L620" s="797">
        <v>396</v>
      </c>
      <c r="M620" s="130">
        <v>14</v>
      </c>
      <c r="N620" s="797">
        <f>'Приложение 2'!E622</f>
        <v>1811040</v>
      </c>
      <c r="O620" s="797">
        <v>0</v>
      </c>
      <c r="P620" s="797">
        <v>0</v>
      </c>
      <c r="Q620" s="797">
        <v>0</v>
      </c>
      <c r="R620" s="797">
        <f t="shared" ref="R620:R625" si="144">N620</f>
        <v>1811040</v>
      </c>
      <c r="S620" s="797">
        <f t="shared" ref="S620:S625" si="145">N620/K620</f>
        <v>3249.6680423470307</v>
      </c>
      <c r="T620" s="797">
        <v>4503.95</v>
      </c>
      <c r="U620" s="132" t="s">
        <v>589</v>
      </c>
      <c r="V620" s="144">
        <f t="shared" si="132"/>
        <v>1254.2819576529691</v>
      </c>
      <c r="W620" s="521"/>
    </row>
    <row r="621" spans="1:23" s="159" customFormat="1" ht="9" customHeight="1">
      <c r="A621" s="794">
        <v>207</v>
      </c>
      <c r="B621" s="156" t="s">
        <v>907</v>
      </c>
      <c r="C621" s="785" t="s">
        <v>1192</v>
      </c>
      <c r="D621" s="785" t="s">
        <v>111</v>
      </c>
      <c r="E621" s="794" t="s">
        <v>613</v>
      </c>
      <c r="F621" s="794"/>
      <c r="G621" s="794" t="s">
        <v>88</v>
      </c>
      <c r="H621" s="130">
        <v>2</v>
      </c>
      <c r="I621" s="130">
        <v>1</v>
      </c>
      <c r="J621" s="797">
        <v>329.8</v>
      </c>
      <c r="K621" s="797">
        <v>301.8</v>
      </c>
      <c r="L621" s="797">
        <v>301.8</v>
      </c>
      <c r="M621" s="130">
        <v>309</v>
      </c>
      <c r="N621" s="797">
        <f>'Приложение 2'!E623</f>
        <v>970200</v>
      </c>
      <c r="O621" s="797">
        <v>0</v>
      </c>
      <c r="P621" s="797">
        <v>0</v>
      </c>
      <c r="Q621" s="797">
        <v>0</v>
      </c>
      <c r="R621" s="797">
        <f t="shared" si="144"/>
        <v>970200</v>
      </c>
      <c r="S621" s="797">
        <f t="shared" si="145"/>
        <v>3214.7117296222664</v>
      </c>
      <c r="T621" s="797">
        <v>4503.95</v>
      </c>
      <c r="U621" s="132" t="s">
        <v>589</v>
      </c>
      <c r="V621" s="144">
        <f t="shared" si="132"/>
        <v>1289.2382703777334</v>
      </c>
      <c r="W621" s="521"/>
    </row>
    <row r="622" spans="1:23" s="159" customFormat="1" ht="9" customHeight="1">
      <c r="A622" s="794">
        <v>208</v>
      </c>
      <c r="B622" s="156" t="s">
        <v>908</v>
      </c>
      <c r="C622" s="785" t="s">
        <v>1192</v>
      </c>
      <c r="D622" s="785" t="s">
        <v>111</v>
      </c>
      <c r="E622" s="794" t="s">
        <v>613</v>
      </c>
      <c r="F622" s="794" t="s">
        <v>599</v>
      </c>
      <c r="G622" s="794" t="s">
        <v>88</v>
      </c>
      <c r="H622" s="130">
        <v>2</v>
      </c>
      <c r="I622" s="130">
        <v>2</v>
      </c>
      <c r="J622" s="797">
        <v>512.70000000000005</v>
      </c>
      <c r="K622" s="797">
        <v>473.3</v>
      </c>
      <c r="L622" s="797">
        <v>473.3</v>
      </c>
      <c r="M622" s="130">
        <v>21</v>
      </c>
      <c r="N622" s="797">
        <f>'Приложение 2'!E624</f>
        <v>1688148</v>
      </c>
      <c r="O622" s="797">
        <v>0</v>
      </c>
      <c r="P622" s="797">
        <v>0</v>
      </c>
      <c r="Q622" s="797">
        <v>0</v>
      </c>
      <c r="R622" s="797">
        <f t="shared" si="144"/>
        <v>1688148</v>
      </c>
      <c r="S622" s="797">
        <f t="shared" si="145"/>
        <v>3566.7610395098245</v>
      </c>
      <c r="T622" s="797">
        <v>4503.95</v>
      </c>
      <c r="U622" s="132" t="s">
        <v>589</v>
      </c>
      <c r="V622" s="144">
        <f t="shared" si="132"/>
        <v>937.1889604901753</v>
      </c>
      <c r="W622" s="521"/>
    </row>
    <row r="623" spans="1:23" s="159" customFormat="1" ht="9" customHeight="1">
      <c r="A623" s="794">
        <v>209</v>
      </c>
      <c r="B623" s="156" t="s">
        <v>909</v>
      </c>
      <c r="C623" s="785" t="s">
        <v>1192</v>
      </c>
      <c r="D623" s="785" t="s">
        <v>111</v>
      </c>
      <c r="E623" s="794" t="s">
        <v>748</v>
      </c>
      <c r="F623" s="794" t="s">
        <v>605</v>
      </c>
      <c r="G623" s="794" t="s">
        <v>88</v>
      </c>
      <c r="H623" s="130">
        <v>2</v>
      </c>
      <c r="I623" s="130">
        <v>2</v>
      </c>
      <c r="J623" s="797">
        <v>892.8</v>
      </c>
      <c r="K623" s="797">
        <v>638.6</v>
      </c>
      <c r="L623" s="797">
        <v>638.6</v>
      </c>
      <c r="M623" s="130">
        <v>20</v>
      </c>
      <c r="N623" s="797">
        <f>'Приложение 2'!E625</f>
        <v>1519980</v>
      </c>
      <c r="O623" s="797">
        <v>0</v>
      </c>
      <c r="P623" s="797">
        <v>0</v>
      </c>
      <c r="Q623" s="797">
        <v>0</v>
      </c>
      <c r="R623" s="797">
        <f t="shared" si="144"/>
        <v>1519980</v>
      </c>
      <c r="S623" s="797">
        <f t="shared" si="145"/>
        <v>2380.1753836517382</v>
      </c>
      <c r="T623" s="797">
        <v>4503.95</v>
      </c>
      <c r="U623" s="132" t="s">
        <v>589</v>
      </c>
      <c r="V623" s="144">
        <f t="shared" si="132"/>
        <v>2123.7746163482616</v>
      </c>
      <c r="W623" s="521"/>
    </row>
    <row r="624" spans="1:23" s="159" customFormat="1" ht="9" customHeight="1">
      <c r="A624" s="794">
        <v>210</v>
      </c>
      <c r="B624" s="156" t="s">
        <v>910</v>
      </c>
      <c r="C624" s="785" t="s">
        <v>1192</v>
      </c>
      <c r="D624" s="785" t="s">
        <v>111</v>
      </c>
      <c r="E624" s="794" t="s">
        <v>603</v>
      </c>
      <c r="F624" s="794" t="s">
        <v>617</v>
      </c>
      <c r="G624" s="794" t="s">
        <v>88</v>
      </c>
      <c r="H624" s="130">
        <v>2</v>
      </c>
      <c r="I624" s="130">
        <v>1</v>
      </c>
      <c r="J624" s="797">
        <v>286.14</v>
      </c>
      <c r="K624" s="797">
        <v>263.39999999999998</v>
      </c>
      <c r="L624" s="797">
        <v>263.39999999999998</v>
      </c>
      <c r="M624" s="130">
        <v>10</v>
      </c>
      <c r="N624" s="797">
        <f>'Приложение 2'!E626</f>
        <v>941094</v>
      </c>
      <c r="O624" s="797">
        <v>0</v>
      </c>
      <c r="P624" s="797">
        <v>0</v>
      </c>
      <c r="Q624" s="797">
        <v>0</v>
      </c>
      <c r="R624" s="797">
        <f t="shared" si="144"/>
        <v>941094</v>
      </c>
      <c r="S624" s="797">
        <f t="shared" si="145"/>
        <v>3572.8701594533031</v>
      </c>
      <c r="T624" s="797">
        <v>4503.95</v>
      </c>
      <c r="U624" s="132" t="s">
        <v>589</v>
      </c>
      <c r="V624" s="144">
        <f t="shared" si="132"/>
        <v>931.07984054669669</v>
      </c>
      <c r="W624" s="521"/>
    </row>
    <row r="625" spans="1:23" s="159" customFormat="1" ht="9" customHeight="1">
      <c r="A625" s="794">
        <v>211</v>
      </c>
      <c r="B625" s="156" t="s">
        <v>911</v>
      </c>
      <c r="C625" s="785" t="s">
        <v>1192</v>
      </c>
      <c r="D625" s="785" t="s">
        <v>111</v>
      </c>
      <c r="E625" s="794" t="s">
        <v>595</v>
      </c>
      <c r="F625" s="794"/>
      <c r="G625" s="794" t="s">
        <v>88</v>
      </c>
      <c r="H625" s="130">
        <v>2</v>
      </c>
      <c r="I625" s="130">
        <v>2</v>
      </c>
      <c r="J625" s="797">
        <v>420.5</v>
      </c>
      <c r="K625" s="797">
        <v>382.9</v>
      </c>
      <c r="L625" s="797">
        <v>382.9</v>
      </c>
      <c r="M625" s="130">
        <v>15</v>
      </c>
      <c r="N625" s="797">
        <f>'Приложение 2'!E627</f>
        <v>1178663.6399999999</v>
      </c>
      <c r="O625" s="797">
        <v>0</v>
      </c>
      <c r="P625" s="797">
        <v>0</v>
      </c>
      <c r="Q625" s="797">
        <v>0</v>
      </c>
      <c r="R625" s="797">
        <f t="shared" si="144"/>
        <v>1178663.6399999999</v>
      </c>
      <c r="S625" s="797">
        <f t="shared" si="145"/>
        <v>3078.2544789762337</v>
      </c>
      <c r="T625" s="797">
        <v>4503.95</v>
      </c>
      <c r="U625" s="132" t="s">
        <v>589</v>
      </c>
      <c r="V625" s="144">
        <f t="shared" si="132"/>
        <v>1425.6955210237661</v>
      </c>
      <c r="W625" s="521"/>
    </row>
    <row r="626" spans="1:23" s="159" customFormat="1" ht="21" customHeight="1">
      <c r="A626" s="822" t="s">
        <v>428</v>
      </c>
      <c r="B626" s="822"/>
      <c r="C626" s="785"/>
      <c r="D626" s="785"/>
      <c r="E626" s="141" t="s">
        <v>391</v>
      </c>
      <c r="F626" s="141" t="s">
        <v>391</v>
      </c>
      <c r="G626" s="141" t="s">
        <v>391</v>
      </c>
      <c r="H626" s="141" t="s">
        <v>391</v>
      </c>
      <c r="I626" s="141" t="s">
        <v>391</v>
      </c>
      <c r="J626" s="797">
        <f>SUM(J620:J625)</f>
        <v>3288.44</v>
      </c>
      <c r="K626" s="797">
        <f t="shared" ref="K626:R626" si="146">SUM(K620:K625)</f>
        <v>2617.3000000000002</v>
      </c>
      <c r="L626" s="797">
        <f t="shared" si="146"/>
        <v>2456</v>
      </c>
      <c r="M626" s="130">
        <f t="shared" si="146"/>
        <v>389</v>
      </c>
      <c r="N626" s="797">
        <f t="shared" si="146"/>
        <v>8109125.6399999997</v>
      </c>
      <c r="O626" s="797">
        <f t="shared" si="146"/>
        <v>0</v>
      </c>
      <c r="P626" s="797">
        <f t="shared" si="146"/>
        <v>0</v>
      </c>
      <c r="Q626" s="797">
        <f t="shared" si="146"/>
        <v>0</v>
      </c>
      <c r="R626" s="797">
        <f t="shared" si="146"/>
        <v>8109125.6399999997</v>
      </c>
      <c r="S626" s="797">
        <f>N626/K626</f>
        <v>3098.2790050815724</v>
      </c>
      <c r="T626" s="794"/>
      <c r="U626" s="132"/>
      <c r="V626" s="144">
        <f t="shared" si="132"/>
        <v>-3098.2790050815724</v>
      </c>
      <c r="W626" s="521"/>
    </row>
    <row r="627" spans="1:23" s="159" customFormat="1" ht="9" customHeight="1">
      <c r="A627" s="821" t="s">
        <v>1082</v>
      </c>
      <c r="B627" s="821"/>
      <c r="C627" s="821"/>
      <c r="D627" s="821"/>
      <c r="E627" s="821"/>
      <c r="F627" s="821"/>
      <c r="G627" s="821"/>
      <c r="H627" s="821"/>
      <c r="I627" s="821"/>
      <c r="J627" s="821"/>
      <c r="K627" s="821"/>
      <c r="L627" s="821"/>
      <c r="M627" s="821"/>
      <c r="N627" s="821"/>
      <c r="O627" s="821"/>
      <c r="P627" s="821"/>
      <c r="Q627" s="821"/>
      <c r="R627" s="821"/>
      <c r="S627" s="821"/>
      <c r="T627" s="821"/>
      <c r="U627" s="821"/>
      <c r="V627" s="144">
        <f t="shared" si="132"/>
        <v>0</v>
      </c>
      <c r="W627" s="521"/>
    </row>
    <row r="628" spans="1:23" s="159" customFormat="1" ht="9" customHeight="1">
      <c r="A628" s="794">
        <v>212</v>
      </c>
      <c r="B628" s="156" t="s">
        <v>918</v>
      </c>
      <c r="C628" s="785" t="s">
        <v>1192</v>
      </c>
      <c r="D628" s="785" t="s">
        <v>111</v>
      </c>
      <c r="E628" s="794" t="s">
        <v>616</v>
      </c>
      <c r="F628" s="794"/>
      <c r="G628" s="794" t="s">
        <v>88</v>
      </c>
      <c r="H628" s="130">
        <v>2</v>
      </c>
      <c r="I628" s="130">
        <v>3</v>
      </c>
      <c r="J628" s="797">
        <v>998.9</v>
      </c>
      <c r="K628" s="797">
        <v>909.2</v>
      </c>
      <c r="L628" s="797">
        <v>851</v>
      </c>
      <c r="M628" s="130">
        <v>34</v>
      </c>
      <c r="N628" s="797">
        <f>'Приложение 2'!E630</f>
        <v>2734282.32</v>
      </c>
      <c r="O628" s="797">
        <v>0</v>
      </c>
      <c r="P628" s="797">
        <v>0</v>
      </c>
      <c r="Q628" s="797">
        <v>0</v>
      </c>
      <c r="R628" s="797">
        <f t="shared" ref="R628:R630" si="147">N628-Q628</f>
        <v>2734282.32</v>
      </c>
      <c r="S628" s="797">
        <f t="shared" ref="S628:S630" si="148">N628/K628</f>
        <v>3007.3496700395949</v>
      </c>
      <c r="T628" s="797">
        <v>4503.95</v>
      </c>
      <c r="U628" s="132" t="s">
        <v>589</v>
      </c>
      <c r="V628" s="144">
        <f t="shared" si="132"/>
        <v>1496.6003299604049</v>
      </c>
      <c r="W628" s="521"/>
    </row>
    <row r="629" spans="1:23" s="159" customFormat="1" ht="9" customHeight="1">
      <c r="A629" s="794">
        <v>213</v>
      </c>
      <c r="B629" s="156" t="s">
        <v>919</v>
      </c>
      <c r="C629" s="785" t="s">
        <v>1192</v>
      </c>
      <c r="D629" s="785" t="s">
        <v>111</v>
      </c>
      <c r="E629" s="794" t="s">
        <v>606</v>
      </c>
      <c r="F629" s="794"/>
      <c r="G629" s="794" t="s">
        <v>88</v>
      </c>
      <c r="H629" s="130">
        <v>2</v>
      </c>
      <c r="I629" s="130">
        <v>2</v>
      </c>
      <c r="J629" s="797">
        <v>529.70000000000005</v>
      </c>
      <c r="K629" s="797">
        <f>444.5+117.9</f>
        <v>562.4</v>
      </c>
      <c r="L629" s="797">
        <v>446.7</v>
      </c>
      <c r="M629" s="130">
        <v>25</v>
      </c>
      <c r="N629" s="797">
        <f>'Приложение 2'!E631</f>
        <v>1488771.9</v>
      </c>
      <c r="O629" s="797">
        <v>0</v>
      </c>
      <c r="P629" s="797">
        <v>0</v>
      </c>
      <c r="Q629" s="797">
        <v>0</v>
      </c>
      <c r="R629" s="797">
        <f t="shared" si="147"/>
        <v>1488771.9</v>
      </c>
      <c r="S629" s="797">
        <f t="shared" si="148"/>
        <v>2647.1762091038408</v>
      </c>
      <c r="T629" s="797">
        <v>4503.95</v>
      </c>
      <c r="U629" s="132" t="s">
        <v>589</v>
      </c>
      <c r="V629" s="144">
        <f t="shared" si="132"/>
        <v>1856.773790896159</v>
      </c>
      <c r="W629" s="521"/>
    </row>
    <row r="630" spans="1:23" s="159" customFormat="1" ht="9" customHeight="1">
      <c r="A630" s="794">
        <v>214</v>
      </c>
      <c r="B630" s="156" t="s">
        <v>920</v>
      </c>
      <c r="C630" s="785" t="s">
        <v>1192</v>
      </c>
      <c r="D630" s="785" t="s">
        <v>111</v>
      </c>
      <c r="E630" s="794" t="s">
        <v>606</v>
      </c>
      <c r="F630" s="794"/>
      <c r="G630" s="794" t="s">
        <v>88</v>
      </c>
      <c r="H630" s="130">
        <v>2</v>
      </c>
      <c r="I630" s="130">
        <v>2</v>
      </c>
      <c r="J630" s="797">
        <v>669.1</v>
      </c>
      <c r="K630" s="797">
        <v>626.20000000000005</v>
      </c>
      <c r="L630" s="797">
        <v>626.20000000000005</v>
      </c>
      <c r="M630" s="130">
        <v>28</v>
      </c>
      <c r="N630" s="797">
        <f>'Приложение 2'!E632</f>
        <v>1910905.92</v>
      </c>
      <c r="O630" s="797">
        <v>0</v>
      </c>
      <c r="P630" s="797">
        <v>0</v>
      </c>
      <c r="Q630" s="797">
        <v>0</v>
      </c>
      <c r="R630" s="797">
        <f t="shared" si="147"/>
        <v>1910905.92</v>
      </c>
      <c r="S630" s="797">
        <f t="shared" si="148"/>
        <v>3051.5904183966782</v>
      </c>
      <c r="T630" s="797">
        <v>4503.95</v>
      </c>
      <c r="U630" s="132" t="s">
        <v>589</v>
      </c>
      <c r="V630" s="144">
        <f t="shared" si="132"/>
        <v>1452.3595816033217</v>
      </c>
      <c r="W630" s="521"/>
    </row>
    <row r="631" spans="1:23" s="159" customFormat="1" ht="22.5" customHeight="1">
      <c r="A631" s="822" t="s">
        <v>1004</v>
      </c>
      <c r="B631" s="822"/>
      <c r="C631" s="785"/>
      <c r="D631" s="785"/>
      <c r="E631" s="141" t="s">
        <v>391</v>
      </c>
      <c r="F631" s="141" t="s">
        <v>391</v>
      </c>
      <c r="G631" s="141" t="s">
        <v>391</v>
      </c>
      <c r="H631" s="141" t="s">
        <v>391</v>
      </c>
      <c r="I631" s="141" t="s">
        <v>391</v>
      </c>
      <c r="J631" s="797">
        <f t="shared" ref="J631:R631" si="149">SUM(J628:J630)</f>
        <v>2197.6999999999998</v>
      </c>
      <c r="K631" s="797">
        <f t="shared" si="149"/>
        <v>2097.8000000000002</v>
      </c>
      <c r="L631" s="797">
        <f t="shared" si="149"/>
        <v>1923.9</v>
      </c>
      <c r="M631" s="130">
        <f t="shared" si="149"/>
        <v>87</v>
      </c>
      <c r="N631" s="797">
        <f t="shared" si="149"/>
        <v>6133960.1399999997</v>
      </c>
      <c r="O631" s="797">
        <f t="shared" si="149"/>
        <v>0</v>
      </c>
      <c r="P631" s="797">
        <f t="shared" si="149"/>
        <v>0</v>
      </c>
      <c r="Q631" s="797">
        <f t="shared" si="149"/>
        <v>0</v>
      </c>
      <c r="R631" s="797">
        <f t="shared" si="149"/>
        <v>6133960.1399999997</v>
      </c>
      <c r="S631" s="797">
        <f>N631/K631</f>
        <v>2923.9966345695489</v>
      </c>
      <c r="T631" s="794"/>
      <c r="U631" s="132"/>
      <c r="V631" s="144">
        <f t="shared" si="132"/>
        <v>-2923.9966345695489</v>
      </c>
      <c r="W631" s="521"/>
    </row>
    <row r="632" spans="1:23" s="159" customFormat="1" ht="9" customHeight="1">
      <c r="A632" s="821" t="s">
        <v>425</v>
      </c>
      <c r="B632" s="821"/>
      <c r="C632" s="821"/>
      <c r="D632" s="821"/>
      <c r="E632" s="821"/>
      <c r="F632" s="821"/>
      <c r="G632" s="821"/>
      <c r="H632" s="821"/>
      <c r="I632" s="821"/>
      <c r="J632" s="821"/>
      <c r="K632" s="821"/>
      <c r="L632" s="821"/>
      <c r="M632" s="821"/>
      <c r="N632" s="821"/>
      <c r="O632" s="821"/>
      <c r="P632" s="821"/>
      <c r="Q632" s="821"/>
      <c r="R632" s="821"/>
      <c r="S632" s="821"/>
      <c r="T632" s="821"/>
      <c r="U632" s="821"/>
      <c r="V632" s="144">
        <f t="shared" si="132"/>
        <v>0</v>
      </c>
      <c r="W632" s="521"/>
    </row>
    <row r="633" spans="1:23" s="159" customFormat="1" ht="9" customHeight="1">
      <c r="A633" s="794">
        <v>215</v>
      </c>
      <c r="B633" s="156" t="s">
        <v>923</v>
      </c>
      <c r="C633" s="785" t="s">
        <v>1192</v>
      </c>
      <c r="D633" s="785" t="s">
        <v>111</v>
      </c>
      <c r="E633" s="794" t="s">
        <v>598</v>
      </c>
      <c r="F633" s="794"/>
      <c r="G633" s="794" t="s">
        <v>88</v>
      </c>
      <c r="H633" s="130">
        <v>2</v>
      </c>
      <c r="I633" s="130">
        <v>1</v>
      </c>
      <c r="J633" s="797">
        <v>390</v>
      </c>
      <c r="K633" s="797">
        <v>365</v>
      </c>
      <c r="L633" s="797">
        <v>365</v>
      </c>
      <c r="M633" s="130">
        <v>12</v>
      </c>
      <c r="N633" s="797">
        <f>'Приложение 2'!E635</f>
        <v>1300068</v>
      </c>
      <c r="O633" s="797">
        <v>0</v>
      </c>
      <c r="P633" s="797">
        <v>0</v>
      </c>
      <c r="Q633" s="797">
        <v>0</v>
      </c>
      <c r="R633" s="797">
        <f>N633</f>
        <v>1300068</v>
      </c>
      <c r="S633" s="797">
        <f t="shared" ref="S633" si="150">N633/K633</f>
        <v>3561.8301369863016</v>
      </c>
      <c r="T633" s="797">
        <v>4503.95</v>
      </c>
      <c r="U633" s="132" t="s">
        <v>589</v>
      </c>
      <c r="V633" s="144">
        <f t="shared" si="132"/>
        <v>942.11986301369825</v>
      </c>
      <c r="W633" s="521"/>
    </row>
    <row r="634" spans="1:23" s="159" customFormat="1" ht="20.25" customHeight="1">
      <c r="A634" s="822" t="s">
        <v>424</v>
      </c>
      <c r="B634" s="822"/>
      <c r="C634" s="785"/>
      <c r="D634" s="785"/>
      <c r="E634" s="141" t="s">
        <v>391</v>
      </c>
      <c r="F634" s="141" t="s">
        <v>391</v>
      </c>
      <c r="G634" s="141" t="s">
        <v>391</v>
      </c>
      <c r="H634" s="141" t="s">
        <v>391</v>
      </c>
      <c r="I634" s="141" t="s">
        <v>391</v>
      </c>
      <c r="J634" s="797">
        <f t="shared" ref="J634:R634" si="151">SUM(J633:J633)</f>
        <v>390</v>
      </c>
      <c r="K634" s="797">
        <f t="shared" si="151"/>
        <v>365</v>
      </c>
      <c r="L634" s="797">
        <f t="shared" si="151"/>
        <v>365</v>
      </c>
      <c r="M634" s="130">
        <v>12</v>
      </c>
      <c r="N634" s="797">
        <f t="shared" si="151"/>
        <v>1300068</v>
      </c>
      <c r="O634" s="797">
        <f t="shared" si="151"/>
        <v>0</v>
      </c>
      <c r="P634" s="797">
        <f t="shared" si="151"/>
        <v>0</v>
      </c>
      <c r="Q634" s="797">
        <f t="shared" si="151"/>
        <v>0</v>
      </c>
      <c r="R634" s="797">
        <f t="shared" si="151"/>
        <v>1300068</v>
      </c>
      <c r="S634" s="797">
        <f>N634/K634</f>
        <v>3561.8301369863016</v>
      </c>
      <c r="T634" s="797"/>
      <c r="U634" s="797"/>
      <c r="V634" s="144">
        <f t="shared" si="132"/>
        <v>-3561.8301369863016</v>
      </c>
      <c r="W634" s="521"/>
    </row>
    <row r="635" spans="1:23" s="159" customFormat="1" ht="9" customHeight="1">
      <c r="A635" s="821" t="s">
        <v>352</v>
      </c>
      <c r="B635" s="821"/>
      <c r="C635" s="821"/>
      <c r="D635" s="821"/>
      <c r="E635" s="821"/>
      <c r="F635" s="821"/>
      <c r="G635" s="821"/>
      <c r="H635" s="821"/>
      <c r="I635" s="821"/>
      <c r="J635" s="821"/>
      <c r="K635" s="821"/>
      <c r="L635" s="821"/>
      <c r="M635" s="821"/>
      <c r="N635" s="821"/>
      <c r="O635" s="821"/>
      <c r="P635" s="821"/>
      <c r="Q635" s="821"/>
      <c r="R635" s="821"/>
      <c r="S635" s="821"/>
      <c r="T635" s="821"/>
      <c r="U635" s="821"/>
      <c r="V635" s="144">
        <f t="shared" si="132"/>
        <v>0</v>
      </c>
      <c r="W635" s="521"/>
    </row>
    <row r="636" spans="1:23" s="159" customFormat="1" ht="9" customHeight="1">
      <c r="A636" s="794">
        <v>216</v>
      </c>
      <c r="B636" s="156" t="s">
        <v>925</v>
      </c>
      <c r="C636" s="785" t="s">
        <v>1192</v>
      </c>
      <c r="D636" s="785" t="s">
        <v>111</v>
      </c>
      <c r="E636" s="794" t="s">
        <v>594</v>
      </c>
      <c r="F636" s="794"/>
      <c r="G636" s="794" t="s">
        <v>90</v>
      </c>
      <c r="H636" s="130">
        <v>2</v>
      </c>
      <c r="I636" s="130">
        <v>2</v>
      </c>
      <c r="J636" s="797">
        <v>621.23</v>
      </c>
      <c r="K636" s="797">
        <v>590.04</v>
      </c>
      <c r="L636" s="797">
        <v>590.87</v>
      </c>
      <c r="M636" s="130">
        <v>19</v>
      </c>
      <c r="N636" s="797">
        <f>'Приложение 2'!E638</f>
        <v>1827210</v>
      </c>
      <c r="O636" s="797">
        <v>0</v>
      </c>
      <c r="P636" s="797">
        <v>0</v>
      </c>
      <c r="Q636" s="797">
        <v>0</v>
      </c>
      <c r="R636" s="797">
        <f>N636</f>
        <v>1827210</v>
      </c>
      <c r="S636" s="797">
        <f t="shared" ref="S636" si="152">N636/K636</f>
        <v>3096.7561521252796</v>
      </c>
      <c r="T636" s="797">
        <v>4503.95</v>
      </c>
      <c r="U636" s="132" t="s">
        <v>589</v>
      </c>
      <c r="V636" s="144">
        <f t="shared" si="132"/>
        <v>1407.1938478747202</v>
      </c>
      <c r="W636" s="521"/>
    </row>
    <row r="637" spans="1:23" s="159" customFormat="1" ht="22.5" customHeight="1">
      <c r="A637" s="822" t="s">
        <v>351</v>
      </c>
      <c r="B637" s="822"/>
      <c r="C637" s="785"/>
      <c r="D637" s="785"/>
      <c r="E637" s="141" t="s">
        <v>391</v>
      </c>
      <c r="F637" s="141" t="s">
        <v>391</v>
      </c>
      <c r="G637" s="141" t="s">
        <v>391</v>
      </c>
      <c r="H637" s="141" t="s">
        <v>391</v>
      </c>
      <c r="I637" s="141" t="s">
        <v>391</v>
      </c>
      <c r="J637" s="797">
        <f t="shared" ref="J637:R637" si="153">SUM(J636:J636)</f>
        <v>621.23</v>
      </c>
      <c r="K637" s="797">
        <f t="shared" si="153"/>
        <v>590.04</v>
      </c>
      <c r="L637" s="797">
        <f t="shared" si="153"/>
        <v>590.87</v>
      </c>
      <c r="M637" s="130">
        <f t="shared" si="153"/>
        <v>19</v>
      </c>
      <c r="N637" s="797">
        <f t="shared" si="153"/>
        <v>1827210</v>
      </c>
      <c r="O637" s="797">
        <f t="shared" si="153"/>
        <v>0</v>
      </c>
      <c r="P637" s="797">
        <f t="shared" si="153"/>
        <v>0</v>
      </c>
      <c r="Q637" s="797">
        <f t="shared" si="153"/>
        <v>0</v>
      </c>
      <c r="R637" s="797">
        <f t="shared" si="153"/>
        <v>1827210</v>
      </c>
      <c r="S637" s="797">
        <f>N637/K637</f>
        <v>3096.7561521252796</v>
      </c>
      <c r="T637" s="797"/>
      <c r="U637" s="132"/>
      <c r="V637" s="144">
        <f t="shared" si="132"/>
        <v>-3096.7561521252796</v>
      </c>
      <c r="W637" s="521"/>
    </row>
    <row r="638" spans="1:23" s="159" customFormat="1" ht="9" customHeight="1">
      <c r="A638" s="821" t="s">
        <v>433</v>
      </c>
      <c r="B638" s="821"/>
      <c r="C638" s="821"/>
      <c r="D638" s="821"/>
      <c r="E638" s="821"/>
      <c r="F638" s="821"/>
      <c r="G638" s="821"/>
      <c r="H638" s="821"/>
      <c r="I638" s="821"/>
      <c r="J638" s="821"/>
      <c r="K638" s="821"/>
      <c r="L638" s="821"/>
      <c r="M638" s="821"/>
      <c r="N638" s="821"/>
      <c r="O638" s="821"/>
      <c r="P638" s="821"/>
      <c r="Q638" s="821"/>
      <c r="R638" s="821"/>
      <c r="S638" s="821"/>
      <c r="T638" s="821"/>
      <c r="U638" s="821"/>
      <c r="V638" s="144">
        <f t="shared" si="132"/>
        <v>0</v>
      </c>
      <c r="W638" s="521"/>
    </row>
    <row r="639" spans="1:23" s="159" customFormat="1" ht="9" customHeight="1">
      <c r="A639" s="184">
        <v>217</v>
      </c>
      <c r="B639" s="788" t="s">
        <v>931</v>
      </c>
      <c r="C639" s="788" t="s">
        <v>1008</v>
      </c>
      <c r="D639" s="184" t="s">
        <v>111</v>
      </c>
      <c r="E639" s="184" t="s">
        <v>617</v>
      </c>
      <c r="F639" s="184"/>
      <c r="G639" s="184" t="s">
        <v>90</v>
      </c>
      <c r="H639" s="219">
        <v>2</v>
      </c>
      <c r="I639" s="219">
        <v>3</v>
      </c>
      <c r="J639" s="218">
        <v>1537.6</v>
      </c>
      <c r="K639" s="218">
        <v>923.2</v>
      </c>
      <c r="L639" s="218">
        <v>380</v>
      </c>
      <c r="M639" s="219">
        <v>26</v>
      </c>
      <c r="N639" s="797">
        <f>'Приложение 2'!E641</f>
        <v>279775.76</v>
      </c>
      <c r="O639" s="187">
        <v>0</v>
      </c>
      <c r="P639" s="187">
        <v>0</v>
      </c>
      <c r="Q639" s="187">
        <v>0</v>
      </c>
      <c r="R639" s="187">
        <f t="shared" ref="R639:R643" si="154">N639</f>
        <v>279775.76</v>
      </c>
      <c r="S639" s="797">
        <f t="shared" ref="S639:S643" si="155">N639/K639</f>
        <v>303.05</v>
      </c>
      <c r="T639" s="797">
        <v>4984.6499999999996</v>
      </c>
      <c r="U639" s="132" t="s">
        <v>589</v>
      </c>
      <c r="V639" s="144">
        <f t="shared" si="132"/>
        <v>4681.5999999999995</v>
      </c>
      <c r="W639" s="521"/>
    </row>
    <row r="640" spans="1:23" s="159" customFormat="1" ht="9" customHeight="1">
      <c r="A640" s="184">
        <v>218</v>
      </c>
      <c r="B640" s="788" t="s">
        <v>932</v>
      </c>
      <c r="C640" s="788" t="s">
        <v>1008</v>
      </c>
      <c r="D640" s="184" t="s">
        <v>111</v>
      </c>
      <c r="E640" s="184" t="s">
        <v>607</v>
      </c>
      <c r="F640" s="184" t="s">
        <v>1196</v>
      </c>
      <c r="G640" s="184" t="s">
        <v>90</v>
      </c>
      <c r="H640" s="219">
        <v>2</v>
      </c>
      <c r="I640" s="219">
        <v>3</v>
      </c>
      <c r="J640" s="218">
        <v>1005.2</v>
      </c>
      <c r="K640" s="184">
        <v>918.48</v>
      </c>
      <c r="L640" s="184">
        <v>918.48</v>
      </c>
      <c r="M640" s="219">
        <v>42</v>
      </c>
      <c r="N640" s="797">
        <f>'Приложение 2'!E642</f>
        <v>278345.36</v>
      </c>
      <c r="O640" s="187">
        <v>0</v>
      </c>
      <c r="P640" s="187">
        <v>0</v>
      </c>
      <c r="Q640" s="187">
        <v>0</v>
      </c>
      <c r="R640" s="187">
        <f t="shared" si="154"/>
        <v>278345.36</v>
      </c>
      <c r="S640" s="797">
        <f t="shared" si="155"/>
        <v>303.04999564497865</v>
      </c>
      <c r="T640" s="797">
        <v>4984.6499999999996</v>
      </c>
      <c r="U640" s="132" t="s">
        <v>589</v>
      </c>
      <c r="V640" s="144">
        <f t="shared" si="132"/>
        <v>4681.6000043550212</v>
      </c>
      <c r="W640" s="521"/>
    </row>
    <row r="641" spans="1:23" s="159" customFormat="1" ht="9" customHeight="1">
      <c r="A641" s="184">
        <v>219</v>
      </c>
      <c r="B641" s="788" t="s">
        <v>933</v>
      </c>
      <c r="C641" s="788" t="s">
        <v>1008</v>
      </c>
      <c r="D641" s="184" t="s">
        <v>111</v>
      </c>
      <c r="E641" s="184" t="s">
        <v>606</v>
      </c>
      <c r="F641" s="184"/>
      <c r="G641" s="184" t="s">
        <v>88</v>
      </c>
      <c r="H641" s="219">
        <v>2</v>
      </c>
      <c r="I641" s="219">
        <v>1</v>
      </c>
      <c r="J641" s="218">
        <v>334.6</v>
      </c>
      <c r="K641" s="184">
        <v>270.23</v>
      </c>
      <c r="L641" s="184">
        <v>270.23</v>
      </c>
      <c r="M641" s="219">
        <v>8</v>
      </c>
      <c r="N641" s="797">
        <f>'Приложение 2'!E643</f>
        <v>56748.3</v>
      </c>
      <c r="O641" s="187">
        <v>0</v>
      </c>
      <c r="P641" s="187">
        <v>0</v>
      </c>
      <c r="Q641" s="187">
        <v>0</v>
      </c>
      <c r="R641" s="187">
        <f t="shared" si="154"/>
        <v>56748.3</v>
      </c>
      <c r="S641" s="797">
        <f t="shared" si="155"/>
        <v>210</v>
      </c>
      <c r="T641" s="797">
        <v>4984.6499999999996</v>
      </c>
      <c r="U641" s="132" t="s">
        <v>589</v>
      </c>
      <c r="V641" s="144">
        <f t="shared" si="132"/>
        <v>4774.6499999999996</v>
      </c>
      <c r="W641" s="521"/>
    </row>
    <row r="642" spans="1:23" s="159" customFormat="1" ht="9" customHeight="1">
      <c r="A642" s="184">
        <v>220</v>
      </c>
      <c r="B642" s="788" t="s">
        <v>934</v>
      </c>
      <c r="C642" s="788" t="s">
        <v>1200</v>
      </c>
      <c r="D642" s="184" t="s">
        <v>111</v>
      </c>
      <c r="E642" s="184" t="s">
        <v>936</v>
      </c>
      <c r="F642" s="184"/>
      <c r="G642" s="184" t="s">
        <v>88</v>
      </c>
      <c r="H642" s="219">
        <v>2</v>
      </c>
      <c r="I642" s="219">
        <v>2</v>
      </c>
      <c r="J642" s="218">
        <v>779.5</v>
      </c>
      <c r="K642" s="218">
        <v>724.7</v>
      </c>
      <c r="L642" s="218">
        <v>724.7</v>
      </c>
      <c r="M642" s="184">
        <v>38</v>
      </c>
      <c r="N642" s="797">
        <f>'Приложение 2'!E644</f>
        <v>234012.88</v>
      </c>
      <c r="O642" s="187">
        <v>0</v>
      </c>
      <c r="P642" s="187">
        <v>0</v>
      </c>
      <c r="Q642" s="187">
        <v>0</v>
      </c>
      <c r="R642" s="187">
        <f t="shared" si="154"/>
        <v>234012.88</v>
      </c>
      <c r="S642" s="797">
        <f t="shared" si="155"/>
        <v>322.910004139644</v>
      </c>
      <c r="T642" s="218">
        <v>322.91000000000003</v>
      </c>
      <c r="U642" s="132" t="s">
        <v>589</v>
      </c>
      <c r="V642" s="144">
        <f>T642-S642</f>
        <v>-4.1396439769414428E-6</v>
      </c>
      <c r="W642" s="521"/>
    </row>
    <row r="643" spans="1:23" s="159" customFormat="1" ht="9" customHeight="1">
      <c r="A643" s="184">
        <v>221</v>
      </c>
      <c r="B643" s="788" t="s">
        <v>935</v>
      </c>
      <c r="C643" s="788" t="s">
        <v>1008</v>
      </c>
      <c r="D643" s="184" t="s">
        <v>111</v>
      </c>
      <c r="E643" s="184" t="s">
        <v>748</v>
      </c>
      <c r="F643" s="184" t="s">
        <v>1196</v>
      </c>
      <c r="G643" s="184" t="s">
        <v>88</v>
      </c>
      <c r="H643" s="219">
        <v>2</v>
      </c>
      <c r="I643" s="219">
        <v>1</v>
      </c>
      <c r="J643" s="218">
        <v>301.8</v>
      </c>
      <c r="K643" s="184">
        <v>274.32</v>
      </c>
      <c r="L643" s="218">
        <v>274.32</v>
      </c>
      <c r="M643" s="184">
        <v>13</v>
      </c>
      <c r="N643" s="797">
        <f>'Приложение 2'!E645</f>
        <v>57607.199999999997</v>
      </c>
      <c r="O643" s="187">
        <v>0</v>
      </c>
      <c r="P643" s="187">
        <v>0</v>
      </c>
      <c r="Q643" s="187">
        <v>0</v>
      </c>
      <c r="R643" s="187">
        <f t="shared" si="154"/>
        <v>57607.199999999997</v>
      </c>
      <c r="S643" s="797">
        <f t="shared" si="155"/>
        <v>210</v>
      </c>
      <c r="T643" s="797">
        <v>4984.6499999999996</v>
      </c>
      <c r="U643" s="132" t="s">
        <v>589</v>
      </c>
      <c r="V643" s="144">
        <f t="shared" si="132"/>
        <v>4774.6499999999996</v>
      </c>
      <c r="W643" s="521"/>
    </row>
    <row r="644" spans="1:23" s="159" customFormat="1" ht="22.5" customHeight="1">
      <c r="A644" s="824" t="s">
        <v>434</v>
      </c>
      <c r="B644" s="824"/>
      <c r="C644" s="788"/>
      <c r="D644" s="788"/>
      <c r="E644" s="184" t="s">
        <v>391</v>
      </c>
      <c r="F644" s="184" t="s">
        <v>391</v>
      </c>
      <c r="G644" s="184" t="s">
        <v>391</v>
      </c>
      <c r="H644" s="184" t="s">
        <v>391</v>
      </c>
      <c r="I644" s="184" t="s">
        <v>391</v>
      </c>
      <c r="J644" s="189">
        <f t="shared" ref="J644:R644" si="156">SUM(J639:J643)</f>
        <v>3958.7000000000003</v>
      </c>
      <c r="K644" s="189">
        <f t="shared" si="156"/>
        <v>3110.93</v>
      </c>
      <c r="L644" s="189">
        <f t="shared" si="156"/>
        <v>2567.73</v>
      </c>
      <c r="M644" s="184">
        <f t="shared" si="156"/>
        <v>127</v>
      </c>
      <c r="N644" s="189">
        <f t="shared" si="156"/>
        <v>906489.5</v>
      </c>
      <c r="O644" s="189">
        <f t="shared" si="156"/>
        <v>0</v>
      </c>
      <c r="P644" s="189">
        <f t="shared" si="156"/>
        <v>0</v>
      </c>
      <c r="Q644" s="189">
        <f t="shared" si="156"/>
        <v>0</v>
      </c>
      <c r="R644" s="189">
        <f t="shared" si="156"/>
        <v>906489.5</v>
      </c>
      <c r="S644" s="797">
        <f>N644/K644</f>
        <v>291.38858797851447</v>
      </c>
      <c r="T644" s="189"/>
      <c r="U644" s="188"/>
      <c r="V644" s="144">
        <f t="shared" si="132"/>
        <v>-291.38858797851447</v>
      </c>
      <c r="W644" s="521"/>
    </row>
    <row r="645" spans="1:23" s="159" customFormat="1" ht="9" customHeight="1">
      <c r="A645" s="823" t="s">
        <v>937</v>
      </c>
      <c r="B645" s="823"/>
      <c r="C645" s="823"/>
      <c r="D645" s="823"/>
      <c r="E645" s="823"/>
      <c r="F645" s="823"/>
      <c r="G645" s="823"/>
      <c r="H645" s="823"/>
      <c r="I645" s="823"/>
      <c r="J645" s="823"/>
      <c r="K645" s="823"/>
      <c r="L645" s="823"/>
      <c r="M645" s="823"/>
      <c r="N645" s="823"/>
      <c r="O645" s="823"/>
      <c r="P645" s="823"/>
      <c r="Q645" s="823"/>
      <c r="R645" s="823"/>
      <c r="S645" s="823"/>
      <c r="T645" s="823"/>
      <c r="U645" s="823"/>
      <c r="V645" s="144">
        <f t="shared" si="132"/>
        <v>0</v>
      </c>
      <c r="W645" s="521"/>
    </row>
    <row r="646" spans="1:23" s="159" customFormat="1" ht="9" customHeight="1">
      <c r="A646" s="166">
        <v>222</v>
      </c>
      <c r="B646" s="787" t="s">
        <v>940</v>
      </c>
      <c r="C646" s="794" t="s">
        <v>1192</v>
      </c>
      <c r="D646" s="794" t="s">
        <v>111</v>
      </c>
      <c r="E646" s="794" t="s">
        <v>618</v>
      </c>
      <c r="F646" s="166"/>
      <c r="G646" s="166" t="s">
        <v>90</v>
      </c>
      <c r="H646" s="190">
        <v>2</v>
      </c>
      <c r="I646" s="190">
        <v>2</v>
      </c>
      <c r="J646" s="199">
        <v>661.2</v>
      </c>
      <c r="K646" s="199">
        <v>590.20000000000005</v>
      </c>
      <c r="L646" s="199">
        <v>590.20000000000005</v>
      </c>
      <c r="M646" s="190">
        <v>24</v>
      </c>
      <c r="N646" s="797">
        <f>'Приложение 2'!E648</f>
        <v>1667579.76</v>
      </c>
      <c r="O646" s="189">
        <v>0</v>
      </c>
      <c r="P646" s="189">
        <v>0</v>
      </c>
      <c r="Q646" s="189">
        <v>0</v>
      </c>
      <c r="R646" s="189">
        <f>N646</f>
        <v>1667579.76</v>
      </c>
      <c r="S646" s="797">
        <f t="shared" ref="S646" si="157">N646/K646</f>
        <v>2825.4485936970518</v>
      </c>
      <c r="T646" s="797">
        <v>4503.95</v>
      </c>
      <c r="U646" s="132" t="s">
        <v>589</v>
      </c>
      <c r="V646" s="144">
        <f t="shared" si="132"/>
        <v>1678.501406302948</v>
      </c>
      <c r="W646" s="521"/>
    </row>
    <row r="647" spans="1:23" s="159" customFormat="1" ht="21.75" customHeight="1">
      <c r="A647" s="824" t="s">
        <v>939</v>
      </c>
      <c r="B647" s="824"/>
      <c r="C647" s="788"/>
      <c r="D647" s="788"/>
      <c r="E647" s="184" t="s">
        <v>391</v>
      </c>
      <c r="F647" s="184" t="s">
        <v>391</v>
      </c>
      <c r="G647" s="184" t="s">
        <v>391</v>
      </c>
      <c r="H647" s="184" t="s">
        <v>391</v>
      </c>
      <c r="I647" s="184" t="s">
        <v>391</v>
      </c>
      <c r="J647" s="189">
        <f t="shared" ref="J647:R647" si="158">SUM(J646:J646)</f>
        <v>661.2</v>
      </c>
      <c r="K647" s="189">
        <f t="shared" si="158"/>
        <v>590.20000000000005</v>
      </c>
      <c r="L647" s="189">
        <f t="shared" si="158"/>
        <v>590.20000000000005</v>
      </c>
      <c r="M647" s="130">
        <f t="shared" si="158"/>
        <v>24</v>
      </c>
      <c r="N647" s="189">
        <f t="shared" si="158"/>
        <v>1667579.76</v>
      </c>
      <c r="O647" s="189">
        <f t="shared" si="158"/>
        <v>0</v>
      </c>
      <c r="P647" s="189">
        <f t="shared" si="158"/>
        <v>0</v>
      </c>
      <c r="Q647" s="189">
        <f t="shared" si="158"/>
        <v>0</v>
      </c>
      <c r="R647" s="189">
        <f t="shared" si="158"/>
        <v>1667579.76</v>
      </c>
      <c r="S647" s="189">
        <f>N647/K647</f>
        <v>2825.4485936970518</v>
      </c>
      <c r="T647" s="189"/>
      <c r="U647" s="188"/>
      <c r="V647" s="144">
        <f t="shared" si="132"/>
        <v>-2825.4485936970518</v>
      </c>
      <c r="W647" s="521"/>
    </row>
    <row r="648" spans="1:23" s="159" customFormat="1" ht="9.75" customHeight="1">
      <c r="A648" s="823" t="s">
        <v>1033</v>
      </c>
      <c r="B648" s="823"/>
      <c r="C648" s="823"/>
      <c r="D648" s="823"/>
      <c r="E648" s="823"/>
      <c r="F648" s="823"/>
      <c r="G648" s="823"/>
      <c r="H648" s="823"/>
      <c r="I648" s="823"/>
      <c r="J648" s="823"/>
      <c r="K648" s="823"/>
      <c r="L648" s="823"/>
      <c r="M648" s="823"/>
      <c r="N648" s="823"/>
      <c r="O648" s="823"/>
      <c r="P648" s="823"/>
      <c r="Q648" s="823"/>
      <c r="R648" s="823"/>
      <c r="S648" s="823"/>
      <c r="T648" s="823"/>
      <c r="U648" s="823"/>
      <c r="V648" s="144"/>
      <c r="W648" s="521"/>
    </row>
    <row r="649" spans="1:23" s="159" customFormat="1" ht="9.75" customHeight="1">
      <c r="A649" s="788">
        <v>223</v>
      </c>
      <c r="B649" s="788" t="s">
        <v>941</v>
      </c>
      <c r="C649" s="794" t="s">
        <v>1192</v>
      </c>
      <c r="D649" s="794" t="s">
        <v>111</v>
      </c>
      <c r="E649" s="184">
        <v>1976</v>
      </c>
      <c r="F649" s="184"/>
      <c r="G649" s="191" t="s">
        <v>88</v>
      </c>
      <c r="H649" s="184">
        <v>2</v>
      </c>
      <c r="I649" s="184">
        <v>2</v>
      </c>
      <c r="J649" s="189">
        <v>906.4</v>
      </c>
      <c r="K649" s="189">
        <v>862.8</v>
      </c>
      <c r="L649" s="189">
        <v>862.8</v>
      </c>
      <c r="M649" s="133">
        <v>46</v>
      </c>
      <c r="N649" s="797">
        <f>'Приложение 2'!E651</f>
        <v>3121624.2</v>
      </c>
      <c r="O649" s="189">
        <v>0</v>
      </c>
      <c r="P649" s="189">
        <v>0</v>
      </c>
      <c r="Q649" s="189">
        <v>0</v>
      </c>
      <c r="R649" s="189">
        <f>N649</f>
        <v>3121624.2</v>
      </c>
      <c r="S649" s="797">
        <f t="shared" ref="S649:S650" si="159">N649/K649</f>
        <v>3618.0159944367178</v>
      </c>
      <c r="T649" s="797">
        <v>4180</v>
      </c>
      <c r="U649" s="132" t="s">
        <v>589</v>
      </c>
      <c r="V649" s="144"/>
      <c r="W649" s="521"/>
    </row>
    <row r="650" spans="1:23" s="159" customFormat="1" ht="9.75" customHeight="1">
      <c r="A650" s="788">
        <v>224</v>
      </c>
      <c r="B650" s="788" t="s">
        <v>1035</v>
      </c>
      <c r="C650" s="794" t="s">
        <v>1192</v>
      </c>
      <c r="D650" s="788" t="s">
        <v>110</v>
      </c>
      <c r="E650" s="184">
        <v>1987</v>
      </c>
      <c r="F650" s="184"/>
      <c r="G650" s="191" t="s">
        <v>88</v>
      </c>
      <c r="H650" s="184">
        <v>5</v>
      </c>
      <c r="I650" s="184">
        <v>4</v>
      </c>
      <c r="J650" s="189">
        <v>3883.9399999999996</v>
      </c>
      <c r="K650" s="189">
        <v>2734.24</v>
      </c>
      <c r="L650" s="189">
        <v>2734.24</v>
      </c>
      <c r="M650" s="133">
        <v>126</v>
      </c>
      <c r="N650" s="797">
        <f>'Приложение 2'!E652</f>
        <v>2590518</v>
      </c>
      <c r="O650" s="189">
        <v>0</v>
      </c>
      <c r="P650" s="189">
        <v>0</v>
      </c>
      <c r="Q650" s="189">
        <v>0</v>
      </c>
      <c r="R650" s="189">
        <f>N650</f>
        <v>2590518</v>
      </c>
      <c r="S650" s="797">
        <f t="shared" si="159"/>
        <v>947.43621627947812</v>
      </c>
      <c r="T650" s="797">
        <v>4180</v>
      </c>
      <c r="U650" s="132" t="s">
        <v>589</v>
      </c>
      <c r="V650" s="144"/>
      <c r="W650" s="521"/>
    </row>
    <row r="651" spans="1:23" s="159" customFormat="1" ht="21.75" customHeight="1">
      <c r="A651" s="824" t="s">
        <v>1034</v>
      </c>
      <c r="B651" s="824"/>
      <c r="C651" s="788"/>
      <c r="D651" s="788"/>
      <c r="E651" s="184" t="s">
        <v>391</v>
      </c>
      <c r="F651" s="184" t="s">
        <v>391</v>
      </c>
      <c r="G651" s="184" t="s">
        <v>391</v>
      </c>
      <c r="H651" s="184"/>
      <c r="I651" s="184"/>
      <c r="J651" s="189">
        <f>SUM(J649:J650)</f>
        <v>4790.3399999999992</v>
      </c>
      <c r="K651" s="189">
        <f t="shared" ref="K651:R651" si="160">SUM(K649:K650)</f>
        <v>3597.04</v>
      </c>
      <c r="L651" s="189">
        <f t="shared" si="160"/>
        <v>3597.04</v>
      </c>
      <c r="M651" s="133">
        <f t="shared" si="160"/>
        <v>172</v>
      </c>
      <c r="N651" s="189">
        <f t="shared" si="160"/>
        <v>5712142.2000000002</v>
      </c>
      <c r="O651" s="189">
        <f t="shared" si="160"/>
        <v>0</v>
      </c>
      <c r="P651" s="189">
        <f t="shared" si="160"/>
        <v>0</v>
      </c>
      <c r="Q651" s="189">
        <f t="shared" si="160"/>
        <v>0</v>
      </c>
      <c r="R651" s="189">
        <f t="shared" si="160"/>
        <v>5712142.2000000002</v>
      </c>
      <c r="S651" s="189">
        <f>N651/K651</f>
        <v>1588.0118653114785</v>
      </c>
      <c r="T651" s="189"/>
      <c r="U651" s="188"/>
      <c r="V651" s="144"/>
      <c r="W651" s="521"/>
    </row>
    <row r="652" spans="1:23" s="159" customFormat="1" ht="9" customHeight="1">
      <c r="A652" s="826" t="s">
        <v>3</v>
      </c>
      <c r="B652" s="826"/>
      <c r="C652" s="826"/>
      <c r="D652" s="826"/>
      <c r="E652" s="826"/>
      <c r="F652" s="826"/>
      <c r="G652" s="826"/>
      <c r="H652" s="826"/>
      <c r="I652" s="826"/>
      <c r="J652" s="826"/>
      <c r="K652" s="826"/>
      <c r="L652" s="826"/>
      <c r="M652" s="826"/>
      <c r="N652" s="826"/>
      <c r="O652" s="826"/>
      <c r="P652" s="826"/>
      <c r="Q652" s="826"/>
      <c r="R652" s="826"/>
      <c r="S652" s="826"/>
      <c r="T652" s="826"/>
      <c r="U652" s="826"/>
      <c r="V652" s="144">
        <f t="shared" ref="V652:V700" si="161">T652-S652</f>
        <v>0</v>
      </c>
      <c r="W652" s="521"/>
    </row>
    <row r="653" spans="1:23" s="159" customFormat="1" ht="9" customHeight="1">
      <c r="A653" s="191">
        <v>225</v>
      </c>
      <c r="B653" s="192" t="s">
        <v>944</v>
      </c>
      <c r="C653" s="789" t="s">
        <v>1192</v>
      </c>
      <c r="D653" s="789" t="s">
        <v>111</v>
      </c>
      <c r="E653" s="191" t="s">
        <v>614</v>
      </c>
      <c r="F653" s="191"/>
      <c r="G653" s="191" t="s">
        <v>90</v>
      </c>
      <c r="H653" s="220">
        <v>2</v>
      </c>
      <c r="I653" s="220">
        <v>2</v>
      </c>
      <c r="J653" s="195">
        <v>1115.26</v>
      </c>
      <c r="K653" s="195">
        <v>577.1</v>
      </c>
      <c r="L653" s="195">
        <v>577.1</v>
      </c>
      <c r="M653" s="220">
        <v>37</v>
      </c>
      <c r="N653" s="797">
        <f>'Приложение 2'!E655</f>
        <v>1699790.4</v>
      </c>
      <c r="O653" s="195">
        <v>0</v>
      </c>
      <c r="P653" s="195">
        <v>0</v>
      </c>
      <c r="Q653" s="195">
        <v>0</v>
      </c>
      <c r="R653" s="195">
        <f>N653-Q653</f>
        <v>1699790.4</v>
      </c>
      <c r="S653" s="797">
        <f t="shared" ref="S653:S654" si="162">N653/K653</f>
        <v>2945.4001039681161</v>
      </c>
      <c r="T653" s="797">
        <v>4503.95</v>
      </c>
      <c r="U653" s="132" t="s">
        <v>589</v>
      </c>
      <c r="V653" s="144">
        <f t="shared" si="161"/>
        <v>1558.5498960318837</v>
      </c>
      <c r="W653" s="521"/>
    </row>
    <row r="654" spans="1:23" s="159" customFormat="1" ht="9" customHeight="1">
      <c r="A654" s="191">
        <v>226</v>
      </c>
      <c r="B654" s="192" t="s">
        <v>945</v>
      </c>
      <c r="C654" s="789" t="s">
        <v>1192</v>
      </c>
      <c r="D654" s="789" t="s">
        <v>111</v>
      </c>
      <c r="E654" s="191" t="s">
        <v>616</v>
      </c>
      <c r="F654" s="191"/>
      <c r="G654" s="191" t="s">
        <v>88</v>
      </c>
      <c r="H654" s="220">
        <v>2</v>
      </c>
      <c r="I654" s="220">
        <v>3</v>
      </c>
      <c r="J654" s="195">
        <v>1965.66</v>
      </c>
      <c r="K654" s="195">
        <v>995.08</v>
      </c>
      <c r="L654" s="195">
        <v>3154</v>
      </c>
      <c r="M654" s="220">
        <v>96</v>
      </c>
      <c r="N654" s="797">
        <f>'Приложение 2'!E656</f>
        <v>2858856</v>
      </c>
      <c r="O654" s="195">
        <f>SUM(O652:O652)</f>
        <v>0</v>
      </c>
      <c r="P654" s="195">
        <f>SUM(P652:P652)</f>
        <v>0</v>
      </c>
      <c r="Q654" s="195">
        <v>0</v>
      </c>
      <c r="R654" s="195">
        <f>N654-Q654</f>
        <v>2858856</v>
      </c>
      <c r="S654" s="797">
        <f t="shared" si="162"/>
        <v>2872.9911162921571</v>
      </c>
      <c r="T654" s="797">
        <v>4503.95</v>
      </c>
      <c r="U654" s="132" t="s">
        <v>589</v>
      </c>
      <c r="V654" s="144">
        <f t="shared" si="161"/>
        <v>1630.9588837078427</v>
      </c>
      <c r="W654" s="521"/>
    </row>
    <row r="655" spans="1:23" s="159" customFormat="1" ht="21" customHeight="1">
      <c r="A655" s="825" t="s">
        <v>6</v>
      </c>
      <c r="B655" s="825"/>
      <c r="C655" s="789"/>
      <c r="D655" s="789"/>
      <c r="E655" s="141" t="s">
        <v>391</v>
      </c>
      <c r="F655" s="141" t="s">
        <v>391</v>
      </c>
      <c r="G655" s="141" t="s">
        <v>391</v>
      </c>
      <c r="H655" s="141" t="s">
        <v>391</v>
      </c>
      <c r="I655" s="141" t="s">
        <v>391</v>
      </c>
      <c r="J655" s="195">
        <f t="shared" ref="J655:S655" si="163">SUM(J653:J654)</f>
        <v>3080.92</v>
      </c>
      <c r="K655" s="195">
        <f t="shared" si="163"/>
        <v>1572.18</v>
      </c>
      <c r="L655" s="195">
        <f t="shared" si="163"/>
        <v>3731.1</v>
      </c>
      <c r="M655" s="130">
        <f t="shared" si="163"/>
        <v>133</v>
      </c>
      <c r="N655" s="195">
        <f t="shared" si="163"/>
        <v>4558646.4000000004</v>
      </c>
      <c r="O655" s="195">
        <f t="shared" si="163"/>
        <v>0</v>
      </c>
      <c r="P655" s="195">
        <f t="shared" si="163"/>
        <v>0</v>
      </c>
      <c r="Q655" s="195">
        <f t="shared" si="163"/>
        <v>0</v>
      </c>
      <c r="R655" s="195">
        <f t="shared" si="163"/>
        <v>4558646.4000000004</v>
      </c>
      <c r="S655" s="195">
        <f t="shared" si="163"/>
        <v>5818.3912202602733</v>
      </c>
      <c r="T655" s="191"/>
      <c r="U655" s="196"/>
      <c r="V655" s="144">
        <f t="shared" si="161"/>
        <v>-5818.3912202602733</v>
      </c>
      <c r="W655" s="521"/>
    </row>
    <row r="656" spans="1:23" s="159" customFormat="1" ht="9" customHeight="1">
      <c r="A656" s="823" t="s">
        <v>9</v>
      </c>
      <c r="B656" s="823"/>
      <c r="C656" s="823"/>
      <c r="D656" s="823"/>
      <c r="E656" s="823"/>
      <c r="F656" s="823"/>
      <c r="G656" s="823"/>
      <c r="H656" s="823"/>
      <c r="I656" s="823"/>
      <c r="J656" s="823"/>
      <c r="K656" s="823"/>
      <c r="L656" s="823"/>
      <c r="M656" s="823"/>
      <c r="N656" s="823"/>
      <c r="O656" s="823"/>
      <c r="P656" s="823"/>
      <c r="Q656" s="823"/>
      <c r="R656" s="823"/>
      <c r="S656" s="823"/>
      <c r="T656" s="823"/>
      <c r="U656" s="823"/>
      <c r="V656" s="144">
        <f t="shared" si="161"/>
        <v>0</v>
      </c>
      <c r="W656" s="521"/>
    </row>
    <row r="657" spans="1:23" s="159" customFormat="1" ht="9" customHeight="1">
      <c r="A657" s="166">
        <v>227</v>
      </c>
      <c r="B657" s="170" t="s">
        <v>947</v>
      </c>
      <c r="C657" s="787" t="s">
        <v>1192</v>
      </c>
      <c r="D657" s="787" t="s">
        <v>111</v>
      </c>
      <c r="E657" s="166" t="s">
        <v>606</v>
      </c>
      <c r="F657" s="166"/>
      <c r="G657" s="191" t="s">
        <v>88</v>
      </c>
      <c r="H657" s="190">
        <v>2</v>
      </c>
      <c r="I657" s="190">
        <v>2</v>
      </c>
      <c r="J657" s="167">
        <v>1084.0999999999999</v>
      </c>
      <c r="K657" s="167">
        <v>615.70000000000005</v>
      </c>
      <c r="L657" s="167">
        <v>615.70000000000005</v>
      </c>
      <c r="M657" s="190">
        <v>27</v>
      </c>
      <c r="N657" s="797">
        <f>'Приложение 2'!E659</f>
        <v>1512929.88</v>
      </c>
      <c r="O657" s="167">
        <v>0</v>
      </c>
      <c r="P657" s="167">
        <v>0</v>
      </c>
      <c r="Q657" s="167">
        <v>0</v>
      </c>
      <c r="R657" s="167">
        <f>N657</f>
        <v>1512929.88</v>
      </c>
      <c r="S657" s="797">
        <f t="shared" ref="S657:S658" si="164">N657/K657</f>
        <v>2457.2517134968325</v>
      </c>
      <c r="T657" s="797">
        <v>4503.95</v>
      </c>
      <c r="U657" s="132" t="s">
        <v>589</v>
      </c>
      <c r="V657" s="144">
        <f t="shared" si="161"/>
        <v>2046.6982865031673</v>
      </c>
      <c r="W657" s="521"/>
    </row>
    <row r="658" spans="1:23" s="159" customFormat="1" ht="9" customHeight="1">
      <c r="A658" s="166">
        <v>228</v>
      </c>
      <c r="B658" s="170" t="s">
        <v>948</v>
      </c>
      <c r="C658" s="787" t="s">
        <v>1192</v>
      </c>
      <c r="D658" s="787" t="s">
        <v>111</v>
      </c>
      <c r="E658" s="166" t="s">
        <v>107</v>
      </c>
      <c r="F658" s="166"/>
      <c r="G658" s="191" t="s">
        <v>88</v>
      </c>
      <c r="H658" s="190">
        <v>2</v>
      </c>
      <c r="I658" s="190">
        <v>2</v>
      </c>
      <c r="J658" s="167">
        <v>1116.5</v>
      </c>
      <c r="K658" s="167">
        <v>648.1</v>
      </c>
      <c r="L658" s="167">
        <v>648.1</v>
      </c>
      <c r="M658" s="190">
        <v>31</v>
      </c>
      <c r="N658" s="797">
        <f>'Приложение 2'!E660</f>
        <v>1667127</v>
      </c>
      <c r="O658" s="167">
        <v>0</v>
      </c>
      <c r="P658" s="167">
        <v>0</v>
      </c>
      <c r="Q658" s="167">
        <v>0</v>
      </c>
      <c r="R658" s="167">
        <f>N658</f>
        <v>1667127</v>
      </c>
      <c r="S658" s="797">
        <f t="shared" si="164"/>
        <v>2572.3298873630611</v>
      </c>
      <c r="T658" s="797">
        <v>4503.95</v>
      </c>
      <c r="U658" s="132" t="s">
        <v>589</v>
      </c>
      <c r="V658" s="144">
        <f t="shared" si="161"/>
        <v>1931.6201126369388</v>
      </c>
      <c r="W658" s="521"/>
    </row>
    <row r="659" spans="1:23" s="159" customFormat="1" ht="21" customHeight="1">
      <c r="A659" s="820" t="s">
        <v>10</v>
      </c>
      <c r="B659" s="820"/>
      <c r="C659" s="787"/>
      <c r="D659" s="787"/>
      <c r="E659" s="141" t="s">
        <v>391</v>
      </c>
      <c r="F659" s="141" t="s">
        <v>391</v>
      </c>
      <c r="G659" s="141" t="s">
        <v>391</v>
      </c>
      <c r="H659" s="141" t="s">
        <v>391</v>
      </c>
      <c r="I659" s="141" t="s">
        <v>391</v>
      </c>
      <c r="J659" s="167">
        <f t="shared" ref="J659:R659" si="165">SUM(J657:J658)</f>
        <v>2200.6</v>
      </c>
      <c r="K659" s="167">
        <f t="shared" si="165"/>
        <v>1263.8000000000002</v>
      </c>
      <c r="L659" s="167">
        <f t="shared" si="165"/>
        <v>1263.8000000000002</v>
      </c>
      <c r="M659" s="190">
        <f t="shared" si="165"/>
        <v>58</v>
      </c>
      <c r="N659" s="167">
        <f t="shared" si="165"/>
        <v>3180056.88</v>
      </c>
      <c r="O659" s="167">
        <f t="shared" si="165"/>
        <v>0</v>
      </c>
      <c r="P659" s="167">
        <f t="shared" si="165"/>
        <v>0</v>
      </c>
      <c r="Q659" s="167">
        <f t="shared" si="165"/>
        <v>0</v>
      </c>
      <c r="R659" s="167">
        <f t="shared" si="165"/>
        <v>3180056.88</v>
      </c>
      <c r="S659" s="797">
        <f>N659/K659</f>
        <v>2516.2659281531883</v>
      </c>
      <c r="T659" s="166"/>
      <c r="U659" s="174"/>
      <c r="V659" s="144">
        <f t="shared" si="161"/>
        <v>-2516.2659281531883</v>
      </c>
      <c r="W659" s="521"/>
    </row>
    <row r="660" spans="1:23" s="159" customFormat="1" ht="9" customHeight="1">
      <c r="A660" s="823" t="s">
        <v>11</v>
      </c>
      <c r="B660" s="823"/>
      <c r="C660" s="823"/>
      <c r="D660" s="823"/>
      <c r="E660" s="823"/>
      <c r="F660" s="823"/>
      <c r="G660" s="823"/>
      <c r="H660" s="823"/>
      <c r="I660" s="823"/>
      <c r="J660" s="823"/>
      <c r="K660" s="823"/>
      <c r="L660" s="823"/>
      <c r="M660" s="823"/>
      <c r="N660" s="823"/>
      <c r="O660" s="823"/>
      <c r="P660" s="823"/>
      <c r="Q660" s="823"/>
      <c r="R660" s="823"/>
      <c r="S660" s="823"/>
      <c r="T660" s="823"/>
      <c r="U660" s="823"/>
      <c r="V660" s="144">
        <f t="shared" si="161"/>
        <v>0</v>
      </c>
      <c r="W660" s="521"/>
    </row>
    <row r="661" spans="1:23" s="159" customFormat="1" ht="9" customHeight="1">
      <c r="A661" s="166">
        <v>229</v>
      </c>
      <c r="B661" s="170" t="s">
        <v>949</v>
      </c>
      <c r="C661" s="787" t="s">
        <v>1192</v>
      </c>
      <c r="D661" s="787" t="s">
        <v>111</v>
      </c>
      <c r="E661" s="166" t="s">
        <v>952</v>
      </c>
      <c r="F661" s="166"/>
      <c r="G661" s="191" t="s">
        <v>88</v>
      </c>
      <c r="H661" s="190">
        <v>2</v>
      </c>
      <c r="I661" s="190">
        <v>1</v>
      </c>
      <c r="J661" s="167">
        <v>398.1</v>
      </c>
      <c r="K661" s="167">
        <v>366.6</v>
      </c>
      <c r="L661" s="167">
        <v>366.6</v>
      </c>
      <c r="M661" s="190">
        <v>13</v>
      </c>
      <c r="N661" s="797">
        <f>'Приложение 2'!E663</f>
        <v>543312</v>
      </c>
      <c r="O661" s="167">
        <v>0</v>
      </c>
      <c r="P661" s="167">
        <v>0</v>
      </c>
      <c r="Q661" s="167">
        <v>0</v>
      </c>
      <c r="R661" s="167">
        <f t="shared" ref="R661:R663" si="166">N661</f>
        <v>543312</v>
      </c>
      <c r="S661" s="797">
        <f t="shared" ref="S661:S663" si="167">N661/K661</f>
        <v>1482.0294599018002</v>
      </c>
      <c r="T661" s="797">
        <v>4503.95</v>
      </c>
      <c r="U661" s="132" t="s">
        <v>589</v>
      </c>
      <c r="V661" s="144">
        <f t="shared" si="161"/>
        <v>3021.9205400981996</v>
      </c>
      <c r="W661" s="521"/>
    </row>
    <row r="662" spans="1:23" s="159" customFormat="1" ht="9" customHeight="1">
      <c r="A662" s="166">
        <v>230</v>
      </c>
      <c r="B662" s="170" t="s">
        <v>950</v>
      </c>
      <c r="C662" s="787" t="s">
        <v>1192</v>
      </c>
      <c r="D662" s="787" t="s">
        <v>111</v>
      </c>
      <c r="E662" s="166" t="s">
        <v>611</v>
      </c>
      <c r="F662" s="166"/>
      <c r="G662" s="191" t="s">
        <v>88</v>
      </c>
      <c r="H662" s="190">
        <v>2</v>
      </c>
      <c r="I662" s="190">
        <v>2</v>
      </c>
      <c r="J662" s="167">
        <v>907.9</v>
      </c>
      <c r="K662" s="167">
        <v>844.1</v>
      </c>
      <c r="L662" s="167">
        <v>844.1</v>
      </c>
      <c r="M662" s="190">
        <v>37</v>
      </c>
      <c r="N662" s="797">
        <f>'Приложение 2'!E664</f>
        <v>1775466</v>
      </c>
      <c r="O662" s="167">
        <v>0</v>
      </c>
      <c r="P662" s="167">
        <v>0</v>
      </c>
      <c r="Q662" s="167">
        <v>0</v>
      </c>
      <c r="R662" s="167">
        <f t="shared" si="166"/>
        <v>1775466</v>
      </c>
      <c r="S662" s="797">
        <f t="shared" si="167"/>
        <v>2103.3834853690319</v>
      </c>
      <c r="T662" s="797">
        <v>4503.95</v>
      </c>
      <c r="U662" s="132" t="s">
        <v>589</v>
      </c>
      <c r="V662" s="144">
        <f t="shared" si="161"/>
        <v>2400.566514630968</v>
      </c>
      <c r="W662" s="521"/>
    </row>
    <row r="663" spans="1:23" s="159" customFormat="1" ht="9" customHeight="1">
      <c r="A663" s="166">
        <v>231</v>
      </c>
      <c r="B663" s="170" t="s">
        <v>951</v>
      </c>
      <c r="C663" s="787" t="s">
        <v>1192</v>
      </c>
      <c r="D663" s="787" t="s">
        <v>111</v>
      </c>
      <c r="E663" s="166" t="s">
        <v>591</v>
      </c>
      <c r="F663" s="166"/>
      <c r="G663" s="191" t="s">
        <v>88</v>
      </c>
      <c r="H663" s="190">
        <v>2</v>
      </c>
      <c r="I663" s="190">
        <v>1</v>
      </c>
      <c r="J663" s="167">
        <v>353.8</v>
      </c>
      <c r="K663" s="167">
        <v>335.6</v>
      </c>
      <c r="L663" s="167">
        <v>335.6</v>
      </c>
      <c r="M663" s="190">
        <v>21</v>
      </c>
      <c r="N663" s="797">
        <f>'Приложение 2'!E665</f>
        <v>1209516</v>
      </c>
      <c r="O663" s="167">
        <v>0</v>
      </c>
      <c r="P663" s="167">
        <v>0</v>
      </c>
      <c r="Q663" s="167">
        <v>0</v>
      </c>
      <c r="R663" s="167">
        <f t="shared" si="166"/>
        <v>1209516</v>
      </c>
      <c r="S663" s="797">
        <f t="shared" si="167"/>
        <v>3604.0405244338494</v>
      </c>
      <c r="T663" s="797">
        <v>4503.95</v>
      </c>
      <c r="U663" s="132" t="s">
        <v>589</v>
      </c>
      <c r="V663" s="144">
        <f t="shared" si="161"/>
        <v>899.90947556615038</v>
      </c>
      <c r="W663" s="521"/>
    </row>
    <row r="664" spans="1:23" s="198" customFormat="1" ht="21" customHeight="1">
      <c r="A664" s="820" t="s">
        <v>12</v>
      </c>
      <c r="B664" s="820"/>
      <c r="C664" s="787"/>
      <c r="D664" s="787"/>
      <c r="E664" s="141" t="s">
        <v>391</v>
      </c>
      <c r="F664" s="141" t="s">
        <v>391</v>
      </c>
      <c r="G664" s="141" t="s">
        <v>391</v>
      </c>
      <c r="H664" s="141" t="s">
        <v>391</v>
      </c>
      <c r="I664" s="141" t="s">
        <v>391</v>
      </c>
      <c r="J664" s="167">
        <f t="shared" ref="J664:R664" si="168">SUM(J661:J663)</f>
        <v>1659.8</v>
      </c>
      <c r="K664" s="167">
        <f t="shared" si="168"/>
        <v>1546.3000000000002</v>
      </c>
      <c r="L664" s="167">
        <f t="shared" si="168"/>
        <v>1546.3000000000002</v>
      </c>
      <c r="M664" s="130">
        <f t="shared" si="168"/>
        <v>71</v>
      </c>
      <c r="N664" s="167">
        <f t="shared" si="168"/>
        <v>3528294</v>
      </c>
      <c r="O664" s="167">
        <f t="shared" si="168"/>
        <v>0</v>
      </c>
      <c r="P664" s="167">
        <f t="shared" si="168"/>
        <v>0</v>
      </c>
      <c r="Q664" s="167">
        <f t="shared" si="168"/>
        <v>0</v>
      </c>
      <c r="R664" s="167">
        <f t="shared" si="168"/>
        <v>3528294</v>
      </c>
      <c r="S664" s="797">
        <f>N664/K664</f>
        <v>2281.7655047532817</v>
      </c>
      <c r="T664" s="166"/>
      <c r="U664" s="174"/>
      <c r="V664" s="144">
        <f t="shared" si="161"/>
        <v>-2281.7655047532817</v>
      </c>
      <c r="W664" s="521"/>
    </row>
    <row r="665" spans="1:23" s="198" customFormat="1" ht="9" customHeight="1">
      <c r="A665" s="823" t="s">
        <v>1062</v>
      </c>
      <c r="B665" s="823"/>
      <c r="C665" s="823"/>
      <c r="D665" s="823"/>
      <c r="E665" s="823"/>
      <c r="F665" s="823"/>
      <c r="G665" s="823"/>
      <c r="H665" s="823"/>
      <c r="I665" s="823"/>
      <c r="J665" s="823"/>
      <c r="K665" s="823"/>
      <c r="L665" s="823"/>
      <c r="M665" s="823"/>
      <c r="N665" s="823"/>
      <c r="O665" s="823"/>
      <c r="P665" s="823"/>
      <c r="Q665" s="823"/>
      <c r="R665" s="823"/>
      <c r="S665" s="823"/>
      <c r="T665" s="823"/>
      <c r="U665" s="823"/>
      <c r="V665" s="144">
        <f t="shared" si="161"/>
        <v>0</v>
      </c>
      <c r="W665" s="521"/>
    </row>
    <row r="666" spans="1:23" s="198" customFormat="1" ht="9" customHeight="1">
      <c r="A666" s="787">
        <v>232</v>
      </c>
      <c r="B666" s="787" t="s">
        <v>958</v>
      </c>
      <c r="C666" s="787" t="s">
        <v>1192</v>
      </c>
      <c r="D666" s="787" t="s">
        <v>110</v>
      </c>
      <c r="E666" s="141" t="s">
        <v>618</v>
      </c>
      <c r="F666" s="141"/>
      <c r="G666" s="141" t="s">
        <v>88</v>
      </c>
      <c r="H666" s="259">
        <v>2</v>
      </c>
      <c r="I666" s="259">
        <v>3</v>
      </c>
      <c r="J666" s="167">
        <v>934.9</v>
      </c>
      <c r="K666" s="167">
        <v>873.5</v>
      </c>
      <c r="L666" s="167">
        <v>873.5</v>
      </c>
      <c r="M666" s="190">
        <v>27</v>
      </c>
      <c r="N666" s="797">
        <f>'Приложение 2'!E668</f>
        <v>2790558</v>
      </c>
      <c r="O666" s="167">
        <v>0</v>
      </c>
      <c r="P666" s="167">
        <v>0</v>
      </c>
      <c r="Q666" s="167">
        <v>0</v>
      </c>
      <c r="R666" s="167">
        <f>N666</f>
        <v>2790558</v>
      </c>
      <c r="S666" s="797">
        <f>N666/K666</f>
        <v>3194.6857469948482</v>
      </c>
      <c r="T666" s="797">
        <v>4180</v>
      </c>
      <c r="U666" s="132" t="s">
        <v>589</v>
      </c>
      <c r="V666" s="144">
        <f t="shared" si="161"/>
        <v>985.31425300515184</v>
      </c>
      <c r="W666" s="521"/>
    </row>
    <row r="667" spans="1:23" s="198" customFormat="1" ht="21" customHeight="1">
      <c r="A667" s="820" t="s">
        <v>1063</v>
      </c>
      <c r="B667" s="820"/>
      <c r="C667" s="787"/>
      <c r="D667" s="787"/>
      <c r="E667" s="141" t="s">
        <v>391</v>
      </c>
      <c r="F667" s="141" t="s">
        <v>391</v>
      </c>
      <c r="G667" s="141" t="s">
        <v>391</v>
      </c>
      <c r="H667" s="141" t="s">
        <v>391</v>
      </c>
      <c r="I667" s="141" t="s">
        <v>391</v>
      </c>
      <c r="J667" s="167">
        <f>SUM(J666)</f>
        <v>934.9</v>
      </c>
      <c r="K667" s="167">
        <f t="shared" ref="K667:R667" si="169">SUM(K666)</f>
        <v>873.5</v>
      </c>
      <c r="L667" s="167">
        <f t="shared" si="169"/>
        <v>873.5</v>
      </c>
      <c r="M667" s="130">
        <f t="shared" si="169"/>
        <v>27</v>
      </c>
      <c r="N667" s="167">
        <f t="shared" si="169"/>
        <v>2790558</v>
      </c>
      <c r="O667" s="167">
        <f t="shared" si="169"/>
        <v>0</v>
      </c>
      <c r="P667" s="167">
        <f t="shared" si="169"/>
        <v>0</v>
      </c>
      <c r="Q667" s="167">
        <f t="shared" si="169"/>
        <v>0</v>
      </c>
      <c r="R667" s="167">
        <f t="shared" si="169"/>
        <v>2790558</v>
      </c>
      <c r="S667" s="797">
        <f>N667/K667</f>
        <v>3194.6857469948482</v>
      </c>
      <c r="T667" s="166"/>
      <c r="U667" s="174"/>
      <c r="V667" s="144">
        <f t="shared" si="161"/>
        <v>-3194.6857469948482</v>
      </c>
      <c r="W667" s="521"/>
    </row>
    <row r="668" spans="1:23" s="198" customFormat="1" ht="9" customHeight="1">
      <c r="A668" s="823" t="s">
        <v>429</v>
      </c>
      <c r="B668" s="823"/>
      <c r="C668" s="823"/>
      <c r="D668" s="823"/>
      <c r="E668" s="823"/>
      <c r="F668" s="823"/>
      <c r="G668" s="823"/>
      <c r="H668" s="823"/>
      <c r="I668" s="823"/>
      <c r="J668" s="823"/>
      <c r="K668" s="823"/>
      <c r="L668" s="823"/>
      <c r="M668" s="823"/>
      <c r="N668" s="823"/>
      <c r="O668" s="823"/>
      <c r="P668" s="823"/>
      <c r="Q668" s="823"/>
      <c r="R668" s="823"/>
      <c r="S668" s="823"/>
      <c r="T668" s="823"/>
      <c r="U668" s="823"/>
      <c r="V668" s="144">
        <f t="shared" si="161"/>
        <v>0</v>
      </c>
      <c r="W668" s="521"/>
    </row>
    <row r="669" spans="1:23" s="198" customFormat="1" ht="9" customHeight="1">
      <c r="A669" s="794">
        <v>233</v>
      </c>
      <c r="B669" s="156" t="s">
        <v>960</v>
      </c>
      <c r="C669" s="785" t="s">
        <v>1192</v>
      </c>
      <c r="D669" s="785" t="s">
        <v>111</v>
      </c>
      <c r="E669" s="794" t="s">
        <v>607</v>
      </c>
      <c r="F669" s="794"/>
      <c r="G669" s="794" t="s">
        <v>88</v>
      </c>
      <c r="H669" s="130">
        <v>2</v>
      </c>
      <c r="I669" s="130">
        <v>3</v>
      </c>
      <c r="J669" s="797">
        <v>996.3</v>
      </c>
      <c r="K669" s="797">
        <v>894.2</v>
      </c>
      <c r="L669" s="797">
        <v>894.2</v>
      </c>
      <c r="M669" s="794">
        <v>41</v>
      </c>
      <c r="N669" s="797">
        <f>'Приложение 2'!E671</f>
        <v>2170014</v>
      </c>
      <c r="O669" s="797">
        <v>0</v>
      </c>
      <c r="P669" s="797">
        <v>0</v>
      </c>
      <c r="Q669" s="797">
        <v>0</v>
      </c>
      <c r="R669" s="797">
        <f>N669</f>
        <v>2170014</v>
      </c>
      <c r="S669" s="797">
        <f t="shared" ref="S669" si="170">N669/K669</f>
        <v>2426.7658242004027</v>
      </c>
      <c r="T669" s="797">
        <v>4503.95</v>
      </c>
      <c r="U669" s="132" t="s">
        <v>589</v>
      </c>
      <c r="V669" s="144">
        <f t="shared" si="161"/>
        <v>2077.1841757995971</v>
      </c>
      <c r="W669" s="521"/>
    </row>
    <row r="670" spans="1:23" s="198" customFormat="1" ht="21" customHeight="1">
      <c r="A670" s="822" t="s">
        <v>430</v>
      </c>
      <c r="B670" s="822"/>
      <c r="C670" s="785"/>
      <c r="D670" s="785"/>
      <c r="E670" s="141" t="s">
        <v>391</v>
      </c>
      <c r="F670" s="141" t="s">
        <v>391</v>
      </c>
      <c r="G670" s="141" t="s">
        <v>391</v>
      </c>
      <c r="H670" s="141" t="s">
        <v>391</v>
      </c>
      <c r="I670" s="141" t="s">
        <v>391</v>
      </c>
      <c r="J670" s="797">
        <f t="shared" ref="J670:R670" si="171">SUM(J669:J669)</f>
        <v>996.3</v>
      </c>
      <c r="K670" s="797">
        <f t="shared" si="171"/>
        <v>894.2</v>
      </c>
      <c r="L670" s="797">
        <f t="shared" si="171"/>
        <v>894.2</v>
      </c>
      <c r="M670" s="130">
        <f t="shared" si="171"/>
        <v>41</v>
      </c>
      <c r="N670" s="797">
        <f t="shared" si="171"/>
        <v>2170014</v>
      </c>
      <c r="O670" s="797">
        <f t="shared" si="171"/>
        <v>0</v>
      </c>
      <c r="P670" s="797">
        <f t="shared" si="171"/>
        <v>0</v>
      </c>
      <c r="Q670" s="797">
        <f t="shared" si="171"/>
        <v>0</v>
      </c>
      <c r="R670" s="797">
        <f t="shared" si="171"/>
        <v>2170014</v>
      </c>
      <c r="S670" s="797">
        <f>N670/K670</f>
        <v>2426.7658242004027</v>
      </c>
      <c r="T670" s="802"/>
      <c r="U670" s="132"/>
      <c r="V670" s="144">
        <f t="shared" si="161"/>
        <v>-2426.7658242004027</v>
      </c>
      <c r="W670" s="521"/>
    </row>
    <row r="671" spans="1:23" s="198" customFormat="1" ht="9" customHeight="1">
      <c r="A671" s="823" t="s">
        <v>1083</v>
      </c>
      <c r="B671" s="823"/>
      <c r="C671" s="823"/>
      <c r="D671" s="823"/>
      <c r="E671" s="823"/>
      <c r="F671" s="823"/>
      <c r="G671" s="823"/>
      <c r="H671" s="823"/>
      <c r="I671" s="823"/>
      <c r="J671" s="823"/>
      <c r="K671" s="823"/>
      <c r="L671" s="823"/>
      <c r="M671" s="823"/>
      <c r="N671" s="823"/>
      <c r="O671" s="823"/>
      <c r="P671" s="823"/>
      <c r="Q671" s="823"/>
      <c r="R671" s="823"/>
      <c r="S671" s="823"/>
      <c r="T671" s="823"/>
      <c r="U671" s="823"/>
      <c r="V671" s="144">
        <f t="shared" si="161"/>
        <v>0</v>
      </c>
      <c r="W671" s="521"/>
    </row>
    <row r="672" spans="1:23" s="198" customFormat="1" ht="9" customHeight="1">
      <c r="A672" s="785">
        <v>234</v>
      </c>
      <c r="B672" s="785" t="s">
        <v>962</v>
      </c>
      <c r="C672" s="613" t="s">
        <v>1192</v>
      </c>
      <c r="D672" s="794" t="s">
        <v>111</v>
      </c>
      <c r="E672" s="141" t="s">
        <v>612</v>
      </c>
      <c r="F672" s="141"/>
      <c r="G672" s="141" t="s">
        <v>88</v>
      </c>
      <c r="H672" s="259">
        <v>2</v>
      </c>
      <c r="I672" s="259">
        <v>2</v>
      </c>
      <c r="J672" s="797">
        <v>311.3</v>
      </c>
      <c r="K672" s="797">
        <v>297.10000000000002</v>
      </c>
      <c r="L672" s="797">
        <v>297.10000000000002</v>
      </c>
      <c r="M672" s="794">
        <v>12</v>
      </c>
      <c r="N672" s="797">
        <f>'Приложение 2'!E674</f>
        <v>1067220</v>
      </c>
      <c r="O672" s="797">
        <v>0</v>
      </c>
      <c r="P672" s="797">
        <v>0</v>
      </c>
      <c r="Q672" s="797">
        <v>0</v>
      </c>
      <c r="R672" s="797">
        <f>N672</f>
        <v>1067220</v>
      </c>
      <c r="S672" s="797">
        <f>R672/K672</f>
        <v>3592.1238640188485</v>
      </c>
      <c r="T672" s="797">
        <v>4503.95</v>
      </c>
      <c r="U672" s="132" t="s">
        <v>589</v>
      </c>
      <c r="V672" s="144">
        <f t="shared" si="161"/>
        <v>911.82613598115131</v>
      </c>
      <c r="W672" s="521"/>
    </row>
    <row r="673" spans="1:23" s="198" customFormat="1" ht="20.25" customHeight="1">
      <c r="A673" s="822" t="s">
        <v>1084</v>
      </c>
      <c r="B673" s="822"/>
      <c r="C673" s="794"/>
      <c r="D673" s="794"/>
      <c r="E673" s="141" t="s">
        <v>391</v>
      </c>
      <c r="F673" s="141" t="s">
        <v>391</v>
      </c>
      <c r="G673" s="141" t="s">
        <v>391</v>
      </c>
      <c r="H673" s="141" t="s">
        <v>391</v>
      </c>
      <c r="I673" s="141" t="s">
        <v>391</v>
      </c>
      <c r="J673" s="797">
        <f>SUM(J672)</f>
        <v>311.3</v>
      </c>
      <c r="K673" s="797">
        <f t="shared" ref="K673:R673" si="172">SUM(K672)</f>
        <v>297.10000000000002</v>
      </c>
      <c r="L673" s="797">
        <f t="shared" si="172"/>
        <v>297.10000000000002</v>
      </c>
      <c r="M673" s="130">
        <f t="shared" si="172"/>
        <v>12</v>
      </c>
      <c r="N673" s="797">
        <f t="shared" si="172"/>
        <v>1067220</v>
      </c>
      <c r="O673" s="797">
        <f t="shared" si="172"/>
        <v>0</v>
      </c>
      <c r="P673" s="797">
        <f t="shared" si="172"/>
        <v>0</v>
      </c>
      <c r="Q673" s="797">
        <f t="shared" si="172"/>
        <v>0</v>
      </c>
      <c r="R673" s="797">
        <f t="shared" si="172"/>
        <v>1067220</v>
      </c>
      <c r="S673" s="797">
        <f>N673/K673</f>
        <v>3592.1238640188485</v>
      </c>
      <c r="T673" s="802"/>
      <c r="U673" s="132"/>
      <c r="V673" s="144">
        <f t="shared" si="161"/>
        <v>-3592.1238640188485</v>
      </c>
      <c r="W673" s="521"/>
    </row>
    <row r="674" spans="1:23" s="198" customFormat="1" ht="9" customHeight="1">
      <c r="A674" s="821" t="s">
        <v>29</v>
      </c>
      <c r="B674" s="821"/>
      <c r="C674" s="821"/>
      <c r="D674" s="821"/>
      <c r="E674" s="821"/>
      <c r="F674" s="821"/>
      <c r="G674" s="821"/>
      <c r="H674" s="821"/>
      <c r="I674" s="821"/>
      <c r="J674" s="821"/>
      <c r="K674" s="821"/>
      <c r="L674" s="821"/>
      <c r="M674" s="821"/>
      <c r="N674" s="821"/>
      <c r="O674" s="821"/>
      <c r="P674" s="821"/>
      <c r="Q674" s="821"/>
      <c r="R674" s="821"/>
      <c r="S674" s="821"/>
      <c r="T674" s="821"/>
      <c r="U674" s="821"/>
      <c r="V674" s="144">
        <f t="shared" si="161"/>
        <v>0</v>
      </c>
      <c r="W674" s="521"/>
    </row>
    <row r="675" spans="1:23" s="198" customFormat="1" ht="9" customHeight="1">
      <c r="A675" s="794">
        <v>235</v>
      </c>
      <c r="B675" s="156" t="s">
        <v>963</v>
      </c>
      <c r="C675" s="785" t="s">
        <v>1192</v>
      </c>
      <c r="D675" s="785" t="s">
        <v>111</v>
      </c>
      <c r="E675" s="794" t="s">
        <v>613</v>
      </c>
      <c r="F675" s="794"/>
      <c r="G675" s="794" t="s">
        <v>88</v>
      </c>
      <c r="H675" s="130">
        <v>2</v>
      </c>
      <c r="I675" s="130">
        <v>1</v>
      </c>
      <c r="J675" s="797">
        <v>862.2</v>
      </c>
      <c r="K675" s="797">
        <v>656</v>
      </c>
      <c r="L675" s="797">
        <v>620.79999999999995</v>
      </c>
      <c r="M675" s="130">
        <v>49</v>
      </c>
      <c r="N675" s="797">
        <f>'Приложение 2'!E677</f>
        <v>2267034</v>
      </c>
      <c r="O675" s="797">
        <v>0</v>
      </c>
      <c r="P675" s="797">
        <v>0</v>
      </c>
      <c r="Q675" s="797">
        <v>0</v>
      </c>
      <c r="R675" s="797">
        <f t="shared" ref="R675:R677" si="173">N675</f>
        <v>2267034</v>
      </c>
      <c r="S675" s="797">
        <f t="shared" ref="S675:S677" si="174">N675/K675</f>
        <v>3455.8445121951218</v>
      </c>
      <c r="T675" s="797">
        <v>4503.95</v>
      </c>
      <c r="U675" s="132" t="s">
        <v>589</v>
      </c>
      <c r="V675" s="144">
        <f t="shared" si="161"/>
        <v>1048.1054878048781</v>
      </c>
      <c r="W675" s="521"/>
    </row>
    <row r="676" spans="1:23" s="198" customFormat="1" ht="9" customHeight="1">
      <c r="A676" s="794">
        <v>236</v>
      </c>
      <c r="B676" s="156" t="s">
        <v>964</v>
      </c>
      <c r="C676" s="785" t="s">
        <v>1192</v>
      </c>
      <c r="D676" s="785" t="s">
        <v>111</v>
      </c>
      <c r="E676" s="794" t="s">
        <v>107</v>
      </c>
      <c r="F676" s="794"/>
      <c r="G676" s="794" t="s">
        <v>88</v>
      </c>
      <c r="H676" s="130">
        <v>2</v>
      </c>
      <c r="I676" s="130">
        <v>1</v>
      </c>
      <c r="J676" s="797">
        <v>309</v>
      </c>
      <c r="K676" s="797">
        <v>284.5</v>
      </c>
      <c r="L676" s="797">
        <v>284.5</v>
      </c>
      <c r="M676" s="130">
        <v>9</v>
      </c>
      <c r="N676" s="797">
        <f>'Приложение 2'!E678</f>
        <v>853776</v>
      </c>
      <c r="O676" s="797">
        <v>0</v>
      </c>
      <c r="P676" s="797">
        <v>0</v>
      </c>
      <c r="Q676" s="797">
        <v>0</v>
      </c>
      <c r="R676" s="797">
        <f t="shared" si="173"/>
        <v>853776</v>
      </c>
      <c r="S676" s="797">
        <f t="shared" si="174"/>
        <v>3000.970123022847</v>
      </c>
      <c r="T676" s="797">
        <v>4503.95</v>
      </c>
      <c r="U676" s="132" t="s">
        <v>589</v>
      </c>
      <c r="V676" s="144">
        <f t="shared" si="161"/>
        <v>1502.9798769771528</v>
      </c>
      <c r="W676" s="521"/>
    </row>
    <row r="677" spans="1:23" s="198" customFormat="1" ht="9" customHeight="1">
      <c r="A677" s="794">
        <v>237</v>
      </c>
      <c r="B677" s="156" t="s">
        <v>965</v>
      </c>
      <c r="C677" s="785" t="s">
        <v>1192</v>
      </c>
      <c r="D677" s="785" t="s">
        <v>111</v>
      </c>
      <c r="E677" s="794" t="s">
        <v>615</v>
      </c>
      <c r="F677" s="794"/>
      <c r="G677" s="794" t="s">
        <v>88</v>
      </c>
      <c r="H677" s="130">
        <v>2</v>
      </c>
      <c r="I677" s="130">
        <v>2</v>
      </c>
      <c r="J677" s="797">
        <v>574</v>
      </c>
      <c r="K677" s="797">
        <v>525.6</v>
      </c>
      <c r="L677" s="797">
        <v>525.6</v>
      </c>
      <c r="M677" s="130">
        <v>21</v>
      </c>
      <c r="N677" s="797">
        <f>'Приложение 2'!E679</f>
        <v>1578192</v>
      </c>
      <c r="O677" s="797">
        <v>0</v>
      </c>
      <c r="P677" s="797">
        <v>0</v>
      </c>
      <c r="Q677" s="797">
        <v>0</v>
      </c>
      <c r="R677" s="797">
        <f t="shared" si="173"/>
        <v>1578192</v>
      </c>
      <c r="S677" s="797">
        <f t="shared" si="174"/>
        <v>3002.6484018264837</v>
      </c>
      <c r="T677" s="797">
        <v>4503.95</v>
      </c>
      <c r="U677" s="132" t="s">
        <v>589</v>
      </c>
      <c r="V677" s="144">
        <f t="shared" si="161"/>
        <v>1501.3015981735161</v>
      </c>
      <c r="W677" s="521"/>
    </row>
    <row r="678" spans="1:23" s="198" customFormat="1" ht="21" customHeight="1">
      <c r="A678" s="822" t="s">
        <v>30</v>
      </c>
      <c r="B678" s="822"/>
      <c r="C678" s="785"/>
      <c r="D678" s="785"/>
      <c r="E678" s="141" t="s">
        <v>391</v>
      </c>
      <c r="F678" s="141" t="s">
        <v>391</v>
      </c>
      <c r="G678" s="141" t="s">
        <v>391</v>
      </c>
      <c r="H678" s="141" t="s">
        <v>391</v>
      </c>
      <c r="I678" s="141" t="s">
        <v>391</v>
      </c>
      <c r="J678" s="797">
        <f t="shared" ref="J678:R678" si="175">SUM(J675:J677)</f>
        <v>1745.2</v>
      </c>
      <c r="K678" s="797">
        <f t="shared" si="175"/>
        <v>1466.1</v>
      </c>
      <c r="L678" s="797">
        <f t="shared" si="175"/>
        <v>1430.9</v>
      </c>
      <c r="M678" s="130">
        <f t="shared" si="175"/>
        <v>79</v>
      </c>
      <c r="N678" s="797">
        <f t="shared" si="175"/>
        <v>4699002</v>
      </c>
      <c r="O678" s="797">
        <f t="shared" si="175"/>
        <v>0</v>
      </c>
      <c r="P678" s="797">
        <f t="shared" si="175"/>
        <v>0</v>
      </c>
      <c r="Q678" s="797">
        <f t="shared" si="175"/>
        <v>0</v>
      </c>
      <c r="R678" s="797">
        <f t="shared" si="175"/>
        <v>4699002</v>
      </c>
      <c r="S678" s="797">
        <f>N678/K678</f>
        <v>3205.1033353795788</v>
      </c>
      <c r="T678" s="797"/>
      <c r="U678" s="132"/>
      <c r="V678" s="144">
        <f t="shared" si="161"/>
        <v>-3205.1033353795788</v>
      </c>
      <c r="W678" s="521"/>
    </row>
    <row r="679" spans="1:23" s="198" customFormat="1" ht="9" customHeight="1">
      <c r="A679" s="821" t="s">
        <v>35</v>
      </c>
      <c r="B679" s="821"/>
      <c r="C679" s="821"/>
      <c r="D679" s="821"/>
      <c r="E679" s="821"/>
      <c r="F679" s="821"/>
      <c r="G679" s="821"/>
      <c r="H679" s="821"/>
      <c r="I679" s="821"/>
      <c r="J679" s="821"/>
      <c r="K679" s="821"/>
      <c r="L679" s="821"/>
      <c r="M679" s="821"/>
      <c r="N679" s="821"/>
      <c r="O679" s="821"/>
      <c r="P679" s="821"/>
      <c r="Q679" s="821"/>
      <c r="R679" s="821"/>
      <c r="S679" s="821"/>
      <c r="T679" s="821"/>
      <c r="U679" s="821"/>
      <c r="V679" s="144">
        <f t="shared" si="161"/>
        <v>0</v>
      </c>
      <c r="W679" s="521"/>
    </row>
    <row r="680" spans="1:23" s="198" customFormat="1" ht="9" customHeight="1">
      <c r="A680" s="794">
        <v>238</v>
      </c>
      <c r="B680" s="156" t="s">
        <v>968</v>
      </c>
      <c r="C680" s="785" t="s">
        <v>1192</v>
      </c>
      <c r="D680" s="785" t="s">
        <v>110</v>
      </c>
      <c r="E680" s="794" t="s">
        <v>597</v>
      </c>
      <c r="F680" s="794"/>
      <c r="G680" s="794" t="s">
        <v>88</v>
      </c>
      <c r="H680" s="130">
        <v>2</v>
      </c>
      <c r="I680" s="130">
        <v>1</v>
      </c>
      <c r="J680" s="797">
        <v>465</v>
      </c>
      <c r="K680" s="797">
        <v>360</v>
      </c>
      <c r="L680" s="797">
        <v>305</v>
      </c>
      <c r="M680" s="130">
        <v>32</v>
      </c>
      <c r="N680" s="797">
        <f>'Приложение 2'!E682</f>
        <v>1500300</v>
      </c>
      <c r="O680" s="797">
        <v>0</v>
      </c>
      <c r="P680" s="797">
        <v>0</v>
      </c>
      <c r="Q680" s="797">
        <v>0</v>
      </c>
      <c r="R680" s="797">
        <f t="shared" ref="R680:R686" si="176">N680</f>
        <v>1500300</v>
      </c>
      <c r="S680" s="797">
        <f t="shared" ref="S680:S686" si="177">N680/K680</f>
        <v>4167.5</v>
      </c>
      <c r="T680" s="797">
        <v>4180</v>
      </c>
      <c r="U680" s="132" t="s">
        <v>589</v>
      </c>
      <c r="V680" s="144">
        <f t="shared" si="161"/>
        <v>12.5</v>
      </c>
      <c r="W680" s="521"/>
    </row>
    <row r="681" spans="1:23" s="198" customFormat="1" ht="9" customHeight="1">
      <c r="A681" s="794">
        <v>239</v>
      </c>
      <c r="B681" s="156" t="s">
        <v>969</v>
      </c>
      <c r="C681" s="785" t="s">
        <v>1192</v>
      </c>
      <c r="D681" s="785" t="s">
        <v>110</v>
      </c>
      <c r="E681" s="794" t="s">
        <v>616</v>
      </c>
      <c r="F681" s="794"/>
      <c r="G681" s="794" t="s">
        <v>88</v>
      </c>
      <c r="H681" s="130">
        <v>2</v>
      </c>
      <c r="I681" s="130">
        <v>1</v>
      </c>
      <c r="J681" s="797">
        <v>465</v>
      </c>
      <c r="K681" s="797">
        <v>368</v>
      </c>
      <c r="L681" s="797">
        <v>61</v>
      </c>
      <c r="M681" s="130">
        <v>13</v>
      </c>
      <c r="N681" s="797">
        <f>'Приложение 2'!E683</f>
        <v>1143562</v>
      </c>
      <c r="O681" s="797">
        <v>0</v>
      </c>
      <c r="P681" s="797">
        <v>0</v>
      </c>
      <c r="Q681" s="797">
        <v>0</v>
      </c>
      <c r="R681" s="797">
        <f t="shared" si="176"/>
        <v>1143562</v>
      </c>
      <c r="S681" s="797">
        <f t="shared" si="177"/>
        <v>3107.5054347826085</v>
      </c>
      <c r="T681" s="797">
        <v>4180</v>
      </c>
      <c r="U681" s="132" t="s">
        <v>589</v>
      </c>
      <c r="V681" s="144">
        <f t="shared" si="161"/>
        <v>1072.4945652173915</v>
      </c>
      <c r="W681" s="521"/>
    </row>
    <row r="682" spans="1:23" s="198" customFormat="1" ht="9" customHeight="1">
      <c r="A682" s="794">
        <v>240</v>
      </c>
      <c r="B682" s="156" t="s">
        <v>970</v>
      </c>
      <c r="C682" s="785" t="s">
        <v>1192</v>
      </c>
      <c r="D682" s="785" t="s">
        <v>111</v>
      </c>
      <c r="E682" s="794" t="s">
        <v>611</v>
      </c>
      <c r="F682" s="794"/>
      <c r="G682" s="794" t="s">
        <v>88</v>
      </c>
      <c r="H682" s="130">
        <v>2</v>
      </c>
      <c r="I682" s="130">
        <v>1</v>
      </c>
      <c r="J682" s="797">
        <v>445.7</v>
      </c>
      <c r="K682" s="797">
        <v>373.1</v>
      </c>
      <c r="L682" s="797">
        <v>247</v>
      </c>
      <c r="M682" s="130">
        <v>15</v>
      </c>
      <c r="N682" s="797">
        <f>'Приложение 2'!E684</f>
        <v>1183644</v>
      </c>
      <c r="O682" s="797">
        <v>0</v>
      </c>
      <c r="P682" s="797">
        <v>0</v>
      </c>
      <c r="Q682" s="797">
        <v>0</v>
      </c>
      <c r="R682" s="797">
        <f t="shared" si="176"/>
        <v>1183644</v>
      </c>
      <c r="S682" s="797">
        <f t="shared" si="177"/>
        <v>3172.4577861163225</v>
      </c>
      <c r="T682" s="797">
        <v>4503.95</v>
      </c>
      <c r="U682" s="132" t="s">
        <v>589</v>
      </c>
      <c r="V682" s="144">
        <f t="shared" si="161"/>
        <v>1331.4922138836773</v>
      </c>
      <c r="W682" s="521"/>
    </row>
    <row r="683" spans="1:23" s="198" customFormat="1" ht="9" customHeight="1">
      <c r="A683" s="794">
        <v>241</v>
      </c>
      <c r="B683" s="156" t="s">
        <v>971</v>
      </c>
      <c r="C683" s="785" t="s">
        <v>1192</v>
      </c>
      <c r="D683" s="785" t="s">
        <v>111</v>
      </c>
      <c r="E683" s="794" t="s">
        <v>748</v>
      </c>
      <c r="F683" s="794"/>
      <c r="G683" s="794" t="s">
        <v>88</v>
      </c>
      <c r="H683" s="130">
        <v>2</v>
      </c>
      <c r="I683" s="130">
        <v>1</v>
      </c>
      <c r="J683" s="797">
        <v>356.9</v>
      </c>
      <c r="K683" s="797">
        <v>327.7</v>
      </c>
      <c r="L683" s="797">
        <v>160</v>
      </c>
      <c r="M683" s="130">
        <v>14</v>
      </c>
      <c r="N683" s="797">
        <f>'Приложение 2'!E685</f>
        <v>1164563.3999999999</v>
      </c>
      <c r="O683" s="797">
        <v>0</v>
      </c>
      <c r="P683" s="797">
        <v>0</v>
      </c>
      <c r="Q683" s="797">
        <v>0</v>
      </c>
      <c r="R683" s="797">
        <f t="shared" si="176"/>
        <v>1164563.3999999999</v>
      </c>
      <c r="S683" s="797">
        <f t="shared" si="177"/>
        <v>3553.7485505035093</v>
      </c>
      <c r="T683" s="797">
        <v>4503.95</v>
      </c>
      <c r="U683" s="132" t="s">
        <v>589</v>
      </c>
      <c r="V683" s="144">
        <f t="shared" si="161"/>
        <v>950.20144949649057</v>
      </c>
      <c r="W683" s="521"/>
    </row>
    <row r="684" spans="1:23" s="198" customFormat="1" ht="9" customHeight="1">
      <c r="A684" s="794">
        <v>242</v>
      </c>
      <c r="B684" s="156" t="s">
        <v>972</v>
      </c>
      <c r="C684" s="785" t="s">
        <v>1192</v>
      </c>
      <c r="D684" s="785" t="s">
        <v>111</v>
      </c>
      <c r="E684" s="794" t="s">
        <v>797</v>
      </c>
      <c r="F684" s="794"/>
      <c r="G684" s="794" t="s">
        <v>88</v>
      </c>
      <c r="H684" s="130">
        <v>1</v>
      </c>
      <c r="I684" s="130">
        <v>1</v>
      </c>
      <c r="J684" s="797">
        <v>146.5</v>
      </c>
      <c r="K684" s="797">
        <v>136.6</v>
      </c>
      <c r="L684" s="797">
        <v>136.6</v>
      </c>
      <c r="M684" s="130">
        <v>6</v>
      </c>
      <c r="N684" s="797">
        <f>'Приложение 2'!E686</f>
        <v>478632</v>
      </c>
      <c r="O684" s="797">
        <v>0</v>
      </c>
      <c r="P684" s="797">
        <v>0</v>
      </c>
      <c r="Q684" s="797">
        <v>0</v>
      </c>
      <c r="R684" s="797">
        <f t="shared" si="176"/>
        <v>478632</v>
      </c>
      <c r="S684" s="797">
        <f t="shared" si="177"/>
        <v>3503.8945827232797</v>
      </c>
      <c r="T684" s="797">
        <v>4503.95</v>
      </c>
      <c r="U684" s="132" t="s">
        <v>589</v>
      </c>
      <c r="V684" s="144">
        <f t="shared" si="161"/>
        <v>1000.0554172767202</v>
      </c>
      <c r="W684" s="521"/>
    </row>
    <row r="685" spans="1:23" s="198" customFormat="1" ht="9" customHeight="1">
      <c r="A685" s="794">
        <v>243</v>
      </c>
      <c r="B685" s="156" t="s">
        <v>973</v>
      </c>
      <c r="C685" s="785" t="s">
        <v>1192</v>
      </c>
      <c r="D685" s="785" t="s">
        <v>111</v>
      </c>
      <c r="E685" s="794" t="s">
        <v>616</v>
      </c>
      <c r="F685" s="794"/>
      <c r="G685" s="794" t="s">
        <v>88</v>
      </c>
      <c r="H685" s="130">
        <v>1</v>
      </c>
      <c r="I685" s="130">
        <v>2</v>
      </c>
      <c r="J685" s="797">
        <v>390.4</v>
      </c>
      <c r="K685" s="797">
        <v>340.4</v>
      </c>
      <c r="L685" s="797">
        <v>204</v>
      </c>
      <c r="M685" s="130">
        <v>22</v>
      </c>
      <c r="N685" s="797">
        <f>'Приложение 2'!E687</f>
        <v>708246</v>
      </c>
      <c r="O685" s="797">
        <v>0</v>
      </c>
      <c r="P685" s="797">
        <v>0</v>
      </c>
      <c r="Q685" s="797">
        <v>0</v>
      </c>
      <c r="R685" s="797">
        <f t="shared" si="176"/>
        <v>708246</v>
      </c>
      <c r="S685" s="797">
        <f t="shared" si="177"/>
        <v>2080.6286721504116</v>
      </c>
      <c r="T685" s="797">
        <v>4503.95</v>
      </c>
      <c r="U685" s="132" t="s">
        <v>589</v>
      </c>
      <c r="V685" s="144">
        <f t="shared" si="161"/>
        <v>2423.3213278495882</v>
      </c>
      <c r="W685" s="521"/>
    </row>
    <row r="686" spans="1:23" s="198" customFormat="1" ht="9" customHeight="1">
      <c r="A686" s="794">
        <v>244</v>
      </c>
      <c r="B686" s="156" t="s">
        <v>974</v>
      </c>
      <c r="C686" s="785" t="s">
        <v>1195</v>
      </c>
      <c r="D686" s="785" t="s">
        <v>111</v>
      </c>
      <c r="E686" s="794" t="s">
        <v>607</v>
      </c>
      <c r="F686" s="794"/>
      <c r="G686" s="794" t="s">
        <v>88</v>
      </c>
      <c r="H686" s="130">
        <v>2</v>
      </c>
      <c r="I686" s="130">
        <v>1</v>
      </c>
      <c r="J686" s="797">
        <v>731.52</v>
      </c>
      <c r="K686" s="797">
        <v>601.9</v>
      </c>
      <c r="L686" s="797">
        <v>107</v>
      </c>
      <c r="M686" s="130">
        <v>54</v>
      </c>
      <c r="N686" s="797">
        <f>'Приложение 2'!E688</f>
        <v>1005774</v>
      </c>
      <c r="O686" s="797">
        <v>0</v>
      </c>
      <c r="P686" s="797">
        <v>0</v>
      </c>
      <c r="Q686" s="797">
        <v>0</v>
      </c>
      <c r="R686" s="797">
        <f t="shared" si="176"/>
        <v>1005774</v>
      </c>
      <c r="S686" s="797">
        <f t="shared" si="177"/>
        <v>1670.9985047350058</v>
      </c>
      <c r="T686" s="797">
        <v>4503.95</v>
      </c>
      <c r="U686" s="132" t="s">
        <v>589</v>
      </c>
      <c r="V686" s="144">
        <f t="shared" si="161"/>
        <v>2832.9514952649943</v>
      </c>
      <c r="W686" s="521"/>
    </row>
    <row r="687" spans="1:23" s="198" customFormat="1" ht="21.75" customHeight="1">
      <c r="A687" s="822" t="s">
        <v>36</v>
      </c>
      <c r="B687" s="822"/>
      <c r="C687" s="785"/>
      <c r="D687" s="785"/>
      <c r="E687" s="141" t="s">
        <v>391</v>
      </c>
      <c r="F687" s="141" t="s">
        <v>391</v>
      </c>
      <c r="G687" s="141" t="s">
        <v>391</v>
      </c>
      <c r="H687" s="141" t="s">
        <v>391</v>
      </c>
      <c r="I687" s="141" t="s">
        <v>391</v>
      </c>
      <c r="J687" s="797">
        <f>SUM(J680:J686)</f>
        <v>3001.02</v>
      </c>
      <c r="K687" s="797">
        <f t="shared" ref="K687:R687" si="178">SUM(K680:K686)</f>
        <v>2507.6999999999998</v>
      </c>
      <c r="L687" s="797">
        <f t="shared" si="178"/>
        <v>1220.5999999999999</v>
      </c>
      <c r="M687" s="130">
        <f t="shared" si="178"/>
        <v>156</v>
      </c>
      <c r="N687" s="797">
        <f>SUM(N680:N686)</f>
        <v>7184721.4000000004</v>
      </c>
      <c r="O687" s="797">
        <f t="shared" si="178"/>
        <v>0</v>
      </c>
      <c r="P687" s="797">
        <f t="shared" si="178"/>
        <v>0</v>
      </c>
      <c r="Q687" s="797">
        <f t="shared" si="178"/>
        <v>0</v>
      </c>
      <c r="R687" s="797">
        <f t="shared" si="178"/>
        <v>7184721.4000000004</v>
      </c>
      <c r="S687" s="797">
        <f>N687/K687</f>
        <v>2865.0641623798701</v>
      </c>
      <c r="T687" s="797"/>
      <c r="U687" s="132"/>
      <c r="V687" s="144">
        <f t="shared" si="161"/>
        <v>-2865.0641623798701</v>
      </c>
      <c r="W687" s="521"/>
    </row>
    <row r="688" spans="1:23" s="198" customFormat="1" ht="9" customHeight="1">
      <c r="A688" s="821" t="s">
        <v>40</v>
      </c>
      <c r="B688" s="821"/>
      <c r="C688" s="821"/>
      <c r="D688" s="821"/>
      <c r="E688" s="821"/>
      <c r="F688" s="821"/>
      <c r="G688" s="821"/>
      <c r="H688" s="821"/>
      <c r="I688" s="821"/>
      <c r="J688" s="821"/>
      <c r="K688" s="821"/>
      <c r="L688" s="821"/>
      <c r="M688" s="821"/>
      <c r="N688" s="821"/>
      <c r="O688" s="821"/>
      <c r="P688" s="821"/>
      <c r="Q688" s="821"/>
      <c r="R688" s="821"/>
      <c r="S688" s="821"/>
      <c r="T688" s="821"/>
      <c r="U688" s="821"/>
      <c r="V688" s="144">
        <f t="shared" si="161"/>
        <v>0</v>
      </c>
      <c r="W688" s="521"/>
    </row>
    <row r="689" spans="1:23" s="198" customFormat="1" ht="9" customHeight="1">
      <c r="A689" s="794">
        <v>245</v>
      </c>
      <c r="B689" s="156" t="s">
        <v>980</v>
      </c>
      <c r="C689" s="785" t="s">
        <v>1192</v>
      </c>
      <c r="D689" s="785" t="s">
        <v>111</v>
      </c>
      <c r="E689" s="794" t="s">
        <v>749</v>
      </c>
      <c r="F689" s="794"/>
      <c r="G689" s="794" t="s">
        <v>776</v>
      </c>
      <c r="H689" s="130">
        <v>2</v>
      </c>
      <c r="I689" s="130">
        <v>2</v>
      </c>
      <c r="J689" s="797">
        <v>412.31</v>
      </c>
      <c r="K689" s="797">
        <v>366.74</v>
      </c>
      <c r="L689" s="797">
        <v>366.74</v>
      </c>
      <c r="M689" s="130">
        <v>23</v>
      </c>
      <c r="N689" s="797">
        <f>'Приложение 2'!E691</f>
        <v>1106028</v>
      </c>
      <c r="O689" s="797">
        <v>0</v>
      </c>
      <c r="P689" s="797">
        <v>0</v>
      </c>
      <c r="Q689" s="797">
        <v>0</v>
      </c>
      <c r="R689" s="797">
        <f t="shared" ref="R689" si="179">N689</f>
        <v>1106028</v>
      </c>
      <c r="S689" s="797">
        <f t="shared" ref="S689" si="180">N689/K689</f>
        <v>3015.836832633473</v>
      </c>
      <c r="T689" s="797">
        <v>4503.95</v>
      </c>
      <c r="U689" s="132" t="s">
        <v>589</v>
      </c>
      <c r="V689" s="144">
        <f t="shared" si="161"/>
        <v>1488.1131673665268</v>
      </c>
      <c r="W689" s="521"/>
    </row>
    <row r="690" spans="1:23" s="198" customFormat="1" ht="21.75" customHeight="1">
      <c r="A690" s="822" t="s">
        <v>39</v>
      </c>
      <c r="B690" s="822"/>
      <c r="C690" s="785"/>
      <c r="D690" s="785"/>
      <c r="E690" s="141" t="s">
        <v>391</v>
      </c>
      <c r="F690" s="141" t="s">
        <v>391</v>
      </c>
      <c r="G690" s="141" t="s">
        <v>391</v>
      </c>
      <c r="H690" s="141" t="s">
        <v>391</v>
      </c>
      <c r="I690" s="141" t="s">
        <v>391</v>
      </c>
      <c r="J690" s="797">
        <f t="shared" ref="J690:R690" si="181">SUM(J689:J689)</f>
        <v>412.31</v>
      </c>
      <c r="K690" s="797">
        <f t="shared" si="181"/>
        <v>366.74</v>
      </c>
      <c r="L690" s="797">
        <f t="shared" si="181"/>
        <v>366.74</v>
      </c>
      <c r="M690" s="130">
        <f t="shared" si="181"/>
        <v>23</v>
      </c>
      <c r="N690" s="797">
        <f t="shared" si="181"/>
        <v>1106028</v>
      </c>
      <c r="O690" s="797">
        <f t="shared" si="181"/>
        <v>0</v>
      </c>
      <c r="P690" s="797">
        <f t="shared" si="181"/>
        <v>0</v>
      </c>
      <c r="Q690" s="797">
        <f t="shared" si="181"/>
        <v>0</v>
      </c>
      <c r="R690" s="797">
        <f t="shared" si="181"/>
        <v>1106028</v>
      </c>
      <c r="S690" s="797">
        <f>N690/K690</f>
        <v>3015.836832633473</v>
      </c>
      <c r="T690" s="797"/>
      <c r="U690" s="132"/>
      <c r="V690" s="144">
        <f t="shared" si="161"/>
        <v>-3015.836832633473</v>
      </c>
      <c r="W690" s="521"/>
    </row>
    <row r="691" spans="1:23" s="198" customFormat="1" ht="9" customHeight="1">
      <c r="A691" s="821" t="s">
        <v>45</v>
      </c>
      <c r="B691" s="821"/>
      <c r="C691" s="821"/>
      <c r="D691" s="821"/>
      <c r="E691" s="821"/>
      <c r="F691" s="821"/>
      <c r="G691" s="821"/>
      <c r="H691" s="821"/>
      <c r="I691" s="821"/>
      <c r="J691" s="821"/>
      <c r="K691" s="821"/>
      <c r="L691" s="821"/>
      <c r="M691" s="821"/>
      <c r="N691" s="821"/>
      <c r="O691" s="821"/>
      <c r="P691" s="821"/>
      <c r="Q691" s="821"/>
      <c r="R691" s="821"/>
      <c r="S691" s="821"/>
      <c r="T691" s="821"/>
      <c r="U691" s="821"/>
      <c r="V691" s="144">
        <f t="shared" si="161"/>
        <v>0</v>
      </c>
      <c r="W691" s="521"/>
    </row>
    <row r="692" spans="1:23" s="198" customFormat="1" ht="9" customHeight="1">
      <c r="A692" s="794">
        <v>246</v>
      </c>
      <c r="B692" s="156" t="s">
        <v>982</v>
      </c>
      <c r="C692" s="785" t="s">
        <v>1192</v>
      </c>
      <c r="D692" s="785" t="s">
        <v>111</v>
      </c>
      <c r="E692" s="794" t="s">
        <v>611</v>
      </c>
      <c r="F692" s="794"/>
      <c r="G692" s="794" t="s">
        <v>88</v>
      </c>
      <c r="H692" s="130">
        <v>4</v>
      </c>
      <c r="I692" s="130">
        <v>2</v>
      </c>
      <c r="J692" s="797">
        <v>1383</v>
      </c>
      <c r="K692" s="797">
        <v>1289.5999999999999</v>
      </c>
      <c r="L692" s="797">
        <v>227</v>
      </c>
      <c r="M692" s="133">
        <v>56</v>
      </c>
      <c r="N692" s="797">
        <f>'Приложение 2'!E694</f>
        <v>1487640</v>
      </c>
      <c r="O692" s="797">
        <v>0</v>
      </c>
      <c r="P692" s="797">
        <v>0</v>
      </c>
      <c r="Q692" s="797">
        <v>0</v>
      </c>
      <c r="R692" s="797">
        <f t="shared" ref="R692:R701" si="182">N692</f>
        <v>1487640</v>
      </c>
      <c r="S692" s="797">
        <f t="shared" ref="S692:S701" si="183">N692/K692</f>
        <v>1153.5669975186106</v>
      </c>
      <c r="T692" s="797">
        <v>4503.95</v>
      </c>
      <c r="U692" s="132" t="s">
        <v>589</v>
      </c>
      <c r="V692" s="144">
        <f t="shared" si="161"/>
        <v>3350.3830024813892</v>
      </c>
      <c r="W692" s="521"/>
    </row>
    <row r="693" spans="1:23" s="198" customFormat="1" ht="9" customHeight="1">
      <c r="A693" s="794">
        <v>247</v>
      </c>
      <c r="B693" s="156" t="s">
        <v>983</v>
      </c>
      <c r="C693" s="785" t="s">
        <v>1192</v>
      </c>
      <c r="D693" s="785" t="s">
        <v>110</v>
      </c>
      <c r="E693" s="794" t="s">
        <v>607</v>
      </c>
      <c r="F693" s="794"/>
      <c r="G693" s="794" t="s">
        <v>88</v>
      </c>
      <c r="H693" s="130">
        <v>5</v>
      </c>
      <c r="I693" s="130">
        <v>4</v>
      </c>
      <c r="J693" s="797">
        <v>2862.5</v>
      </c>
      <c r="K693" s="797">
        <v>2562</v>
      </c>
      <c r="L693" s="797">
        <v>322</v>
      </c>
      <c r="M693" s="133">
        <v>88</v>
      </c>
      <c r="N693" s="797">
        <f>'Приложение 2'!E695</f>
        <v>2450490</v>
      </c>
      <c r="O693" s="797">
        <v>0</v>
      </c>
      <c r="P693" s="797">
        <v>0</v>
      </c>
      <c r="Q693" s="797">
        <v>0</v>
      </c>
      <c r="R693" s="797">
        <f t="shared" si="182"/>
        <v>2450490</v>
      </c>
      <c r="S693" s="797">
        <f t="shared" si="183"/>
        <v>956.47540983606552</v>
      </c>
      <c r="T693" s="797">
        <v>4180</v>
      </c>
      <c r="U693" s="132" t="s">
        <v>589</v>
      </c>
      <c r="V693" s="144">
        <f t="shared" si="161"/>
        <v>3223.5245901639346</v>
      </c>
      <c r="W693" s="521"/>
    </row>
    <row r="694" spans="1:23" s="198" customFormat="1" ht="9" customHeight="1">
      <c r="A694" s="794">
        <v>248</v>
      </c>
      <c r="B694" s="156" t="s">
        <v>984</v>
      </c>
      <c r="C694" s="785" t="s">
        <v>1192</v>
      </c>
      <c r="D694" s="785" t="s">
        <v>111</v>
      </c>
      <c r="E694" s="794" t="s">
        <v>749</v>
      </c>
      <c r="F694" s="794"/>
      <c r="G694" s="794" t="s">
        <v>88</v>
      </c>
      <c r="H694" s="130">
        <v>2</v>
      </c>
      <c r="I694" s="130">
        <v>1</v>
      </c>
      <c r="J694" s="797">
        <v>241.2</v>
      </c>
      <c r="K694" s="797">
        <v>163.6</v>
      </c>
      <c r="L694" s="797">
        <v>163.6</v>
      </c>
      <c r="M694" s="133">
        <v>6</v>
      </c>
      <c r="N694" s="797">
        <f>'Приложение 2'!E696</f>
        <v>572418</v>
      </c>
      <c r="O694" s="797">
        <v>0</v>
      </c>
      <c r="P694" s="797">
        <v>0</v>
      </c>
      <c r="Q694" s="797">
        <v>0</v>
      </c>
      <c r="R694" s="797">
        <f t="shared" si="182"/>
        <v>572418</v>
      </c>
      <c r="S694" s="797">
        <f t="shared" si="183"/>
        <v>3498.8875305623474</v>
      </c>
      <c r="T694" s="797">
        <v>4503.95</v>
      </c>
      <c r="U694" s="132" t="s">
        <v>589</v>
      </c>
      <c r="V694" s="144">
        <f t="shared" si="161"/>
        <v>1005.0624694376525</v>
      </c>
      <c r="W694" s="521"/>
    </row>
    <row r="695" spans="1:23" s="198" customFormat="1" ht="9" customHeight="1">
      <c r="A695" s="794">
        <v>249</v>
      </c>
      <c r="B695" s="156" t="s">
        <v>985</v>
      </c>
      <c r="C695" s="785" t="s">
        <v>1192</v>
      </c>
      <c r="D695" s="785" t="s">
        <v>110</v>
      </c>
      <c r="E695" s="794" t="s">
        <v>598</v>
      </c>
      <c r="F695" s="794"/>
      <c r="G695" s="794" t="s">
        <v>88</v>
      </c>
      <c r="H695" s="130">
        <v>3</v>
      </c>
      <c r="I695" s="130">
        <v>1</v>
      </c>
      <c r="J695" s="797">
        <v>397.8</v>
      </c>
      <c r="K695" s="797">
        <v>363.7</v>
      </c>
      <c r="L695" s="797">
        <v>363.7</v>
      </c>
      <c r="M695" s="133">
        <v>36</v>
      </c>
      <c r="N695" s="797">
        <f>'Приложение 2'!E697</f>
        <v>746382.58</v>
      </c>
      <c r="O695" s="797">
        <v>0</v>
      </c>
      <c r="P695" s="797">
        <v>0</v>
      </c>
      <c r="Q695" s="797">
        <v>0</v>
      </c>
      <c r="R695" s="797">
        <f t="shared" si="182"/>
        <v>746382.58</v>
      </c>
      <c r="S695" s="797">
        <f t="shared" si="183"/>
        <v>2052.1929612317845</v>
      </c>
      <c r="T695" s="797">
        <v>4180</v>
      </c>
      <c r="U695" s="132" t="s">
        <v>589</v>
      </c>
      <c r="V695" s="144">
        <f t="shared" si="161"/>
        <v>2127.8070387682155</v>
      </c>
      <c r="W695" s="521"/>
    </row>
    <row r="696" spans="1:23" s="198" customFormat="1" ht="9" customHeight="1">
      <c r="A696" s="794">
        <v>250</v>
      </c>
      <c r="B696" s="156" t="s">
        <v>986</v>
      </c>
      <c r="C696" s="785" t="s">
        <v>1192</v>
      </c>
      <c r="D696" s="785" t="s">
        <v>110</v>
      </c>
      <c r="E696" s="794" t="s">
        <v>608</v>
      </c>
      <c r="F696" s="794"/>
      <c r="G696" s="794" t="s">
        <v>88</v>
      </c>
      <c r="H696" s="130">
        <v>2</v>
      </c>
      <c r="I696" s="130">
        <v>2</v>
      </c>
      <c r="J696" s="797">
        <v>597.79999999999995</v>
      </c>
      <c r="K696" s="797">
        <v>551.4</v>
      </c>
      <c r="L696" s="797">
        <v>551.4</v>
      </c>
      <c r="M696" s="133">
        <v>29</v>
      </c>
      <c r="N696" s="797">
        <f>'Приложение 2'!E698</f>
        <v>1463626</v>
      </c>
      <c r="O696" s="797">
        <v>0</v>
      </c>
      <c r="P696" s="797">
        <v>0</v>
      </c>
      <c r="Q696" s="797">
        <v>0</v>
      </c>
      <c r="R696" s="797">
        <f t="shared" si="182"/>
        <v>1463626</v>
      </c>
      <c r="S696" s="797">
        <f t="shared" si="183"/>
        <v>2654.3815741748276</v>
      </c>
      <c r="T696" s="797">
        <v>4180</v>
      </c>
      <c r="U696" s="132" t="s">
        <v>589</v>
      </c>
      <c r="V696" s="144">
        <f t="shared" si="161"/>
        <v>1525.6184258251724</v>
      </c>
      <c r="W696" s="521"/>
    </row>
    <row r="697" spans="1:23" s="198" customFormat="1" ht="9" customHeight="1">
      <c r="A697" s="794">
        <v>251</v>
      </c>
      <c r="B697" s="156" t="s">
        <v>987</v>
      </c>
      <c r="C697" s="785" t="s">
        <v>1192</v>
      </c>
      <c r="D697" s="785" t="s">
        <v>111</v>
      </c>
      <c r="E697" s="794" t="s">
        <v>219</v>
      </c>
      <c r="F697" s="794"/>
      <c r="G697" s="794" t="s">
        <v>88</v>
      </c>
      <c r="H697" s="130">
        <v>2</v>
      </c>
      <c r="I697" s="130">
        <v>4</v>
      </c>
      <c r="J697" s="797">
        <v>1389.5</v>
      </c>
      <c r="K697" s="797">
        <v>1205</v>
      </c>
      <c r="L697" s="797">
        <v>1205</v>
      </c>
      <c r="M697" s="133">
        <v>126</v>
      </c>
      <c r="N697" s="797">
        <f>'Приложение 2'!E699</f>
        <v>2826516</v>
      </c>
      <c r="O697" s="797">
        <v>0</v>
      </c>
      <c r="P697" s="797">
        <v>0</v>
      </c>
      <c r="Q697" s="797">
        <v>0</v>
      </c>
      <c r="R697" s="797">
        <f t="shared" si="182"/>
        <v>2826516</v>
      </c>
      <c r="S697" s="797">
        <f t="shared" si="183"/>
        <v>2345.6564315352698</v>
      </c>
      <c r="T697" s="797">
        <v>4503.95</v>
      </c>
      <c r="U697" s="132" t="s">
        <v>589</v>
      </c>
      <c r="V697" s="144">
        <f t="shared" si="161"/>
        <v>2158.29356846473</v>
      </c>
      <c r="W697" s="521"/>
    </row>
    <row r="698" spans="1:23" s="198" customFormat="1" ht="9" customHeight="1">
      <c r="A698" s="794">
        <v>252</v>
      </c>
      <c r="B698" s="156" t="s">
        <v>988</v>
      </c>
      <c r="C698" s="785" t="s">
        <v>1192</v>
      </c>
      <c r="D698" s="785" t="s">
        <v>111</v>
      </c>
      <c r="E698" s="794" t="s">
        <v>611</v>
      </c>
      <c r="F698" s="794"/>
      <c r="G698" s="794" t="s">
        <v>88</v>
      </c>
      <c r="H698" s="130">
        <v>4</v>
      </c>
      <c r="I698" s="130">
        <v>3</v>
      </c>
      <c r="J698" s="797">
        <v>2190.5</v>
      </c>
      <c r="K698" s="797">
        <v>1758.4</v>
      </c>
      <c r="L698" s="797">
        <v>1758.4</v>
      </c>
      <c r="M698" s="133">
        <v>174</v>
      </c>
      <c r="N698" s="797">
        <f>'Приложение 2'!E700</f>
        <v>2373756</v>
      </c>
      <c r="O698" s="797">
        <v>0</v>
      </c>
      <c r="P698" s="797">
        <v>0</v>
      </c>
      <c r="Q698" s="797">
        <v>0</v>
      </c>
      <c r="R698" s="797">
        <f t="shared" si="182"/>
        <v>2373756</v>
      </c>
      <c r="S698" s="797">
        <f t="shared" si="183"/>
        <v>1349.9522292993629</v>
      </c>
      <c r="T698" s="797">
        <v>4503.95</v>
      </c>
      <c r="U698" s="132" t="s">
        <v>589</v>
      </c>
      <c r="V698" s="144">
        <f t="shared" si="161"/>
        <v>3153.9977707006369</v>
      </c>
      <c r="W698" s="521"/>
    </row>
    <row r="699" spans="1:23" s="198" customFormat="1" ht="9" customHeight="1">
      <c r="A699" s="794">
        <v>253</v>
      </c>
      <c r="B699" s="156" t="s">
        <v>989</v>
      </c>
      <c r="C699" s="785" t="s">
        <v>1192</v>
      </c>
      <c r="D699" s="785" t="s">
        <v>111</v>
      </c>
      <c r="E699" s="794" t="s">
        <v>797</v>
      </c>
      <c r="F699" s="794"/>
      <c r="G699" s="794" t="s">
        <v>88</v>
      </c>
      <c r="H699" s="130">
        <v>2</v>
      </c>
      <c r="I699" s="130">
        <v>2</v>
      </c>
      <c r="J699" s="797">
        <v>637.34</v>
      </c>
      <c r="K699" s="797">
        <v>565.4</v>
      </c>
      <c r="L699" s="797">
        <v>96</v>
      </c>
      <c r="M699" s="133">
        <v>26</v>
      </c>
      <c r="N699" s="797">
        <f>'Приложение 2'!E701</f>
        <v>1791636</v>
      </c>
      <c r="O699" s="797">
        <v>0</v>
      </c>
      <c r="P699" s="797">
        <v>0</v>
      </c>
      <c r="Q699" s="797">
        <v>0</v>
      </c>
      <c r="R699" s="797">
        <f t="shared" si="182"/>
        <v>1791636</v>
      </c>
      <c r="S699" s="797">
        <f t="shared" si="183"/>
        <v>3168.7937743190664</v>
      </c>
      <c r="T699" s="797">
        <v>4503.95</v>
      </c>
      <c r="U699" s="132" t="s">
        <v>589</v>
      </c>
      <c r="V699" s="144">
        <f t="shared" si="161"/>
        <v>1335.1562256809334</v>
      </c>
      <c r="W699" s="521"/>
    </row>
    <row r="700" spans="1:23" s="198" customFormat="1" ht="9" customHeight="1">
      <c r="A700" s="794">
        <v>254</v>
      </c>
      <c r="B700" s="156" t="s">
        <v>990</v>
      </c>
      <c r="C700" s="785" t="s">
        <v>1192</v>
      </c>
      <c r="D700" s="785" t="s">
        <v>111</v>
      </c>
      <c r="E700" s="794" t="s">
        <v>748</v>
      </c>
      <c r="F700" s="794"/>
      <c r="G700" s="794" t="s">
        <v>88</v>
      </c>
      <c r="H700" s="130">
        <v>2</v>
      </c>
      <c r="I700" s="130">
        <v>2</v>
      </c>
      <c r="J700" s="797">
        <v>586.5</v>
      </c>
      <c r="K700" s="797">
        <v>508.1</v>
      </c>
      <c r="L700" s="797">
        <v>508.1</v>
      </c>
      <c r="M700" s="133">
        <v>24</v>
      </c>
      <c r="N700" s="797">
        <f>'Приложение 2'!E702</f>
        <v>1636404</v>
      </c>
      <c r="O700" s="797">
        <v>0</v>
      </c>
      <c r="P700" s="797">
        <v>0</v>
      </c>
      <c r="Q700" s="797">
        <v>0</v>
      </c>
      <c r="R700" s="797">
        <f t="shared" si="182"/>
        <v>1636404</v>
      </c>
      <c r="S700" s="797">
        <f t="shared" si="183"/>
        <v>3220.6337335170242</v>
      </c>
      <c r="T700" s="797">
        <v>4503.95</v>
      </c>
      <c r="U700" s="132" t="s">
        <v>589</v>
      </c>
      <c r="V700" s="144">
        <f t="shared" si="161"/>
        <v>1283.3162664829756</v>
      </c>
      <c r="W700" s="521"/>
    </row>
    <row r="701" spans="1:23" s="198" customFormat="1" ht="9" customHeight="1">
      <c r="A701" s="794">
        <v>255</v>
      </c>
      <c r="B701" s="156" t="s">
        <v>1055</v>
      </c>
      <c r="C701" s="785"/>
      <c r="D701" s="785"/>
      <c r="E701" s="794">
        <v>1962</v>
      </c>
      <c r="F701" s="794"/>
      <c r="G701" s="794" t="s">
        <v>88</v>
      </c>
      <c r="H701" s="794">
        <v>2</v>
      </c>
      <c r="I701" s="794">
        <v>2</v>
      </c>
      <c r="J701" s="797">
        <v>579</v>
      </c>
      <c r="K701" s="797">
        <v>572</v>
      </c>
      <c r="L701" s="797">
        <v>572</v>
      </c>
      <c r="M701" s="133">
        <v>22</v>
      </c>
      <c r="N701" s="797">
        <f>'Приложение 2'!E703</f>
        <v>2163766</v>
      </c>
      <c r="O701" s="797">
        <v>0</v>
      </c>
      <c r="P701" s="797">
        <v>0</v>
      </c>
      <c r="Q701" s="797">
        <v>0</v>
      </c>
      <c r="R701" s="797">
        <f t="shared" si="182"/>
        <v>2163766</v>
      </c>
      <c r="S701" s="797">
        <f t="shared" si="183"/>
        <v>3782.8076923076924</v>
      </c>
      <c r="T701" s="797">
        <v>4180</v>
      </c>
      <c r="U701" s="132" t="s">
        <v>589</v>
      </c>
      <c r="V701" s="144"/>
      <c r="W701" s="521"/>
    </row>
    <row r="702" spans="1:23" s="198" customFormat="1" ht="23.25" customHeight="1">
      <c r="A702" s="822" t="s">
        <v>44</v>
      </c>
      <c r="B702" s="822"/>
      <c r="C702" s="785"/>
      <c r="D702" s="785"/>
      <c r="E702" s="141" t="s">
        <v>391</v>
      </c>
      <c r="F702" s="141" t="s">
        <v>391</v>
      </c>
      <c r="G702" s="141" t="s">
        <v>391</v>
      </c>
      <c r="H702" s="141" t="s">
        <v>391</v>
      </c>
      <c r="I702" s="141" t="s">
        <v>391</v>
      </c>
      <c r="J702" s="797">
        <f>SUM(J692:J701)</f>
        <v>10865.14</v>
      </c>
      <c r="K702" s="797">
        <f t="shared" ref="K702:R702" si="184">SUM(K692:K701)</f>
        <v>9539.1999999999989</v>
      </c>
      <c r="L702" s="797">
        <f t="shared" si="184"/>
        <v>5767.2000000000007</v>
      </c>
      <c r="M702" s="133">
        <f t="shared" si="184"/>
        <v>587</v>
      </c>
      <c r="N702" s="797">
        <f t="shared" si="184"/>
        <v>17512634.579999998</v>
      </c>
      <c r="O702" s="797">
        <f t="shared" si="184"/>
        <v>0</v>
      </c>
      <c r="P702" s="797">
        <f t="shared" si="184"/>
        <v>0</v>
      </c>
      <c r="Q702" s="797">
        <f t="shared" si="184"/>
        <v>0</v>
      </c>
      <c r="R702" s="797">
        <f t="shared" si="184"/>
        <v>17512634.579999998</v>
      </c>
      <c r="S702" s="797">
        <f>N702/K702</f>
        <v>1835.8598813317678</v>
      </c>
      <c r="T702" s="797"/>
      <c r="U702" s="132"/>
      <c r="V702" s="144"/>
      <c r="W702" s="521"/>
    </row>
    <row r="703" spans="1:23" ht="12.75" customHeight="1">
      <c r="A703" s="856" t="s">
        <v>1029</v>
      </c>
      <c r="B703" s="856"/>
      <c r="C703" s="856"/>
      <c r="D703" s="856"/>
      <c r="E703" s="856"/>
      <c r="F703" s="856"/>
      <c r="G703" s="856"/>
      <c r="H703" s="856"/>
      <c r="I703" s="856"/>
      <c r="J703" s="856"/>
      <c r="K703" s="856"/>
      <c r="L703" s="856"/>
      <c r="M703" s="856"/>
      <c r="N703" s="856"/>
      <c r="O703" s="856"/>
      <c r="P703" s="856"/>
      <c r="Q703" s="856"/>
      <c r="R703" s="856"/>
      <c r="S703" s="856"/>
      <c r="T703" s="856"/>
      <c r="U703" s="856"/>
    </row>
    <row r="704" spans="1:23" ht="9" customHeight="1">
      <c r="A704" s="829" t="s">
        <v>1026</v>
      </c>
      <c r="B704" s="830"/>
      <c r="C704" s="794"/>
      <c r="D704" s="794"/>
      <c r="E704" s="794" t="s">
        <v>391</v>
      </c>
      <c r="F704" s="794" t="s">
        <v>391</v>
      </c>
      <c r="G704" s="794" t="s">
        <v>391</v>
      </c>
      <c r="H704" s="794" t="s">
        <v>391</v>
      </c>
      <c r="I704" s="794" t="s">
        <v>391</v>
      </c>
      <c r="J704" s="797">
        <f>J838+J847+J861+J866+J873+J877+J892+J895+J899+J903+J909+J913+J916+J919+J930+J933+J936+J939+J947+J950+J958+J962+J965+J969+J974+J977+J981+J985+J988+J995+J998+J1004+J1008+J1015+J1020+J1023+J1033+J1036+J1000</f>
        <v>811933.84999999986</v>
      </c>
      <c r="K704" s="797">
        <f t="shared" ref="K704:R704" si="185">K838+K847+K861+K866+K873+K877+K892+K895+K899+K903+K909+K913+K916+K919+K930+K933+K936+K939+K947+K950+K958+K962+K965+K969+K974+K977+K981+K985+K988+K995+K998+K1004+K1008+K1015+K1020+K1023+K1033+K1036+K1000</f>
        <v>690485.88000000012</v>
      </c>
      <c r="L704" s="797">
        <f t="shared" si="185"/>
        <v>467811.58999999979</v>
      </c>
      <c r="M704" s="133">
        <f t="shared" si="185"/>
        <v>30414</v>
      </c>
      <c r="N704" s="797">
        <f t="shared" si="185"/>
        <v>787133574.05000019</v>
      </c>
      <c r="O704" s="797">
        <f t="shared" si="185"/>
        <v>0</v>
      </c>
      <c r="P704" s="797">
        <f t="shared" si="185"/>
        <v>0</v>
      </c>
      <c r="Q704" s="797">
        <f t="shared" si="185"/>
        <v>0</v>
      </c>
      <c r="R704" s="797">
        <f t="shared" si="185"/>
        <v>787133574.05000019</v>
      </c>
      <c r="S704" s="797"/>
      <c r="T704" s="797"/>
      <c r="U704" s="132"/>
      <c r="V704" s="134"/>
    </row>
    <row r="705" spans="1:23" ht="9" customHeight="1">
      <c r="A705" s="837" t="s">
        <v>217</v>
      </c>
      <c r="B705" s="842"/>
      <c r="C705" s="842"/>
      <c r="D705" s="842"/>
      <c r="E705" s="838"/>
      <c r="F705" s="838"/>
      <c r="G705" s="838"/>
      <c r="H705" s="842"/>
      <c r="I705" s="842"/>
      <c r="J705" s="842"/>
      <c r="K705" s="842"/>
      <c r="L705" s="842"/>
      <c r="M705" s="842"/>
      <c r="N705" s="838"/>
      <c r="O705" s="838"/>
      <c r="P705" s="838"/>
      <c r="Q705" s="838"/>
      <c r="R705" s="838"/>
      <c r="S705" s="838"/>
      <c r="T705" s="838"/>
      <c r="U705" s="839"/>
    </row>
    <row r="706" spans="1:23" ht="9" customHeight="1">
      <c r="A706" s="803">
        <v>1</v>
      </c>
      <c r="B706" s="614" t="s">
        <v>622</v>
      </c>
      <c r="C706" s="615" t="s">
        <v>1192</v>
      </c>
      <c r="D706" s="615" t="s">
        <v>111</v>
      </c>
      <c r="E706" s="616" t="s">
        <v>591</v>
      </c>
      <c r="F706" s="141"/>
      <c r="G706" s="617" t="s">
        <v>88</v>
      </c>
      <c r="H706" s="618">
        <v>5</v>
      </c>
      <c r="I706" s="618">
        <v>4</v>
      </c>
      <c r="J706" s="619">
        <v>3330.4</v>
      </c>
      <c r="K706" s="619">
        <v>2697.2</v>
      </c>
      <c r="L706" s="619">
        <v>2697.2</v>
      </c>
      <c r="M706" s="618">
        <v>147</v>
      </c>
      <c r="N706" s="797">
        <f>'Приложение 2'!E708</f>
        <v>3680292</v>
      </c>
      <c r="O706" s="797">
        <v>0</v>
      </c>
      <c r="P706" s="797">
        <v>0</v>
      </c>
      <c r="Q706" s="797">
        <v>0</v>
      </c>
      <c r="R706" s="797">
        <f t="shared" ref="R706:R769" si="186">N706</f>
        <v>3680292</v>
      </c>
      <c r="S706" s="797">
        <f t="shared" ref="S706:S769" si="187">N706/K706</f>
        <v>1364.4861337683524</v>
      </c>
      <c r="T706" s="797">
        <v>4503.95</v>
      </c>
      <c r="U706" s="132" t="s">
        <v>590</v>
      </c>
      <c r="V706" s="144">
        <f t="shared" ref="V706:V769" si="188">T706-S706</f>
        <v>3139.4638662316474</v>
      </c>
    </row>
    <row r="707" spans="1:23" ht="9" customHeight="1">
      <c r="A707" s="803">
        <v>2</v>
      </c>
      <c r="B707" s="614" t="s">
        <v>623</v>
      </c>
      <c r="C707" s="615" t="s">
        <v>1192</v>
      </c>
      <c r="D707" s="615" t="s">
        <v>111</v>
      </c>
      <c r="E707" s="616" t="s">
        <v>591</v>
      </c>
      <c r="F707" s="141"/>
      <c r="G707" s="617" t="s">
        <v>88</v>
      </c>
      <c r="H707" s="618">
        <v>5</v>
      </c>
      <c r="I707" s="618">
        <v>4</v>
      </c>
      <c r="J707" s="619">
        <v>2794.8</v>
      </c>
      <c r="K707" s="619">
        <v>2154.1</v>
      </c>
      <c r="L707" s="619">
        <v>2154.1</v>
      </c>
      <c r="M707" s="618">
        <v>75</v>
      </c>
      <c r="N707" s="797">
        <f>'Приложение 2'!E709</f>
        <v>2865324</v>
      </c>
      <c r="O707" s="797">
        <v>0</v>
      </c>
      <c r="P707" s="797">
        <v>0</v>
      </c>
      <c r="Q707" s="797">
        <v>0</v>
      </c>
      <c r="R707" s="797">
        <f t="shared" si="186"/>
        <v>2865324</v>
      </c>
      <c r="S707" s="797">
        <f t="shared" si="187"/>
        <v>1330.1722297014994</v>
      </c>
      <c r="T707" s="797">
        <v>4503.95</v>
      </c>
      <c r="U707" s="132" t="s">
        <v>590</v>
      </c>
      <c r="V707" s="144">
        <f t="shared" si="188"/>
        <v>3173.7777702985004</v>
      </c>
    </row>
    <row r="708" spans="1:23" ht="9" customHeight="1">
      <c r="A708" s="803">
        <v>3</v>
      </c>
      <c r="B708" s="614" t="s">
        <v>624</v>
      </c>
      <c r="C708" s="615" t="s">
        <v>1192</v>
      </c>
      <c r="D708" s="615" t="s">
        <v>110</v>
      </c>
      <c r="E708" s="616" t="s">
        <v>605</v>
      </c>
      <c r="F708" s="141"/>
      <c r="G708" s="617" t="s">
        <v>88</v>
      </c>
      <c r="H708" s="618">
        <v>9</v>
      </c>
      <c r="I708" s="618">
        <v>1</v>
      </c>
      <c r="J708" s="619">
        <v>5104.6000000000004</v>
      </c>
      <c r="K708" s="619">
        <v>4019.9</v>
      </c>
      <c r="L708" s="619">
        <v>4019.9</v>
      </c>
      <c r="M708" s="618">
        <v>38</v>
      </c>
      <c r="N708" s="797">
        <f>'Приложение 2'!E710</f>
        <v>4520904</v>
      </c>
      <c r="O708" s="797">
        <v>0</v>
      </c>
      <c r="P708" s="797">
        <v>0</v>
      </c>
      <c r="Q708" s="797">
        <v>0</v>
      </c>
      <c r="R708" s="797">
        <f t="shared" si="186"/>
        <v>4520904</v>
      </c>
      <c r="S708" s="797">
        <f t="shared" si="187"/>
        <v>1124.6309609691782</v>
      </c>
      <c r="T708" s="797">
        <v>4180</v>
      </c>
      <c r="U708" s="132" t="s">
        <v>590</v>
      </c>
      <c r="V708" s="144">
        <f t="shared" si="188"/>
        <v>3055.369039030822</v>
      </c>
    </row>
    <row r="709" spans="1:23" ht="9" customHeight="1">
      <c r="A709" s="803">
        <v>4</v>
      </c>
      <c r="B709" s="614" t="s">
        <v>625</v>
      </c>
      <c r="C709" s="615" t="s">
        <v>1192</v>
      </c>
      <c r="D709" s="615" t="s">
        <v>110</v>
      </c>
      <c r="E709" s="616" t="s">
        <v>594</v>
      </c>
      <c r="F709" s="141"/>
      <c r="G709" s="617" t="s">
        <v>90</v>
      </c>
      <c r="H709" s="618">
        <v>9</v>
      </c>
      <c r="I709" s="618">
        <v>5</v>
      </c>
      <c r="J709" s="619">
        <v>11213.9</v>
      </c>
      <c r="K709" s="619">
        <v>9829.9</v>
      </c>
      <c r="L709" s="619">
        <v>9829.9</v>
      </c>
      <c r="M709" s="618">
        <v>36</v>
      </c>
      <c r="N709" s="797">
        <f>'Приложение 2'!E711</f>
        <v>5677802</v>
      </c>
      <c r="O709" s="797">
        <v>0</v>
      </c>
      <c r="P709" s="797">
        <v>0</v>
      </c>
      <c r="Q709" s="797">
        <v>0</v>
      </c>
      <c r="R709" s="797">
        <f t="shared" si="186"/>
        <v>5677802</v>
      </c>
      <c r="S709" s="797">
        <f t="shared" si="187"/>
        <v>577.60526556729974</v>
      </c>
      <c r="T709" s="797">
        <v>4180</v>
      </c>
      <c r="U709" s="132" t="s">
        <v>590</v>
      </c>
      <c r="V709" s="144">
        <f t="shared" si="188"/>
        <v>3602.3947344327003</v>
      </c>
    </row>
    <row r="710" spans="1:23" ht="9" customHeight="1">
      <c r="A710" s="803">
        <v>5</v>
      </c>
      <c r="B710" s="614" t="s">
        <v>626</v>
      </c>
      <c r="C710" s="615" t="s">
        <v>1192</v>
      </c>
      <c r="D710" s="615" t="s">
        <v>110</v>
      </c>
      <c r="E710" s="616" t="s">
        <v>600</v>
      </c>
      <c r="F710" s="141"/>
      <c r="G710" s="617" t="s">
        <v>90</v>
      </c>
      <c r="H710" s="618">
        <v>9</v>
      </c>
      <c r="I710" s="618">
        <v>6</v>
      </c>
      <c r="J710" s="619">
        <v>13854.3</v>
      </c>
      <c r="K710" s="619">
        <v>11948.5</v>
      </c>
      <c r="L710" s="619">
        <v>11948.5</v>
      </c>
      <c r="M710" s="618">
        <v>36</v>
      </c>
      <c r="N710" s="797">
        <f>'Приложение 2'!E712</f>
        <v>6988730.7999999998</v>
      </c>
      <c r="O710" s="797">
        <v>0</v>
      </c>
      <c r="P710" s="797">
        <v>0</v>
      </c>
      <c r="Q710" s="797">
        <v>0</v>
      </c>
      <c r="R710" s="797">
        <f t="shared" si="186"/>
        <v>6988730.7999999998</v>
      </c>
      <c r="S710" s="797">
        <f t="shared" si="187"/>
        <v>584.90444825710335</v>
      </c>
      <c r="T710" s="797">
        <v>4180</v>
      </c>
      <c r="U710" s="132" t="s">
        <v>590</v>
      </c>
      <c r="V710" s="144">
        <f t="shared" si="188"/>
        <v>3595.0955517428965</v>
      </c>
    </row>
    <row r="711" spans="1:23" ht="9" customHeight="1">
      <c r="A711" s="803">
        <v>6</v>
      </c>
      <c r="B711" s="614" t="s">
        <v>627</v>
      </c>
      <c r="C711" s="615" t="s">
        <v>1192</v>
      </c>
      <c r="D711" s="615" t="s">
        <v>110</v>
      </c>
      <c r="E711" s="616" t="s">
        <v>601</v>
      </c>
      <c r="F711" s="141"/>
      <c r="G711" s="617" t="s">
        <v>90</v>
      </c>
      <c r="H711" s="618">
        <v>5</v>
      </c>
      <c r="I711" s="618">
        <v>5</v>
      </c>
      <c r="J711" s="619">
        <v>3853.1</v>
      </c>
      <c r="K711" s="619">
        <v>3415</v>
      </c>
      <c r="L711" s="619">
        <v>3415</v>
      </c>
      <c r="M711" s="618">
        <v>193</v>
      </c>
      <c r="N711" s="797">
        <f>'Приложение 2'!E713</f>
        <v>3450690</v>
      </c>
      <c r="O711" s="797">
        <v>0</v>
      </c>
      <c r="P711" s="797">
        <v>0</v>
      </c>
      <c r="Q711" s="797">
        <v>0</v>
      </c>
      <c r="R711" s="797">
        <f t="shared" si="186"/>
        <v>3450690</v>
      </c>
      <c r="S711" s="797">
        <f t="shared" si="187"/>
        <v>1010.4509516837481</v>
      </c>
      <c r="T711" s="797">
        <v>4180</v>
      </c>
      <c r="U711" s="132" t="s">
        <v>590</v>
      </c>
      <c r="V711" s="144">
        <f t="shared" si="188"/>
        <v>3169.5490483162521</v>
      </c>
    </row>
    <row r="712" spans="1:23" ht="9" customHeight="1">
      <c r="A712" s="803">
        <v>7</v>
      </c>
      <c r="B712" s="614" t="s">
        <v>628</v>
      </c>
      <c r="C712" s="615" t="s">
        <v>1192</v>
      </c>
      <c r="D712" s="615" t="s">
        <v>110</v>
      </c>
      <c r="E712" s="616" t="s">
        <v>599</v>
      </c>
      <c r="F712" s="141"/>
      <c r="G712" s="617" t="s">
        <v>90</v>
      </c>
      <c r="H712" s="618">
        <v>5</v>
      </c>
      <c r="I712" s="618">
        <v>3</v>
      </c>
      <c r="J712" s="619">
        <v>2324.1</v>
      </c>
      <c r="K712" s="619">
        <v>2028</v>
      </c>
      <c r="L712" s="619">
        <v>2028</v>
      </c>
      <c r="M712" s="617">
        <v>134</v>
      </c>
      <c r="N712" s="797">
        <f>'Приложение 2'!E714</f>
        <v>2077082</v>
      </c>
      <c r="O712" s="797">
        <v>0</v>
      </c>
      <c r="P712" s="797">
        <v>0</v>
      </c>
      <c r="Q712" s="797">
        <v>0</v>
      </c>
      <c r="R712" s="797">
        <f t="shared" si="186"/>
        <v>2077082</v>
      </c>
      <c r="S712" s="797">
        <f t="shared" si="187"/>
        <v>1024.2021696252466</v>
      </c>
      <c r="T712" s="797">
        <v>4180</v>
      </c>
      <c r="U712" s="132" t="s">
        <v>590</v>
      </c>
      <c r="V712" s="144">
        <f t="shared" si="188"/>
        <v>3155.7978303747532</v>
      </c>
    </row>
    <row r="713" spans="1:23" ht="9" customHeight="1">
      <c r="A713" s="803">
        <v>8</v>
      </c>
      <c r="B713" s="614" t="s">
        <v>629</v>
      </c>
      <c r="C713" s="615" t="s">
        <v>1192</v>
      </c>
      <c r="D713" s="615" t="s">
        <v>110</v>
      </c>
      <c r="E713" s="616" t="s">
        <v>614</v>
      </c>
      <c r="F713" s="141"/>
      <c r="G713" s="617" t="s">
        <v>90</v>
      </c>
      <c r="H713" s="618">
        <v>5</v>
      </c>
      <c r="I713" s="618">
        <v>5</v>
      </c>
      <c r="J713" s="619">
        <v>3880.5</v>
      </c>
      <c r="K713" s="619">
        <v>3393</v>
      </c>
      <c r="L713" s="619">
        <v>3393</v>
      </c>
      <c r="M713" s="618">
        <v>206</v>
      </c>
      <c r="N713" s="797">
        <f>'Приложение 2'!E715</f>
        <v>3540708</v>
      </c>
      <c r="O713" s="797">
        <v>0</v>
      </c>
      <c r="P713" s="797">
        <v>0</v>
      </c>
      <c r="Q713" s="797">
        <v>0</v>
      </c>
      <c r="R713" s="797">
        <f t="shared" si="186"/>
        <v>3540708</v>
      </c>
      <c r="S713" s="797">
        <f t="shared" si="187"/>
        <v>1043.5331564986736</v>
      </c>
      <c r="T713" s="797">
        <v>4180</v>
      </c>
      <c r="U713" s="132" t="s">
        <v>590</v>
      </c>
      <c r="V713" s="144">
        <f t="shared" si="188"/>
        <v>3136.4668435013264</v>
      </c>
      <c r="W713" s="119"/>
    </row>
    <row r="714" spans="1:23" ht="9" customHeight="1">
      <c r="A714" s="803">
        <v>9</v>
      </c>
      <c r="B714" s="614" t="s">
        <v>630</v>
      </c>
      <c r="C714" s="615" t="s">
        <v>1192</v>
      </c>
      <c r="D714" s="615" t="s">
        <v>110</v>
      </c>
      <c r="E714" s="616" t="s">
        <v>611</v>
      </c>
      <c r="F714" s="141"/>
      <c r="G714" s="617" t="s">
        <v>90</v>
      </c>
      <c r="H714" s="618">
        <v>5</v>
      </c>
      <c r="I714" s="618">
        <v>4</v>
      </c>
      <c r="J714" s="619">
        <v>3971.9</v>
      </c>
      <c r="K714" s="619">
        <v>3576.9</v>
      </c>
      <c r="L714" s="619">
        <v>686</v>
      </c>
      <c r="M714" s="618">
        <v>158</v>
      </c>
      <c r="N714" s="797">
        <f>'Приложение 2'!E716</f>
        <v>3337334</v>
      </c>
      <c r="O714" s="797">
        <v>0</v>
      </c>
      <c r="P714" s="797">
        <v>0</v>
      </c>
      <c r="Q714" s="797">
        <v>0</v>
      </c>
      <c r="R714" s="797">
        <f t="shared" si="186"/>
        <v>3337334</v>
      </c>
      <c r="S714" s="797">
        <f t="shared" si="187"/>
        <v>933.02412703737866</v>
      </c>
      <c r="T714" s="797">
        <v>4180</v>
      </c>
      <c r="U714" s="132" t="s">
        <v>590</v>
      </c>
      <c r="V714" s="144">
        <f t="shared" si="188"/>
        <v>3246.9758729626215</v>
      </c>
      <c r="W714" s="119"/>
    </row>
    <row r="715" spans="1:23" ht="9" customHeight="1">
      <c r="A715" s="803">
        <v>10</v>
      </c>
      <c r="B715" s="614" t="s">
        <v>631</v>
      </c>
      <c r="C715" s="615" t="s">
        <v>1192</v>
      </c>
      <c r="D715" s="615" t="s">
        <v>110</v>
      </c>
      <c r="E715" s="616" t="s">
        <v>607</v>
      </c>
      <c r="F715" s="141"/>
      <c r="G715" s="617" t="s">
        <v>90</v>
      </c>
      <c r="H715" s="618">
        <v>5</v>
      </c>
      <c r="I715" s="618">
        <v>4</v>
      </c>
      <c r="J715" s="619">
        <v>3650.4</v>
      </c>
      <c r="K715" s="619">
        <v>3222.6</v>
      </c>
      <c r="L715" s="619">
        <v>3222.6</v>
      </c>
      <c r="M715" s="617">
        <v>156</v>
      </c>
      <c r="N715" s="797">
        <f>'Приложение 2'!E717</f>
        <v>2770554</v>
      </c>
      <c r="O715" s="797">
        <v>0</v>
      </c>
      <c r="P715" s="797">
        <v>0</v>
      </c>
      <c r="Q715" s="797">
        <v>0</v>
      </c>
      <c r="R715" s="797">
        <f t="shared" si="186"/>
        <v>2770554</v>
      </c>
      <c r="S715" s="797">
        <f t="shared" si="187"/>
        <v>859.72630795010241</v>
      </c>
      <c r="T715" s="797">
        <v>4180</v>
      </c>
      <c r="U715" s="132" t="s">
        <v>590</v>
      </c>
      <c r="V715" s="144">
        <f t="shared" si="188"/>
        <v>3320.2736920498974</v>
      </c>
      <c r="W715" s="119"/>
    </row>
    <row r="716" spans="1:23" ht="9" customHeight="1">
      <c r="A716" s="803">
        <v>11</v>
      </c>
      <c r="B716" s="614" t="s">
        <v>632</v>
      </c>
      <c r="C716" s="615" t="s">
        <v>1192</v>
      </c>
      <c r="D716" s="615" t="s">
        <v>110</v>
      </c>
      <c r="E716" s="616" t="s">
        <v>299</v>
      </c>
      <c r="F716" s="141"/>
      <c r="G716" s="617" t="s">
        <v>90</v>
      </c>
      <c r="H716" s="618">
        <v>5</v>
      </c>
      <c r="I716" s="618">
        <v>4</v>
      </c>
      <c r="J716" s="619">
        <v>3192.4</v>
      </c>
      <c r="K716" s="619">
        <v>2850.4</v>
      </c>
      <c r="L716" s="619">
        <v>2850.4</v>
      </c>
      <c r="M716" s="617">
        <v>128</v>
      </c>
      <c r="N716" s="797">
        <f>'Приложение 2'!E718</f>
        <v>2427152</v>
      </c>
      <c r="O716" s="797">
        <v>0</v>
      </c>
      <c r="P716" s="797">
        <v>0</v>
      </c>
      <c r="Q716" s="797">
        <v>0</v>
      </c>
      <c r="R716" s="797">
        <f t="shared" si="186"/>
        <v>2427152</v>
      </c>
      <c r="S716" s="797">
        <f t="shared" si="187"/>
        <v>851.51277013752451</v>
      </c>
      <c r="T716" s="797">
        <v>4180</v>
      </c>
      <c r="U716" s="132" t="s">
        <v>590</v>
      </c>
      <c r="V716" s="144">
        <f t="shared" si="188"/>
        <v>3328.4872298624755</v>
      </c>
      <c r="W716" s="119"/>
    </row>
    <row r="717" spans="1:23" ht="9" customHeight="1">
      <c r="A717" s="803">
        <v>12</v>
      </c>
      <c r="B717" s="614" t="s">
        <v>633</v>
      </c>
      <c r="C717" s="615" t="s">
        <v>1192</v>
      </c>
      <c r="D717" s="615" t="s">
        <v>110</v>
      </c>
      <c r="E717" s="616" t="s">
        <v>592</v>
      </c>
      <c r="F717" s="141"/>
      <c r="G717" s="617" t="s">
        <v>90</v>
      </c>
      <c r="H717" s="618">
        <v>5</v>
      </c>
      <c r="I717" s="618">
        <v>4</v>
      </c>
      <c r="J717" s="619">
        <v>3636.8</v>
      </c>
      <c r="K717" s="619">
        <v>3206</v>
      </c>
      <c r="L717" s="619">
        <v>3206</v>
      </c>
      <c r="M717" s="617">
        <v>152</v>
      </c>
      <c r="N717" s="797">
        <f>'Приложение 2'!E719</f>
        <v>2770554</v>
      </c>
      <c r="O717" s="797">
        <v>0</v>
      </c>
      <c r="P717" s="797">
        <v>0</v>
      </c>
      <c r="Q717" s="797">
        <v>0</v>
      </c>
      <c r="R717" s="797">
        <f t="shared" si="186"/>
        <v>2770554</v>
      </c>
      <c r="S717" s="797">
        <f t="shared" si="187"/>
        <v>864.17779164067372</v>
      </c>
      <c r="T717" s="797">
        <v>4180</v>
      </c>
      <c r="U717" s="132" t="s">
        <v>590</v>
      </c>
      <c r="V717" s="144">
        <f t="shared" si="188"/>
        <v>3315.8222083593264</v>
      </c>
      <c r="W717" s="119"/>
    </row>
    <row r="718" spans="1:23" ht="9" customHeight="1">
      <c r="A718" s="803">
        <v>13</v>
      </c>
      <c r="B718" s="614" t="s">
        <v>634</v>
      </c>
      <c r="C718" s="615" t="s">
        <v>1192</v>
      </c>
      <c r="D718" s="615" t="s">
        <v>110</v>
      </c>
      <c r="E718" s="616" t="s">
        <v>618</v>
      </c>
      <c r="F718" s="141"/>
      <c r="G718" s="617" t="s">
        <v>88</v>
      </c>
      <c r="H718" s="618">
        <v>5</v>
      </c>
      <c r="I718" s="618">
        <v>1</v>
      </c>
      <c r="J718" s="619">
        <v>2532.6</v>
      </c>
      <c r="K718" s="619">
        <v>2455.5</v>
      </c>
      <c r="L718" s="619">
        <v>1983</v>
      </c>
      <c r="M718" s="618">
        <v>145</v>
      </c>
      <c r="N718" s="797">
        <f>'Приложение 2'!E720</f>
        <v>2847236</v>
      </c>
      <c r="O718" s="797">
        <v>0</v>
      </c>
      <c r="P718" s="797">
        <v>0</v>
      </c>
      <c r="Q718" s="797">
        <v>0</v>
      </c>
      <c r="R718" s="797">
        <f t="shared" si="186"/>
        <v>2847236</v>
      </c>
      <c r="S718" s="797">
        <f t="shared" si="187"/>
        <v>1159.5341071064956</v>
      </c>
      <c r="T718" s="797">
        <v>4180</v>
      </c>
      <c r="U718" s="132" t="s">
        <v>590</v>
      </c>
      <c r="V718" s="144">
        <f t="shared" si="188"/>
        <v>3020.4658928935041</v>
      </c>
      <c r="W718" s="119"/>
    </row>
    <row r="719" spans="1:23" ht="9" customHeight="1">
      <c r="A719" s="803">
        <v>14</v>
      </c>
      <c r="B719" s="614" t="s">
        <v>635</v>
      </c>
      <c r="C719" s="615" t="s">
        <v>1192</v>
      </c>
      <c r="D719" s="615" t="s">
        <v>110</v>
      </c>
      <c r="E719" s="616" t="s">
        <v>594</v>
      </c>
      <c r="F719" s="141"/>
      <c r="G719" s="617" t="s">
        <v>88</v>
      </c>
      <c r="H719" s="618">
        <v>5</v>
      </c>
      <c r="I719" s="618">
        <v>1</v>
      </c>
      <c r="J719" s="619">
        <v>2511.1999999999998</v>
      </c>
      <c r="K719" s="619">
        <v>2443.9</v>
      </c>
      <c r="L719" s="619">
        <v>1334</v>
      </c>
      <c r="M719" s="618">
        <v>164</v>
      </c>
      <c r="N719" s="797">
        <f>'Приложение 2'!E721</f>
        <v>2847236</v>
      </c>
      <c r="O719" s="797">
        <v>0</v>
      </c>
      <c r="P719" s="797">
        <v>0</v>
      </c>
      <c r="Q719" s="797">
        <v>0</v>
      </c>
      <c r="R719" s="797">
        <f t="shared" si="186"/>
        <v>2847236</v>
      </c>
      <c r="S719" s="797">
        <f t="shared" si="187"/>
        <v>1165.0378493391709</v>
      </c>
      <c r="T719" s="797">
        <v>4180</v>
      </c>
      <c r="U719" s="132" t="s">
        <v>590</v>
      </c>
      <c r="V719" s="144">
        <f t="shared" si="188"/>
        <v>3014.9621506608291</v>
      </c>
      <c r="W719" s="119"/>
    </row>
    <row r="720" spans="1:23" ht="9" customHeight="1">
      <c r="A720" s="803">
        <v>15</v>
      </c>
      <c r="B720" s="614" t="s">
        <v>636</v>
      </c>
      <c r="C720" s="615" t="s">
        <v>1192</v>
      </c>
      <c r="D720" s="615" t="s">
        <v>110</v>
      </c>
      <c r="E720" s="616" t="s">
        <v>591</v>
      </c>
      <c r="F720" s="141"/>
      <c r="G720" s="617" t="s">
        <v>90</v>
      </c>
      <c r="H720" s="618">
        <v>5</v>
      </c>
      <c r="I720" s="618">
        <v>4</v>
      </c>
      <c r="J720" s="619">
        <v>3834.3</v>
      </c>
      <c r="K720" s="619">
        <v>3555.3</v>
      </c>
      <c r="L720" s="619">
        <v>220</v>
      </c>
      <c r="M720" s="618">
        <v>180</v>
      </c>
      <c r="N720" s="797">
        <f>'Приложение 2'!E722</f>
        <v>3317330</v>
      </c>
      <c r="O720" s="797">
        <v>0</v>
      </c>
      <c r="P720" s="797">
        <v>0</v>
      </c>
      <c r="Q720" s="797">
        <v>0</v>
      </c>
      <c r="R720" s="797">
        <f t="shared" si="186"/>
        <v>3317330</v>
      </c>
      <c r="S720" s="797">
        <f t="shared" si="187"/>
        <v>933.0661266278513</v>
      </c>
      <c r="T720" s="797">
        <v>4180</v>
      </c>
      <c r="U720" s="132" t="s">
        <v>590</v>
      </c>
      <c r="V720" s="144">
        <f t="shared" si="188"/>
        <v>3246.9338733721488</v>
      </c>
      <c r="W720" s="119"/>
    </row>
    <row r="721" spans="1:23" ht="9" customHeight="1">
      <c r="A721" s="803">
        <v>16</v>
      </c>
      <c r="B721" s="614" t="s">
        <v>637</v>
      </c>
      <c r="C721" s="615" t="s">
        <v>1192</v>
      </c>
      <c r="D721" s="615" t="s">
        <v>110</v>
      </c>
      <c r="E721" s="616" t="s">
        <v>591</v>
      </c>
      <c r="F721" s="141"/>
      <c r="G721" s="617" t="s">
        <v>90</v>
      </c>
      <c r="H721" s="618">
        <v>5</v>
      </c>
      <c r="I721" s="618">
        <v>4</v>
      </c>
      <c r="J721" s="619">
        <v>3894</v>
      </c>
      <c r="K721" s="619">
        <v>3588</v>
      </c>
      <c r="L721" s="619">
        <v>144</v>
      </c>
      <c r="M721" s="618">
        <v>188</v>
      </c>
      <c r="N721" s="797">
        <f>'Приложение 2'!E723</f>
        <v>3330666</v>
      </c>
      <c r="O721" s="797">
        <v>0</v>
      </c>
      <c r="P721" s="797">
        <v>0</v>
      </c>
      <c r="Q721" s="797">
        <v>0</v>
      </c>
      <c r="R721" s="797">
        <f t="shared" si="186"/>
        <v>3330666</v>
      </c>
      <c r="S721" s="797">
        <f t="shared" si="187"/>
        <v>928.27926421404686</v>
      </c>
      <c r="T721" s="797">
        <v>4180</v>
      </c>
      <c r="U721" s="132" t="s">
        <v>590</v>
      </c>
      <c r="V721" s="144">
        <f t="shared" si="188"/>
        <v>3251.7207357859534</v>
      </c>
      <c r="W721" s="119"/>
    </row>
    <row r="722" spans="1:23" ht="9" customHeight="1">
      <c r="A722" s="803">
        <v>17</v>
      </c>
      <c r="B722" s="614" t="s">
        <v>639</v>
      </c>
      <c r="C722" s="615" t="s">
        <v>1192</v>
      </c>
      <c r="D722" s="615" t="s">
        <v>110</v>
      </c>
      <c r="E722" s="616" t="s">
        <v>591</v>
      </c>
      <c r="F722" s="141"/>
      <c r="G722" s="617" t="s">
        <v>90</v>
      </c>
      <c r="H722" s="618">
        <v>5</v>
      </c>
      <c r="I722" s="618">
        <v>4</v>
      </c>
      <c r="J722" s="619">
        <v>3868.7</v>
      </c>
      <c r="K722" s="619">
        <v>3569.7</v>
      </c>
      <c r="L722" s="619">
        <v>914</v>
      </c>
      <c r="M722" s="618">
        <v>170</v>
      </c>
      <c r="N722" s="797">
        <f>'Приложение 2'!E724</f>
        <v>3000600</v>
      </c>
      <c r="O722" s="797">
        <v>0</v>
      </c>
      <c r="P722" s="797">
        <v>0</v>
      </c>
      <c r="Q722" s="797">
        <v>0</v>
      </c>
      <c r="R722" s="797">
        <f t="shared" si="186"/>
        <v>3000600</v>
      </c>
      <c r="S722" s="797">
        <f t="shared" si="187"/>
        <v>840.57483822169934</v>
      </c>
      <c r="T722" s="797">
        <v>4180</v>
      </c>
      <c r="U722" s="132" t="s">
        <v>590</v>
      </c>
      <c r="V722" s="144">
        <f t="shared" si="188"/>
        <v>3339.4251617783007</v>
      </c>
      <c r="W722" s="119"/>
    </row>
    <row r="723" spans="1:23" ht="9" customHeight="1">
      <c r="A723" s="803">
        <v>18</v>
      </c>
      <c r="B723" s="614" t="s">
        <v>640</v>
      </c>
      <c r="C723" s="615" t="s">
        <v>1192</v>
      </c>
      <c r="D723" s="615" t="s">
        <v>110</v>
      </c>
      <c r="E723" s="616" t="s">
        <v>591</v>
      </c>
      <c r="F723" s="141"/>
      <c r="G723" s="617" t="s">
        <v>90</v>
      </c>
      <c r="H723" s="618">
        <v>5</v>
      </c>
      <c r="I723" s="618">
        <v>4</v>
      </c>
      <c r="J723" s="619">
        <v>3864.6</v>
      </c>
      <c r="K723" s="619">
        <v>3545.6</v>
      </c>
      <c r="L723" s="619">
        <v>645</v>
      </c>
      <c r="M723" s="618">
        <v>164</v>
      </c>
      <c r="N723" s="797">
        <f>'Приложение 2'!E725</f>
        <v>3247316</v>
      </c>
      <c r="O723" s="797">
        <v>0</v>
      </c>
      <c r="P723" s="797">
        <v>0</v>
      </c>
      <c r="Q723" s="797">
        <v>0</v>
      </c>
      <c r="R723" s="797">
        <f t="shared" si="186"/>
        <v>3247316</v>
      </c>
      <c r="S723" s="797">
        <f t="shared" si="187"/>
        <v>915.87206678700363</v>
      </c>
      <c r="T723" s="797">
        <v>4180</v>
      </c>
      <c r="U723" s="132" t="s">
        <v>590</v>
      </c>
      <c r="V723" s="144">
        <f t="shared" si="188"/>
        <v>3264.1279332129961</v>
      </c>
      <c r="W723" s="119"/>
    </row>
    <row r="724" spans="1:23" ht="9" customHeight="1">
      <c r="A724" s="803">
        <v>19</v>
      </c>
      <c r="B724" s="614" t="s">
        <v>641</v>
      </c>
      <c r="C724" s="615" t="s">
        <v>1192</v>
      </c>
      <c r="D724" s="615" t="s">
        <v>110</v>
      </c>
      <c r="E724" s="616" t="s">
        <v>600</v>
      </c>
      <c r="F724" s="141"/>
      <c r="G724" s="617" t="s">
        <v>88</v>
      </c>
      <c r="H724" s="618">
        <v>9</v>
      </c>
      <c r="I724" s="618">
        <v>3</v>
      </c>
      <c r="J724" s="619">
        <v>6369.7</v>
      </c>
      <c r="K724" s="619">
        <v>5711</v>
      </c>
      <c r="L724" s="619">
        <v>5711</v>
      </c>
      <c r="M724" s="617">
        <v>188</v>
      </c>
      <c r="N724" s="797">
        <f>'Приложение 2'!E726</f>
        <v>7001400</v>
      </c>
      <c r="O724" s="797">
        <v>0</v>
      </c>
      <c r="P724" s="797">
        <v>0</v>
      </c>
      <c r="Q724" s="797">
        <v>0</v>
      </c>
      <c r="R724" s="797">
        <f t="shared" si="186"/>
        <v>7001400</v>
      </c>
      <c r="S724" s="797">
        <f t="shared" si="187"/>
        <v>1225.9499212046926</v>
      </c>
      <c r="T724" s="797">
        <v>4180</v>
      </c>
      <c r="U724" s="132" t="s">
        <v>590</v>
      </c>
      <c r="V724" s="144">
        <f t="shared" si="188"/>
        <v>2954.0500787953074</v>
      </c>
      <c r="W724" s="119"/>
    </row>
    <row r="725" spans="1:23" ht="9" customHeight="1">
      <c r="A725" s="803">
        <v>20</v>
      </c>
      <c r="B725" s="614" t="s">
        <v>642</v>
      </c>
      <c r="C725" s="615" t="s">
        <v>1192</v>
      </c>
      <c r="D725" s="615" t="s">
        <v>110</v>
      </c>
      <c r="E725" s="616" t="s">
        <v>612</v>
      </c>
      <c r="F725" s="141"/>
      <c r="G725" s="617" t="s">
        <v>90</v>
      </c>
      <c r="H725" s="618">
        <v>5</v>
      </c>
      <c r="I725" s="618">
        <v>3</v>
      </c>
      <c r="J725" s="619">
        <v>3163.8</v>
      </c>
      <c r="K725" s="619">
        <v>1992.5</v>
      </c>
      <c r="L725" s="619">
        <v>189</v>
      </c>
      <c r="M725" s="618">
        <v>262</v>
      </c>
      <c r="N725" s="797">
        <f>'Приложение 2'!E727</f>
        <v>2610522</v>
      </c>
      <c r="O725" s="797">
        <v>0</v>
      </c>
      <c r="P725" s="797">
        <v>0</v>
      </c>
      <c r="Q725" s="797">
        <v>0</v>
      </c>
      <c r="R725" s="797">
        <f t="shared" si="186"/>
        <v>2610522</v>
      </c>
      <c r="S725" s="797">
        <f t="shared" si="187"/>
        <v>1310.1741530740276</v>
      </c>
      <c r="T725" s="797">
        <v>4180</v>
      </c>
      <c r="U725" s="132" t="s">
        <v>590</v>
      </c>
      <c r="V725" s="144">
        <f t="shared" si="188"/>
        <v>2869.8258469259727</v>
      </c>
      <c r="W725" s="119"/>
    </row>
    <row r="726" spans="1:23" ht="9" customHeight="1">
      <c r="A726" s="803">
        <v>21</v>
      </c>
      <c r="B726" s="614" t="s">
        <v>643</v>
      </c>
      <c r="C726" s="615" t="s">
        <v>1192</v>
      </c>
      <c r="D726" s="615" t="s">
        <v>110</v>
      </c>
      <c r="E726" s="616" t="s">
        <v>613</v>
      </c>
      <c r="F726" s="141"/>
      <c r="G726" s="617" t="s">
        <v>90</v>
      </c>
      <c r="H726" s="618">
        <v>5</v>
      </c>
      <c r="I726" s="618">
        <v>4</v>
      </c>
      <c r="J726" s="619">
        <v>3732.2</v>
      </c>
      <c r="K726" s="619">
        <v>3489</v>
      </c>
      <c r="L726" s="619">
        <v>3298</v>
      </c>
      <c r="M726" s="618">
        <v>188</v>
      </c>
      <c r="N726" s="797">
        <f>'Приложение 2'!E728</f>
        <v>3218310.2</v>
      </c>
      <c r="O726" s="797">
        <v>0</v>
      </c>
      <c r="P726" s="797">
        <v>0</v>
      </c>
      <c r="Q726" s="797">
        <v>0</v>
      </c>
      <c r="R726" s="797">
        <f t="shared" si="186"/>
        <v>3218310.2</v>
      </c>
      <c r="S726" s="797">
        <f t="shared" si="187"/>
        <v>922.41622241329901</v>
      </c>
      <c r="T726" s="797">
        <v>4180</v>
      </c>
      <c r="U726" s="132" t="s">
        <v>590</v>
      </c>
      <c r="V726" s="144">
        <f t="shared" si="188"/>
        <v>3257.5837775867012</v>
      </c>
      <c r="W726" s="119"/>
    </row>
    <row r="727" spans="1:23" ht="9" customHeight="1">
      <c r="A727" s="803">
        <v>22</v>
      </c>
      <c r="B727" s="614" t="s">
        <v>644</v>
      </c>
      <c r="C727" s="615" t="s">
        <v>1192</v>
      </c>
      <c r="D727" s="615" t="s">
        <v>110</v>
      </c>
      <c r="E727" s="616" t="s">
        <v>604</v>
      </c>
      <c r="F727" s="141"/>
      <c r="G727" s="617" t="s">
        <v>90</v>
      </c>
      <c r="H727" s="618">
        <v>5</v>
      </c>
      <c r="I727" s="618">
        <v>6</v>
      </c>
      <c r="J727" s="619">
        <v>4641.3999999999996</v>
      </c>
      <c r="K727" s="619">
        <v>4272.3999999999996</v>
      </c>
      <c r="L727" s="619">
        <v>185</v>
      </c>
      <c r="M727" s="618">
        <v>206</v>
      </c>
      <c r="N727" s="797">
        <f>'Приложение 2'!E729</f>
        <v>3931786.2</v>
      </c>
      <c r="O727" s="797">
        <v>0</v>
      </c>
      <c r="P727" s="797">
        <v>0</v>
      </c>
      <c r="Q727" s="797">
        <v>0</v>
      </c>
      <c r="R727" s="797">
        <f t="shared" si="186"/>
        <v>3931786.2</v>
      </c>
      <c r="S727" s="797">
        <f t="shared" si="187"/>
        <v>920.27577005898331</v>
      </c>
      <c r="T727" s="797">
        <v>4180</v>
      </c>
      <c r="U727" s="132" t="s">
        <v>590</v>
      </c>
      <c r="V727" s="144">
        <f t="shared" si="188"/>
        <v>3259.7242299410168</v>
      </c>
      <c r="W727" s="119"/>
    </row>
    <row r="728" spans="1:23" ht="9" customHeight="1">
      <c r="A728" s="803">
        <v>23</v>
      </c>
      <c r="B728" s="614" t="s">
        <v>645</v>
      </c>
      <c r="C728" s="615" t="s">
        <v>1192</v>
      </c>
      <c r="D728" s="615" t="s">
        <v>110</v>
      </c>
      <c r="E728" s="616" t="s">
        <v>618</v>
      </c>
      <c r="F728" s="141"/>
      <c r="G728" s="617" t="s">
        <v>90</v>
      </c>
      <c r="H728" s="618">
        <v>5</v>
      </c>
      <c r="I728" s="618">
        <v>10</v>
      </c>
      <c r="J728" s="619">
        <v>7313</v>
      </c>
      <c r="K728" s="619">
        <v>6688</v>
      </c>
      <c r="L728" s="619">
        <v>367</v>
      </c>
      <c r="M728" s="618">
        <v>378</v>
      </c>
      <c r="N728" s="797">
        <f>'Приложение 2'!E730</f>
        <v>11589702.08</v>
      </c>
      <c r="O728" s="797">
        <v>0</v>
      </c>
      <c r="P728" s="797">
        <v>0</v>
      </c>
      <c r="Q728" s="797">
        <v>0</v>
      </c>
      <c r="R728" s="797">
        <f t="shared" si="186"/>
        <v>11589702.08</v>
      </c>
      <c r="S728" s="797">
        <f t="shared" si="187"/>
        <v>1732.91</v>
      </c>
      <c r="T728" s="797">
        <f>4984.65+322.91</f>
        <v>5307.5599999999995</v>
      </c>
      <c r="U728" s="132" t="s">
        <v>590</v>
      </c>
      <c r="V728" s="144">
        <f t="shared" si="188"/>
        <v>3574.6499999999996</v>
      </c>
      <c r="W728" s="119"/>
    </row>
    <row r="729" spans="1:23" ht="9" customHeight="1">
      <c r="A729" s="803">
        <v>24</v>
      </c>
      <c r="B729" s="614" t="s">
        <v>646</v>
      </c>
      <c r="C729" s="615" t="s">
        <v>1192</v>
      </c>
      <c r="D729" s="615" t="s">
        <v>110</v>
      </c>
      <c r="E729" s="616" t="s">
        <v>597</v>
      </c>
      <c r="F729" s="141"/>
      <c r="G729" s="617" t="s">
        <v>88</v>
      </c>
      <c r="H729" s="618">
        <v>5</v>
      </c>
      <c r="I729" s="618">
        <v>1</v>
      </c>
      <c r="J729" s="619">
        <v>4081.3</v>
      </c>
      <c r="K729" s="619">
        <v>2691.4</v>
      </c>
      <c r="L729" s="619">
        <v>2691.4</v>
      </c>
      <c r="M729" s="618">
        <v>286</v>
      </c>
      <c r="N729" s="797">
        <f>'Приложение 2'!E731</f>
        <v>3604054</v>
      </c>
      <c r="O729" s="797">
        <v>0</v>
      </c>
      <c r="P729" s="797">
        <v>0</v>
      </c>
      <c r="Q729" s="797">
        <v>0</v>
      </c>
      <c r="R729" s="797">
        <f t="shared" si="186"/>
        <v>3604054</v>
      </c>
      <c r="S729" s="797">
        <f t="shared" si="187"/>
        <v>1339.1000966039978</v>
      </c>
      <c r="T729" s="797">
        <v>4180</v>
      </c>
      <c r="U729" s="132" t="s">
        <v>590</v>
      </c>
      <c r="V729" s="144">
        <f t="shared" si="188"/>
        <v>2840.8999033960022</v>
      </c>
      <c r="W729" s="119"/>
    </row>
    <row r="730" spans="1:23" ht="9" customHeight="1">
      <c r="A730" s="803">
        <v>25</v>
      </c>
      <c r="B730" s="614" t="s">
        <v>647</v>
      </c>
      <c r="C730" s="615" t="s">
        <v>1192</v>
      </c>
      <c r="D730" s="615" t="s">
        <v>110</v>
      </c>
      <c r="E730" s="616" t="s">
        <v>299</v>
      </c>
      <c r="F730" s="141"/>
      <c r="G730" s="617" t="s">
        <v>88</v>
      </c>
      <c r="H730" s="618">
        <v>5</v>
      </c>
      <c r="I730" s="618">
        <v>1</v>
      </c>
      <c r="J730" s="619">
        <v>2731.4</v>
      </c>
      <c r="K730" s="619">
        <v>2434.4</v>
      </c>
      <c r="L730" s="619">
        <v>2434.4</v>
      </c>
      <c r="M730" s="618">
        <v>18</v>
      </c>
      <c r="N730" s="797">
        <f>'Приложение 2'!E732</f>
        <v>2770554</v>
      </c>
      <c r="O730" s="797">
        <v>0</v>
      </c>
      <c r="P730" s="797">
        <v>0</v>
      </c>
      <c r="Q730" s="797">
        <v>0</v>
      </c>
      <c r="R730" s="797">
        <f t="shared" si="186"/>
        <v>2770554</v>
      </c>
      <c r="S730" s="797">
        <f t="shared" si="187"/>
        <v>1138.0849490634241</v>
      </c>
      <c r="T730" s="797">
        <v>4180</v>
      </c>
      <c r="U730" s="132" t="s">
        <v>590</v>
      </c>
      <c r="V730" s="144">
        <f t="shared" si="188"/>
        <v>3041.9150509365759</v>
      </c>
      <c r="W730" s="119"/>
    </row>
    <row r="731" spans="1:23" ht="9" customHeight="1">
      <c r="A731" s="803">
        <v>26</v>
      </c>
      <c r="B731" s="614" t="s">
        <v>648</v>
      </c>
      <c r="C731" s="615" t="s">
        <v>1192</v>
      </c>
      <c r="D731" s="615" t="s">
        <v>110</v>
      </c>
      <c r="E731" s="616" t="s">
        <v>611</v>
      </c>
      <c r="F731" s="141"/>
      <c r="G731" s="617" t="s">
        <v>90</v>
      </c>
      <c r="H731" s="618">
        <v>5</v>
      </c>
      <c r="I731" s="618">
        <v>4</v>
      </c>
      <c r="J731" s="619">
        <v>3816.8</v>
      </c>
      <c r="K731" s="619">
        <v>3524.8</v>
      </c>
      <c r="L731" s="619">
        <v>1786</v>
      </c>
      <c r="M731" s="618">
        <v>70</v>
      </c>
      <c r="N731" s="797">
        <f>'Приложение 2'!E733</f>
        <v>3237314</v>
      </c>
      <c r="O731" s="797">
        <v>0</v>
      </c>
      <c r="P731" s="797">
        <v>0</v>
      </c>
      <c r="Q731" s="797">
        <v>0</v>
      </c>
      <c r="R731" s="797">
        <f t="shared" si="186"/>
        <v>3237314</v>
      </c>
      <c r="S731" s="797">
        <f t="shared" si="187"/>
        <v>918.43906037221961</v>
      </c>
      <c r="T731" s="797">
        <v>4180</v>
      </c>
      <c r="U731" s="132" t="s">
        <v>590</v>
      </c>
      <c r="V731" s="144">
        <f t="shared" si="188"/>
        <v>3261.5609396277805</v>
      </c>
      <c r="W731" s="119"/>
    </row>
    <row r="732" spans="1:23" ht="9" customHeight="1">
      <c r="A732" s="803">
        <v>27</v>
      </c>
      <c r="B732" s="614" t="s">
        <v>649</v>
      </c>
      <c r="C732" s="615" t="s">
        <v>1192</v>
      </c>
      <c r="D732" s="615" t="s">
        <v>110</v>
      </c>
      <c r="E732" s="616" t="s">
        <v>613</v>
      </c>
      <c r="F732" s="141"/>
      <c r="G732" s="617" t="s">
        <v>90</v>
      </c>
      <c r="H732" s="618">
        <v>5</v>
      </c>
      <c r="I732" s="618">
        <v>4</v>
      </c>
      <c r="J732" s="619">
        <v>3781</v>
      </c>
      <c r="K732" s="619">
        <v>3483</v>
      </c>
      <c r="L732" s="619">
        <v>584</v>
      </c>
      <c r="M732" s="618">
        <v>17</v>
      </c>
      <c r="N732" s="797">
        <f>'Приложение 2'!E734</f>
        <v>3000600</v>
      </c>
      <c r="O732" s="797">
        <v>0</v>
      </c>
      <c r="P732" s="797">
        <v>0</v>
      </c>
      <c r="Q732" s="797">
        <v>0</v>
      </c>
      <c r="R732" s="797">
        <f t="shared" si="186"/>
        <v>3000600</v>
      </c>
      <c r="S732" s="797">
        <f t="shared" si="187"/>
        <v>861.49870801033592</v>
      </c>
      <c r="T732" s="797">
        <v>4180</v>
      </c>
      <c r="U732" s="132" t="s">
        <v>590</v>
      </c>
      <c r="V732" s="144">
        <f t="shared" si="188"/>
        <v>3318.501291989664</v>
      </c>
      <c r="W732" s="119"/>
    </row>
    <row r="733" spans="1:23" ht="9" customHeight="1">
      <c r="A733" s="803">
        <v>28</v>
      </c>
      <c r="B733" s="614" t="s">
        <v>650</v>
      </c>
      <c r="C733" s="615" t="s">
        <v>1192</v>
      </c>
      <c r="D733" s="615" t="s">
        <v>111</v>
      </c>
      <c r="E733" s="616" t="s">
        <v>745</v>
      </c>
      <c r="F733" s="141"/>
      <c r="G733" s="617" t="s">
        <v>88</v>
      </c>
      <c r="H733" s="618">
        <v>5</v>
      </c>
      <c r="I733" s="618">
        <v>2</v>
      </c>
      <c r="J733" s="619">
        <v>1877.2</v>
      </c>
      <c r="K733" s="619">
        <v>1660.4</v>
      </c>
      <c r="L733" s="619">
        <v>1660.4</v>
      </c>
      <c r="M733" s="618">
        <v>78</v>
      </c>
      <c r="N733" s="797">
        <f>'Приложение 2'!E735</f>
        <v>2092398</v>
      </c>
      <c r="O733" s="797">
        <v>0</v>
      </c>
      <c r="P733" s="797">
        <v>0</v>
      </c>
      <c r="Q733" s="797">
        <v>0</v>
      </c>
      <c r="R733" s="797">
        <f t="shared" si="186"/>
        <v>2092398</v>
      </c>
      <c r="S733" s="797">
        <f t="shared" si="187"/>
        <v>1260.1770657672848</v>
      </c>
      <c r="T733" s="797">
        <v>4503.95</v>
      </c>
      <c r="U733" s="132" t="s">
        <v>590</v>
      </c>
      <c r="V733" s="144">
        <f t="shared" si="188"/>
        <v>3243.7729342327148</v>
      </c>
      <c r="W733" s="119"/>
    </row>
    <row r="734" spans="1:23" ht="9" customHeight="1">
      <c r="A734" s="803">
        <v>29</v>
      </c>
      <c r="B734" s="614" t="s">
        <v>651</v>
      </c>
      <c r="C734" s="615" t="s">
        <v>1192</v>
      </c>
      <c r="D734" s="615" t="s">
        <v>110</v>
      </c>
      <c r="E734" s="616" t="s">
        <v>595</v>
      </c>
      <c r="F734" s="141"/>
      <c r="G734" s="617" t="s">
        <v>90</v>
      </c>
      <c r="H734" s="618">
        <v>5</v>
      </c>
      <c r="I734" s="618">
        <v>4</v>
      </c>
      <c r="J734" s="619">
        <v>3829.9</v>
      </c>
      <c r="K734" s="619">
        <v>3517.9</v>
      </c>
      <c r="L734" s="619">
        <v>3003</v>
      </c>
      <c r="M734" s="618">
        <v>100</v>
      </c>
      <c r="N734" s="797">
        <f>'Приложение 2'!E736</f>
        <v>3213976</v>
      </c>
      <c r="O734" s="797">
        <v>0</v>
      </c>
      <c r="P734" s="797">
        <v>0</v>
      </c>
      <c r="Q734" s="797">
        <v>0</v>
      </c>
      <c r="R734" s="797">
        <f t="shared" si="186"/>
        <v>3213976</v>
      </c>
      <c r="S734" s="797">
        <f t="shared" si="187"/>
        <v>913.6064129167969</v>
      </c>
      <c r="T734" s="797">
        <v>4180</v>
      </c>
      <c r="U734" s="132" t="s">
        <v>590</v>
      </c>
      <c r="V734" s="144">
        <f t="shared" si="188"/>
        <v>3266.3935870832029</v>
      </c>
      <c r="W734" s="119"/>
    </row>
    <row r="735" spans="1:23" ht="9" customHeight="1">
      <c r="A735" s="803">
        <v>30</v>
      </c>
      <c r="B735" s="614" t="s">
        <v>652</v>
      </c>
      <c r="C735" s="615" t="s">
        <v>1192</v>
      </c>
      <c r="D735" s="615" t="s">
        <v>110</v>
      </c>
      <c r="E735" s="616" t="s">
        <v>596</v>
      </c>
      <c r="F735" s="141"/>
      <c r="G735" s="617" t="s">
        <v>90</v>
      </c>
      <c r="H735" s="618">
        <v>5</v>
      </c>
      <c r="I735" s="618">
        <v>4</v>
      </c>
      <c r="J735" s="619">
        <v>3854</v>
      </c>
      <c r="K735" s="619">
        <v>3543</v>
      </c>
      <c r="L735" s="619">
        <v>792</v>
      </c>
      <c r="M735" s="618">
        <v>36</v>
      </c>
      <c r="N735" s="797">
        <f>'Приложение 2'!E737</f>
        <v>3270654</v>
      </c>
      <c r="O735" s="797">
        <v>0</v>
      </c>
      <c r="P735" s="797">
        <v>0</v>
      </c>
      <c r="Q735" s="797">
        <v>0</v>
      </c>
      <c r="R735" s="797">
        <f t="shared" si="186"/>
        <v>3270654</v>
      </c>
      <c r="S735" s="797">
        <f t="shared" si="187"/>
        <v>923.13124470787466</v>
      </c>
      <c r="T735" s="797">
        <v>4180</v>
      </c>
      <c r="U735" s="132" t="s">
        <v>590</v>
      </c>
      <c r="V735" s="144">
        <f t="shared" si="188"/>
        <v>3256.8687552921256</v>
      </c>
      <c r="W735" s="119"/>
    </row>
    <row r="736" spans="1:23" ht="9" customHeight="1">
      <c r="A736" s="803">
        <v>31</v>
      </c>
      <c r="B736" s="614" t="s">
        <v>653</v>
      </c>
      <c r="C736" s="615" t="s">
        <v>1192</v>
      </c>
      <c r="D736" s="615" t="s">
        <v>110</v>
      </c>
      <c r="E736" s="616" t="s">
        <v>596</v>
      </c>
      <c r="F736" s="141"/>
      <c r="G736" s="617" t="s">
        <v>90</v>
      </c>
      <c r="H736" s="618">
        <v>5</v>
      </c>
      <c r="I736" s="618">
        <v>4</v>
      </c>
      <c r="J736" s="619">
        <v>3847.5</v>
      </c>
      <c r="K736" s="619">
        <v>3546.1</v>
      </c>
      <c r="L736" s="619">
        <v>632</v>
      </c>
      <c r="M736" s="618">
        <v>28</v>
      </c>
      <c r="N736" s="797">
        <f>'Приложение 2'!E738</f>
        <v>3243982</v>
      </c>
      <c r="O736" s="797">
        <v>0</v>
      </c>
      <c r="P736" s="797">
        <v>0</v>
      </c>
      <c r="Q736" s="797">
        <v>0</v>
      </c>
      <c r="R736" s="797">
        <f t="shared" si="186"/>
        <v>3243982</v>
      </c>
      <c r="S736" s="797">
        <f t="shared" si="187"/>
        <v>914.8027410394518</v>
      </c>
      <c r="T736" s="797">
        <v>4180</v>
      </c>
      <c r="U736" s="132" t="s">
        <v>590</v>
      </c>
      <c r="V736" s="144">
        <f t="shared" si="188"/>
        <v>3265.1972589605484</v>
      </c>
      <c r="W736" s="119"/>
    </row>
    <row r="737" spans="1:23" ht="9" customHeight="1">
      <c r="A737" s="803">
        <v>32</v>
      </c>
      <c r="B737" s="614" t="s">
        <v>654</v>
      </c>
      <c r="C737" s="615" t="s">
        <v>1192</v>
      </c>
      <c r="D737" s="615" t="s">
        <v>110</v>
      </c>
      <c r="E737" s="616" t="s">
        <v>607</v>
      </c>
      <c r="F737" s="141"/>
      <c r="G737" s="617" t="s">
        <v>88</v>
      </c>
      <c r="H737" s="618">
        <v>5</v>
      </c>
      <c r="I737" s="618">
        <v>2</v>
      </c>
      <c r="J737" s="619">
        <v>4825.3999999999996</v>
      </c>
      <c r="K737" s="619">
        <v>2552.8000000000002</v>
      </c>
      <c r="L737" s="619">
        <v>2552.8000000000002</v>
      </c>
      <c r="M737" s="617">
        <v>268</v>
      </c>
      <c r="N737" s="797">
        <f>'Приложение 2'!E739</f>
        <v>3800760</v>
      </c>
      <c r="O737" s="797">
        <v>0</v>
      </c>
      <c r="P737" s="797">
        <v>0</v>
      </c>
      <c r="Q737" s="797">
        <v>0</v>
      </c>
      <c r="R737" s="797">
        <f t="shared" si="186"/>
        <v>3800760</v>
      </c>
      <c r="S737" s="797">
        <f t="shared" si="187"/>
        <v>1488.8592917580695</v>
      </c>
      <c r="T737" s="797">
        <v>4180</v>
      </c>
      <c r="U737" s="132" t="s">
        <v>590</v>
      </c>
      <c r="V737" s="144">
        <f t="shared" si="188"/>
        <v>2691.1407082419305</v>
      </c>
      <c r="W737" s="119"/>
    </row>
    <row r="738" spans="1:23" ht="9" customHeight="1">
      <c r="A738" s="803">
        <v>33</v>
      </c>
      <c r="B738" s="614" t="s">
        <v>655</v>
      </c>
      <c r="C738" s="615" t="s">
        <v>1192</v>
      </c>
      <c r="D738" s="615" t="s">
        <v>110</v>
      </c>
      <c r="E738" s="616" t="s">
        <v>607</v>
      </c>
      <c r="F738" s="141"/>
      <c r="G738" s="617" t="s">
        <v>88</v>
      </c>
      <c r="H738" s="618">
        <v>5</v>
      </c>
      <c r="I738" s="618">
        <v>1</v>
      </c>
      <c r="J738" s="619">
        <v>3991.3</v>
      </c>
      <c r="K738" s="619">
        <v>2652.1</v>
      </c>
      <c r="L738" s="619">
        <v>2652.1</v>
      </c>
      <c r="M738" s="617">
        <v>222</v>
      </c>
      <c r="N738" s="797">
        <f>'Приложение 2'!E740</f>
        <v>3764086</v>
      </c>
      <c r="O738" s="797">
        <v>0</v>
      </c>
      <c r="P738" s="797">
        <v>0</v>
      </c>
      <c r="Q738" s="797">
        <v>0</v>
      </c>
      <c r="R738" s="797">
        <f t="shared" si="186"/>
        <v>3764086</v>
      </c>
      <c r="S738" s="797">
        <f t="shared" si="187"/>
        <v>1419.2850948305118</v>
      </c>
      <c r="T738" s="797">
        <v>4180</v>
      </c>
      <c r="U738" s="132" t="s">
        <v>590</v>
      </c>
      <c r="V738" s="144">
        <f t="shared" si="188"/>
        <v>2760.7149051694882</v>
      </c>
      <c r="W738" s="119"/>
    </row>
    <row r="739" spans="1:23" ht="9" customHeight="1">
      <c r="A739" s="803">
        <v>34</v>
      </c>
      <c r="B739" s="614" t="s">
        <v>656</v>
      </c>
      <c r="C739" s="615" t="s">
        <v>1192</v>
      </c>
      <c r="D739" s="615" t="s">
        <v>110</v>
      </c>
      <c r="E739" s="616" t="s">
        <v>592</v>
      </c>
      <c r="F739" s="141"/>
      <c r="G739" s="617" t="s">
        <v>88</v>
      </c>
      <c r="H739" s="618">
        <v>9</v>
      </c>
      <c r="I739" s="618">
        <v>1</v>
      </c>
      <c r="J739" s="619">
        <v>6731.6</v>
      </c>
      <c r="K739" s="619">
        <v>3633.5</v>
      </c>
      <c r="L739" s="619">
        <v>3633.5</v>
      </c>
      <c r="M739" s="617">
        <v>349</v>
      </c>
      <c r="N739" s="797">
        <f>'Приложение 2'!E741</f>
        <v>4117490</v>
      </c>
      <c r="O739" s="797">
        <v>0</v>
      </c>
      <c r="P739" s="797">
        <v>0</v>
      </c>
      <c r="Q739" s="797">
        <v>0</v>
      </c>
      <c r="R739" s="797">
        <f t="shared" si="186"/>
        <v>4117490</v>
      </c>
      <c r="S739" s="797">
        <f t="shared" si="187"/>
        <v>1133.2021466905187</v>
      </c>
      <c r="T739" s="797">
        <v>4180</v>
      </c>
      <c r="U739" s="132" t="s">
        <v>590</v>
      </c>
      <c r="V739" s="144">
        <f t="shared" si="188"/>
        <v>3046.7978533094811</v>
      </c>
      <c r="W739" s="119"/>
    </row>
    <row r="740" spans="1:23" ht="9" customHeight="1">
      <c r="A740" s="803">
        <v>35</v>
      </c>
      <c r="B740" s="614" t="s">
        <v>657</v>
      </c>
      <c r="C740" s="615" t="s">
        <v>1192</v>
      </c>
      <c r="D740" s="615" t="s">
        <v>110</v>
      </c>
      <c r="E740" s="616" t="s">
        <v>608</v>
      </c>
      <c r="F740" s="141"/>
      <c r="G740" s="617" t="s">
        <v>88</v>
      </c>
      <c r="H740" s="618">
        <v>6</v>
      </c>
      <c r="I740" s="618">
        <v>1</v>
      </c>
      <c r="J740" s="619">
        <v>1214.25</v>
      </c>
      <c r="K740" s="619">
        <v>1072.0999999999999</v>
      </c>
      <c r="L740" s="619">
        <v>1072.0999999999999</v>
      </c>
      <c r="M740" s="617">
        <v>37</v>
      </c>
      <c r="N740" s="797">
        <f>'Приложение 2'!E742</f>
        <v>833500</v>
      </c>
      <c r="O740" s="797">
        <v>0</v>
      </c>
      <c r="P740" s="797">
        <v>0</v>
      </c>
      <c r="Q740" s="797">
        <v>0</v>
      </c>
      <c r="R740" s="797">
        <f t="shared" si="186"/>
        <v>833500</v>
      </c>
      <c r="S740" s="797">
        <f t="shared" si="187"/>
        <v>777.44613375617951</v>
      </c>
      <c r="T740" s="797">
        <v>4180</v>
      </c>
      <c r="U740" s="132" t="s">
        <v>590</v>
      </c>
      <c r="V740" s="144">
        <f t="shared" si="188"/>
        <v>3402.5538662438203</v>
      </c>
      <c r="W740" s="119"/>
    </row>
    <row r="741" spans="1:23" ht="9" customHeight="1">
      <c r="A741" s="803">
        <v>36</v>
      </c>
      <c r="B741" s="614" t="s">
        <v>658</v>
      </c>
      <c r="C741" s="615" t="s">
        <v>1192</v>
      </c>
      <c r="D741" s="615" t="s">
        <v>111</v>
      </c>
      <c r="E741" s="616" t="s">
        <v>595</v>
      </c>
      <c r="F741" s="141"/>
      <c r="G741" s="617" t="s">
        <v>88</v>
      </c>
      <c r="H741" s="618">
        <v>5</v>
      </c>
      <c r="I741" s="618">
        <v>3</v>
      </c>
      <c r="J741" s="619">
        <v>2702.8</v>
      </c>
      <c r="K741" s="619">
        <v>2518.3000000000002</v>
      </c>
      <c r="L741" s="619">
        <v>2518.3000000000002</v>
      </c>
      <c r="M741" s="618">
        <v>122</v>
      </c>
      <c r="N741" s="797">
        <f>'Приложение 2'!E743</f>
        <v>3104640</v>
      </c>
      <c r="O741" s="797">
        <v>0</v>
      </c>
      <c r="P741" s="797">
        <v>0</v>
      </c>
      <c r="Q741" s="797">
        <v>0</v>
      </c>
      <c r="R741" s="797">
        <f t="shared" si="186"/>
        <v>3104640</v>
      </c>
      <c r="S741" s="797">
        <f t="shared" si="187"/>
        <v>1232.8316721597903</v>
      </c>
      <c r="T741" s="797">
        <v>4503.95</v>
      </c>
      <c r="U741" s="132" t="s">
        <v>590</v>
      </c>
      <c r="V741" s="144">
        <f t="shared" si="188"/>
        <v>3271.1183278402095</v>
      </c>
      <c r="W741" s="119"/>
    </row>
    <row r="742" spans="1:23" ht="9" customHeight="1">
      <c r="A742" s="803">
        <v>37</v>
      </c>
      <c r="B742" s="614" t="s">
        <v>659</v>
      </c>
      <c r="C742" s="615" t="s">
        <v>1192</v>
      </c>
      <c r="D742" s="615" t="s">
        <v>110</v>
      </c>
      <c r="E742" s="616" t="s">
        <v>610</v>
      </c>
      <c r="F742" s="141"/>
      <c r="G742" s="617" t="s">
        <v>88</v>
      </c>
      <c r="H742" s="618">
        <v>5</v>
      </c>
      <c r="I742" s="618">
        <v>4</v>
      </c>
      <c r="J742" s="619">
        <v>3634.1</v>
      </c>
      <c r="K742" s="619">
        <v>3239.1</v>
      </c>
      <c r="L742" s="619">
        <v>3239.1</v>
      </c>
      <c r="M742" s="618">
        <v>150</v>
      </c>
      <c r="N742" s="797">
        <f>'Приложение 2'!E744</f>
        <v>3386677.2</v>
      </c>
      <c r="O742" s="797">
        <v>0</v>
      </c>
      <c r="P742" s="797">
        <v>0</v>
      </c>
      <c r="Q742" s="797">
        <v>0</v>
      </c>
      <c r="R742" s="797">
        <f t="shared" si="186"/>
        <v>3386677.2</v>
      </c>
      <c r="S742" s="797">
        <f t="shared" si="187"/>
        <v>1045.5611744002965</v>
      </c>
      <c r="T742" s="797">
        <v>4180</v>
      </c>
      <c r="U742" s="132" t="s">
        <v>590</v>
      </c>
      <c r="V742" s="144">
        <f t="shared" si="188"/>
        <v>3134.4388255997037</v>
      </c>
      <c r="W742" s="119"/>
    </row>
    <row r="743" spans="1:23" ht="9" customHeight="1">
      <c r="A743" s="803">
        <v>38</v>
      </c>
      <c r="B743" s="614" t="s">
        <v>660</v>
      </c>
      <c r="C743" s="615" t="s">
        <v>1192</v>
      </c>
      <c r="D743" s="615" t="s">
        <v>110</v>
      </c>
      <c r="E743" s="616" t="s">
        <v>591</v>
      </c>
      <c r="F743" s="141"/>
      <c r="G743" s="617" t="s">
        <v>88</v>
      </c>
      <c r="H743" s="618">
        <v>5</v>
      </c>
      <c r="I743" s="618">
        <v>4</v>
      </c>
      <c r="J743" s="619">
        <v>3711.1</v>
      </c>
      <c r="K743" s="619">
        <v>3151.3</v>
      </c>
      <c r="L743" s="619">
        <v>3151.3</v>
      </c>
      <c r="M743" s="617">
        <v>147</v>
      </c>
      <c r="N743" s="797">
        <f>'Приложение 2'!E745</f>
        <v>3484030</v>
      </c>
      <c r="O743" s="797">
        <v>0</v>
      </c>
      <c r="P743" s="797">
        <v>0</v>
      </c>
      <c r="Q743" s="797">
        <v>0</v>
      </c>
      <c r="R743" s="797">
        <f t="shared" si="186"/>
        <v>3484030</v>
      </c>
      <c r="S743" s="797">
        <f t="shared" si="187"/>
        <v>1105.5849966680416</v>
      </c>
      <c r="T743" s="797">
        <v>4180</v>
      </c>
      <c r="U743" s="132" t="s">
        <v>590</v>
      </c>
      <c r="V743" s="144">
        <f t="shared" si="188"/>
        <v>3074.4150033319584</v>
      </c>
      <c r="W743" s="119"/>
    </row>
    <row r="744" spans="1:23" ht="9" customHeight="1">
      <c r="A744" s="803">
        <v>39</v>
      </c>
      <c r="B744" s="614" t="s">
        <v>661</v>
      </c>
      <c r="C744" s="615" t="s">
        <v>1192</v>
      </c>
      <c r="D744" s="615" t="s">
        <v>110</v>
      </c>
      <c r="E744" s="616" t="s">
        <v>745</v>
      </c>
      <c r="F744" s="141"/>
      <c r="G744" s="617" t="s">
        <v>88</v>
      </c>
      <c r="H744" s="618">
        <v>5</v>
      </c>
      <c r="I744" s="618">
        <v>3</v>
      </c>
      <c r="J744" s="619">
        <v>2830.5</v>
      </c>
      <c r="K744" s="619">
        <v>2529.1999999999998</v>
      </c>
      <c r="L744" s="619">
        <v>1428.4</v>
      </c>
      <c r="M744" s="617">
        <v>128</v>
      </c>
      <c r="N744" s="797">
        <f>'Приложение 2'!E746</f>
        <v>2297126</v>
      </c>
      <c r="O744" s="797">
        <v>0</v>
      </c>
      <c r="P744" s="797">
        <v>0</v>
      </c>
      <c r="Q744" s="797">
        <v>0</v>
      </c>
      <c r="R744" s="797">
        <f t="shared" si="186"/>
        <v>2297126</v>
      </c>
      <c r="S744" s="797">
        <f t="shared" si="187"/>
        <v>908.24213189941486</v>
      </c>
      <c r="T744" s="797">
        <v>4180</v>
      </c>
      <c r="U744" s="132" t="s">
        <v>590</v>
      </c>
      <c r="V744" s="144">
        <f t="shared" si="188"/>
        <v>3271.7578681005853</v>
      </c>
      <c r="W744" s="119"/>
    </row>
    <row r="745" spans="1:23" ht="9" customHeight="1">
      <c r="A745" s="803">
        <v>40</v>
      </c>
      <c r="B745" s="614" t="s">
        <v>662</v>
      </c>
      <c r="C745" s="615" t="s">
        <v>1192</v>
      </c>
      <c r="D745" s="615" t="s">
        <v>111</v>
      </c>
      <c r="E745" s="616" t="s">
        <v>606</v>
      </c>
      <c r="F745" s="141"/>
      <c r="G745" s="617" t="s">
        <v>88</v>
      </c>
      <c r="H745" s="618">
        <v>5</v>
      </c>
      <c r="I745" s="618">
        <v>3</v>
      </c>
      <c r="J745" s="619">
        <v>3061.1</v>
      </c>
      <c r="K745" s="619">
        <v>2706.6</v>
      </c>
      <c r="L745" s="619">
        <v>2529.1999999999998</v>
      </c>
      <c r="M745" s="618">
        <v>58</v>
      </c>
      <c r="N745" s="797">
        <f>'Приложение 2'!E747</f>
        <v>3453912</v>
      </c>
      <c r="O745" s="797">
        <v>0</v>
      </c>
      <c r="P745" s="797">
        <v>0</v>
      </c>
      <c r="Q745" s="797">
        <v>0</v>
      </c>
      <c r="R745" s="797">
        <f t="shared" si="186"/>
        <v>3453912</v>
      </c>
      <c r="S745" s="797">
        <f t="shared" si="187"/>
        <v>1276.1072932830859</v>
      </c>
      <c r="T745" s="797">
        <v>4503.95</v>
      </c>
      <c r="U745" s="132" t="s">
        <v>590</v>
      </c>
      <c r="V745" s="144">
        <f t="shared" si="188"/>
        <v>3227.8427067169141</v>
      </c>
      <c r="W745" s="119"/>
    </row>
    <row r="746" spans="1:23" ht="9" customHeight="1">
      <c r="A746" s="803">
        <v>41</v>
      </c>
      <c r="B746" s="614" t="s">
        <v>663</v>
      </c>
      <c r="C746" s="615" t="s">
        <v>1192</v>
      </c>
      <c r="D746" s="615" t="s">
        <v>110</v>
      </c>
      <c r="E746" s="616" t="s">
        <v>611</v>
      </c>
      <c r="F746" s="141"/>
      <c r="G746" s="617" t="s">
        <v>90</v>
      </c>
      <c r="H746" s="618">
        <v>5</v>
      </c>
      <c r="I746" s="618">
        <v>4</v>
      </c>
      <c r="J746" s="619">
        <v>3983.8</v>
      </c>
      <c r="K746" s="619">
        <v>3586.8</v>
      </c>
      <c r="L746" s="619">
        <v>3586.8</v>
      </c>
      <c r="M746" s="617">
        <v>134</v>
      </c>
      <c r="N746" s="797">
        <f>'Приложение 2'!E748</f>
        <v>3897446</v>
      </c>
      <c r="O746" s="797">
        <v>0</v>
      </c>
      <c r="P746" s="797">
        <v>0</v>
      </c>
      <c r="Q746" s="797">
        <v>0</v>
      </c>
      <c r="R746" s="797">
        <f t="shared" si="186"/>
        <v>3897446</v>
      </c>
      <c r="S746" s="797">
        <f t="shared" si="187"/>
        <v>1086.608118657299</v>
      </c>
      <c r="T746" s="797">
        <v>4180</v>
      </c>
      <c r="U746" s="132" t="s">
        <v>590</v>
      </c>
      <c r="V746" s="144">
        <f t="shared" si="188"/>
        <v>3093.3918813427008</v>
      </c>
      <c r="W746" s="119"/>
    </row>
    <row r="747" spans="1:23" ht="9" customHeight="1">
      <c r="A747" s="803">
        <v>42</v>
      </c>
      <c r="B747" s="614" t="s">
        <v>664</v>
      </c>
      <c r="C747" s="615" t="s">
        <v>1192</v>
      </c>
      <c r="D747" s="615" t="s">
        <v>110</v>
      </c>
      <c r="E747" s="616" t="s">
        <v>328</v>
      </c>
      <c r="F747" s="141"/>
      <c r="G747" s="617" t="s">
        <v>88</v>
      </c>
      <c r="H747" s="618">
        <v>5</v>
      </c>
      <c r="I747" s="618">
        <v>8</v>
      </c>
      <c r="J747" s="619">
        <v>9035.6</v>
      </c>
      <c r="K747" s="619">
        <v>5705.4</v>
      </c>
      <c r="L747" s="619">
        <v>5705.4</v>
      </c>
      <c r="M747" s="617">
        <v>235</v>
      </c>
      <c r="N747" s="797">
        <f>'Приложение 2'!E749</f>
        <v>8335000</v>
      </c>
      <c r="O747" s="797">
        <v>0</v>
      </c>
      <c r="P747" s="797">
        <v>0</v>
      </c>
      <c r="Q747" s="797">
        <v>0</v>
      </c>
      <c r="R747" s="797">
        <f t="shared" si="186"/>
        <v>8335000</v>
      </c>
      <c r="S747" s="797">
        <f t="shared" si="187"/>
        <v>1460.8966943597295</v>
      </c>
      <c r="T747" s="797">
        <v>4180</v>
      </c>
      <c r="U747" s="132" t="s">
        <v>590</v>
      </c>
      <c r="V747" s="144">
        <f t="shared" si="188"/>
        <v>2719.1033056402703</v>
      </c>
      <c r="W747" s="119"/>
    </row>
    <row r="748" spans="1:23" ht="9" customHeight="1">
      <c r="A748" s="803">
        <v>43</v>
      </c>
      <c r="B748" s="614" t="s">
        <v>665</v>
      </c>
      <c r="C748" s="615" t="s">
        <v>1192</v>
      </c>
      <c r="D748" s="615" t="s">
        <v>111</v>
      </c>
      <c r="E748" s="616" t="s">
        <v>613</v>
      </c>
      <c r="F748" s="141"/>
      <c r="G748" s="617" t="s">
        <v>88</v>
      </c>
      <c r="H748" s="618">
        <v>5</v>
      </c>
      <c r="I748" s="618">
        <v>6</v>
      </c>
      <c r="J748" s="619">
        <v>6465.15</v>
      </c>
      <c r="K748" s="619">
        <v>3841.74</v>
      </c>
      <c r="L748" s="619">
        <v>3841.74</v>
      </c>
      <c r="M748" s="617">
        <v>180</v>
      </c>
      <c r="N748" s="797">
        <f>'Приложение 2'!E750</f>
        <v>6024942</v>
      </c>
      <c r="O748" s="797">
        <v>0</v>
      </c>
      <c r="P748" s="797">
        <v>0</v>
      </c>
      <c r="Q748" s="797">
        <v>0</v>
      </c>
      <c r="R748" s="797">
        <f t="shared" si="186"/>
        <v>6024942</v>
      </c>
      <c r="S748" s="797">
        <f t="shared" si="187"/>
        <v>1568.2846835027879</v>
      </c>
      <c r="T748" s="797">
        <v>4503.95</v>
      </c>
      <c r="U748" s="132" t="s">
        <v>590</v>
      </c>
      <c r="V748" s="144">
        <f t="shared" si="188"/>
        <v>2935.6653164972122</v>
      </c>
      <c r="W748" s="119"/>
    </row>
    <row r="749" spans="1:23" ht="9" customHeight="1">
      <c r="A749" s="803">
        <v>44</v>
      </c>
      <c r="B749" s="614" t="s">
        <v>666</v>
      </c>
      <c r="C749" s="615" t="s">
        <v>1192</v>
      </c>
      <c r="D749" s="615" t="s">
        <v>110</v>
      </c>
      <c r="E749" s="616" t="s">
        <v>618</v>
      </c>
      <c r="F749" s="141"/>
      <c r="G749" s="617" t="s">
        <v>88</v>
      </c>
      <c r="H749" s="618">
        <v>12</v>
      </c>
      <c r="I749" s="618">
        <v>1</v>
      </c>
      <c r="J749" s="619">
        <v>4783.5</v>
      </c>
      <c r="K749" s="619">
        <v>3925.3</v>
      </c>
      <c r="L749" s="619">
        <v>3925.3</v>
      </c>
      <c r="M749" s="617">
        <v>167</v>
      </c>
      <c r="N749" s="797">
        <f>'Приложение 2'!E751</f>
        <v>3317330</v>
      </c>
      <c r="O749" s="797">
        <v>0</v>
      </c>
      <c r="P749" s="797">
        <v>0</v>
      </c>
      <c r="Q749" s="797">
        <v>0</v>
      </c>
      <c r="R749" s="797">
        <f t="shared" si="186"/>
        <v>3317330</v>
      </c>
      <c r="S749" s="797">
        <f t="shared" si="187"/>
        <v>845.11502305556257</v>
      </c>
      <c r="T749" s="797">
        <v>4180</v>
      </c>
      <c r="U749" s="132" t="s">
        <v>590</v>
      </c>
      <c r="V749" s="144">
        <f t="shared" si="188"/>
        <v>3334.8849769444373</v>
      </c>
      <c r="W749" s="119"/>
    </row>
    <row r="750" spans="1:23" ht="9" customHeight="1">
      <c r="A750" s="803">
        <v>45</v>
      </c>
      <c r="B750" s="614" t="s">
        <v>667</v>
      </c>
      <c r="C750" s="615" t="s">
        <v>1192</v>
      </c>
      <c r="D750" s="615" t="s">
        <v>111</v>
      </c>
      <c r="E750" s="616" t="s">
        <v>610</v>
      </c>
      <c r="F750" s="141"/>
      <c r="G750" s="617" t="s">
        <v>88</v>
      </c>
      <c r="H750" s="618">
        <v>5</v>
      </c>
      <c r="I750" s="618">
        <v>3</v>
      </c>
      <c r="J750" s="619">
        <v>2657.1</v>
      </c>
      <c r="K750" s="619">
        <v>2034.9</v>
      </c>
      <c r="L750" s="619">
        <v>2034.9</v>
      </c>
      <c r="M750" s="618">
        <v>151</v>
      </c>
      <c r="N750" s="797">
        <f>'Приложение 2'!E752</f>
        <v>2781240</v>
      </c>
      <c r="O750" s="797">
        <v>0</v>
      </c>
      <c r="P750" s="797">
        <v>0</v>
      </c>
      <c r="Q750" s="797">
        <v>0</v>
      </c>
      <c r="R750" s="797">
        <f t="shared" si="186"/>
        <v>2781240</v>
      </c>
      <c r="S750" s="797">
        <f t="shared" si="187"/>
        <v>1366.7698658410732</v>
      </c>
      <c r="T750" s="797">
        <v>4503.95</v>
      </c>
      <c r="U750" s="132" t="s">
        <v>590</v>
      </c>
      <c r="V750" s="144">
        <f t="shared" si="188"/>
        <v>3137.1801341589266</v>
      </c>
      <c r="W750" s="119"/>
    </row>
    <row r="751" spans="1:23" ht="9" customHeight="1">
      <c r="A751" s="803">
        <v>46</v>
      </c>
      <c r="B751" s="614" t="s">
        <v>668</v>
      </c>
      <c r="C751" s="615" t="s">
        <v>1192</v>
      </c>
      <c r="D751" s="615" t="s">
        <v>111</v>
      </c>
      <c r="E751" s="616" t="s">
        <v>610</v>
      </c>
      <c r="F751" s="141"/>
      <c r="G751" s="617" t="s">
        <v>90</v>
      </c>
      <c r="H751" s="618">
        <v>5</v>
      </c>
      <c r="I751" s="618">
        <v>4</v>
      </c>
      <c r="J751" s="619">
        <v>3781.8</v>
      </c>
      <c r="K751" s="619">
        <v>3477.8</v>
      </c>
      <c r="L751" s="619">
        <v>3477.8</v>
      </c>
      <c r="M751" s="618">
        <v>164</v>
      </c>
      <c r="N751" s="797">
        <f>'Приложение 2'!E753</f>
        <v>3783780</v>
      </c>
      <c r="O751" s="797">
        <v>0</v>
      </c>
      <c r="P751" s="797">
        <v>0</v>
      </c>
      <c r="Q751" s="797">
        <v>0</v>
      </c>
      <c r="R751" s="797">
        <f t="shared" si="186"/>
        <v>3783780</v>
      </c>
      <c r="S751" s="797">
        <f t="shared" si="187"/>
        <v>1087.9809074702398</v>
      </c>
      <c r="T751" s="797">
        <v>4503.95</v>
      </c>
      <c r="U751" s="132" t="s">
        <v>590</v>
      </c>
      <c r="V751" s="144">
        <f t="shared" si="188"/>
        <v>3415.96909252976</v>
      </c>
      <c r="W751" s="119"/>
    </row>
    <row r="752" spans="1:23" ht="9" customHeight="1">
      <c r="A752" s="803">
        <v>47</v>
      </c>
      <c r="B752" s="614" t="s">
        <v>669</v>
      </c>
      <c r="C752" s="615" t="s">
        <v>1192</v>
      </c>
      <c r="D752" s="615" t="s">
        <v>111</v>
      </c>
      <c r="E752" s="616" t="s">
        <v>595</v>
      </c>
      <c r="F752" s="141"/>
      <c r="G752" s="617" t="s">
        <v>88</v>
      </c>
      <c r="H752" s="618">
        <v>5</v>
      </c>
      <c r="I752" s="618">
        <v>3</v>
      </c>
      <c r="J752" s="619">
        <v>2633.8</v>
      </c>
      <c r="K752" s="619">
        <v>2399.8000000000002</v>
      </c>
      <c r="L752" s="619">
        <v>2399.8000000000002</v>
      </c>
      <c r="M752" s="618">
        <v>100</v>
      </c>
      <c r="N752" s="797">
        <f>'Приложение 2'!E754</f>
        <v>2868558</v>
      </c>
      <c r="O752" s="797">
        <v>0</v>
      </c>
      <c r="P752" s="797">
        <v>0</v>
      </c>
      <c r="Q752" s="797">
        <v>0</v>
      </c>
      <c r="R752" s="797">
        <f t="shared" si="186"/>
        <v>2868558</v>
      </c>
      <c r="S752" s="797">
        <f t="shared" si="187"/>
        <v>1195.3321110092506</v>
      </c>
      <c r="T752" s="797">
        <v>4503.95</v>
      </c>
      <c r="U752" s="132" t="s">
        <v>590</v>
      </c>
      <c r="V752" s="144">
        <f t="shared" si="188"/>
        <v>3308.6178889907492</v>
      </c>
      <c r="W752" s="119"/>
    </row>
    <row r="753" spans="1:23" ht="9" customHeight="1">
      <c r="A753" s="803">
        <v>48</v>
      </c>
      <c r="B753" s="614" t="s">
        <v>670</v>
      </c>
      <c r="C753" s="615" t="s">
        <v>1192</v>
      </c>
      <c r="D753" s="615" t="s">
        <v>111</v>
      </c>
      <c r="E753" s="616" t="s">
        <v>595</v>
      </c>
      <c r="F753" s="141"/>
      <c r="G753" s="617" t="s">
        <v>88</v>
      </c>
      <c r="H753" s="618">
        <v>5</v>
      </c>
      <c r="I753" s="618">
        <v>2</v>
      </c>
      <c r="J753" s="619">
        <v>2058.4</v>
      </c>
      <c r="K753" s="619">
        <v>1601</v>
      </c>
      <c r="L753" s="619">
        <v>1601</v>
      </c>
      <c r="M753" s="618">
        <v>52</v>
      </c>
      <c r="N753" s="797">
        <f>'Приложение 2'!E755</f>
        <v>1878954</v>
      </c>
      <c r="O753" s="797">
        <v>0</v>
      </c>
      <c r="P753" s="797">
        <v>0</v>
      </c>
      <c r="Q753" s="797">
        <v>0</v>
      </c>
      <c r="R753" s="797">
        <f t="shared" si="186"/>
        <v>1878954</v>
      </c>
      <c r="S753" s="797">
        <f t="shared" si="187"/>
        <v>1173.6127420362272</v>
      </c>
      <c r="T753" s="797">
        <v>4503.95</v>
      </c>
      <c r="U753" s="132" t="s">
        <v>590</v>
      </c>
      <c r="V753" s="144">
        <f t="shared" si="188"/>
        <v>3330.3372579637726</v>
      </c>
      <c r="W753" s="119"/>
    </row>
    <row r="754" spans="1:23" ht="9" customHeight="1">
      <c r="A754" s="803">
        <v>49</v>
      </c>
      <c r="B754" s="614" t="s">
        <v>671</v>
      </c>
      <c r="C754" s="615" t="s">
        <v>1192</v>
      </c>
      <c r="D754" s="615" t="s">
        <v>110</v>
      </c>
      <c r="E754" s="616" t="s">
        <v>599</v>
      </c>
      <c r="F754" s="141"/>
      <c r="G754" s="617" t="s">
        <v>88</v>
      </c>
      <c r="H754" s="618">
        <v>5</v>
      </c>
      <c r="I754" s="618">
        <v>3</v>
      </c>
      <c r="J754" s="619">
        <v>2093.8000000000002</v>
      </c>
      <c r="K754" s="619">
        <v>1855.1</v>
      </c>
      <c r="L754" s="619">
        <v>1855.1</v>
      </c>
      <c r="M754" s="618">
        <v>68</v>
      </c>
      <c r="N754" s="797">
        <f>'Приложение 2'!E756</f>
        <v>1380276</v>
      </c>
      <c r="O754" s="797">
        <v>0</v>
      </c>
      <c r="P754" s="797">
        <v>0</v>
      </c>
      <c r="Q754" s="797">
        <v>0</v>
      </c>
      <c r="R754" s="797">
        <f t="shared" si="186"/>
        <v>1380276</v>
      </c>
      <c r="S754" s="797">
        <f t="shared" si="187"/>
        <v>744.0439868470703</v>
      </c>
      <c r="T754" s="797">
        <v>4180</v>
      </c>
      <c r="U754" s="132" t="s">
        <v>590</v>
      </c>
      <c r="V754" s="144">
        <f t="shared" si="188"/>
        <v>3435.9560131529297</v>
      </c>
      <c r="W754" s="119"/>
    </row>
    <row r="755" spans="1:23" ht="9" customHeight="1">
      <c r="A755" s="803">
        <v>50</v>
      </c>
      <c r="B755" s="614" t="s">
        <v>672</v>
      </c>
      <c r="C755" s="615" t="s">
        <v>1192</v>
      </c>
      <c r="D755" s="615" t="s">
        <v>111</v>
      </c>
      <c r="E755" s="616" t="s">
        <v>596</v>
      </c>
      <c r="F755" s="141"/>
      <c r="G755" s="617" t="s">
        <v>88</v>
      </c>
      <c r="H755" s="618">
        <v>5</v>
      </c>
      <c r="I755" s="618">
        <v>3</v>
      </c>
      <c r="J755" s="619">
        <v>2802.1</v>
      </c>
      <c r="K755" s="619">
        <v>2568.1</v>
      </c>
      <c r="L755" s="619">
        <v>2568.1</v>
      </c>
      <c r="M755" s="618">
        <v>120</v>
      </c>
      <c r="N755" s="797">
        <f>'Приложение 2'!E757</f>
        <v>2926770</v>
      </c>
      <c r="O755" s="797">
        <v>0</v>
      </c>
      <c r="P755" s="797">
        <v>0</v>
      </c>
      <c r="Q755" s="797">
        <v>0</v>
      </c>
      <c r="R755" s="797">
        <f t="shared" si="186"/>
        <v>2926770</v>
      </c>
      <c r="S755" s="797">
        <f t="shared" si="187"/>
        <v>1139.6635645029401</v>
      </c>
      <c r="T755" s="797">
        <v>4503.95</v>
      </c>
      <c r="U755" s="132" t="s">
        <v>590</v>
      </c>
      <c r="V755" s="144">
        <f t="shared" si="188"/>
        <v>3364.2864354970598</v>
      </c>
      <c r="W755" s="119"/>
    </row>
    <row r="756" spans="1:23" ht="9" customHeight="1">
      <c r="A756" s="803">
        <v>51</v>
      </c>
      <c r="B756" s="614" t="s">
        <v>673</v>
      </c>
      <c r="C756" s="615" t="s">
        <v>1192</v>
      </c>
      <c r="D756" s="615" t="s">
        <v>110</v>
      </c>
      <c r="E756" s="616" t="s">
        <v>595</v>
      </c>
      <c r="F756" s="141"/>
      <c r="G756" s="617" t="s">
        <v>88</v>
      </c>
      <c r="H756" s="618">
        <v>5</v>
      </c>
      <c r="I756" s="618">
        <v>5</v>
      </c>
      <c r="J756" s="619">
        <v>4569.6000000000004</v>
      </c>
      <c r="K756" s="619">
        <v>3770.3</v>
      </c>
      <c r="L756" s="619">
        <v>3770.3</v>
      </c>
      <c r="M756" s="617">
        <v>149</v>
      </c>
      <c r="N756" s="797">
        <f>'Приложение 2'!E758</f>
        <v>1420284</v>
      </c>
      <c r="O756" s="797">
        <v>0</v>
      </c>
      <c r="P756" s="797">
        <v>0</v>
      </c>
      <c r="Q756" s="797">
        <v>0</v>
      </c>
      <c r="R756" s="797">
        <f t="shared" si="186"/>
        <v>1420284</v>
      </c>
      <c r="S756" s="797">
        <f t="shared" si="187"/>
        <v>376.70318011829295</v>
      </c>
      <c r="T756" s="797">
        <v>4180</v>
      </c>
      <c r="U756" s="132" t="s">
        <v>590</v>
      </c>
      <c r="V756" s="144">
        <f t="shared" si="188"/>
        <v>3803.2968198817071</v>
      </c>
      <c r="W756" s="119"/>
    </row>
    <row r="757" spans="1:23" ht="9" customHeight="1">
      <c r="A757" s="803">
        <v>52</v>
      </c>
      <c r="B757" s="614" t="s">
        <v>674</v>
      </c>
      <c r="C757" s="615" t="s">
        <v>1192</v>
      </c>
      <c r="D757" s="615" t="s">
        <v>111</v>
      </c>
      <c r="E757" s="616" t="s">
        <v>595</v>
      </c>
      <c r="F757" s="141"/>
      <c r="G757" s="617" t="s">
        <v>88</v>
      </c>
      <c r="H757" s="618">
        <v>5</v>
      </c>
      <c r="I757" s="618">
        <v>3</v>
      </c>
      <c r="J757" s="619">
        <v>2746.3</v>
      </c>
      <c r="K757" s="619">
        <v>2512.3000000000002</v>
      </c>
      <c r="L757" s="619">
        <v>2512.3000000000002</v>
      </c>
      <c r="M757" s="618">
        <v>120</v>
      </c>
      <c r="N757" s="797">
        <f>'Приложение 2'!E759</f>
        <v>3020556</v>
      </c>
      <c r="O757" s="797">
        <v>0</v>
      </c>
      <c r="P757" s="797">
        <v>0</v>
      </c>
      <c r="Q757" s="797">
        <v>0</v>
      </c>
      <c r="R757" s="797">
        <f t="shared" si="186"/>
        <v>3020556</v>
      </c>
      <c r="S757" s="797">
        <f t="shared" si="187"/>
        <v>1202.3070493173584</v>
      </c>
      <c r="T757" s="797">
        <v>4503.95</v>
      </c>
      <c r="U757" s="132" t="s">
        <v>590</v>
      </c>
      <c r="V757" s="144">
        <f t="shared" si="188"/>
        <v>3301.6429506826416</v>
      </c>
      <c r="W757" s="119"/>
    </row>
    <row r="758" spans="1:23" ht="9" customHeight="1">
      <c r="A758" s="803">
        <v>53</v>
      </c>
      <c r="B758" s="614" t="s">
        <v>675</v>
      </c>
      <c r="C758" s="615" t="s">
        <v>1192</v>
      </c>
      <c r="D758" s="615" t="s">
        <v>111</v>
      </c>
      <c r="E758" s="616" t="s">
        <v>595</v>
      </c>
      <c r="F758" s="141"/>
      <c r="G758" s="617" t="s">
        <v>88</v>
      </c>
      <c r="H758" s="618">
        <v>5</v>
      </c>
      <c r="I758" s="618">
        <v>3</v>
      </c>
      <c r="J758" s="619">
        <v>2564.6999999999998</v>
      </c>
      <c r="K758" s="619">
        <v>2126.6</v>
      </c>
      <c r="L758" s="619">
        <v>2126.6</v>
      </c>
      <c r="M758" s="617">
        <v>83</v>
      </c>
      <c r="N758" s="797">
        <f>'Приложение 2'!E760</f>
        <v>2891196</v>
      </c>
      <c r="O758" s="797">
        <v>0</v>
      </c>
      <c r="P758" s="797">
        <v>0</v>
      </c>
      <c r="Q758" s="797">
        <v>0</v>
      </c>
      <c r="R758" s="797">
        <f t="shared" si="186"/>
        <v>2891196</v>
      </c>
      <c r="S758" s="797">
        <f t="shared" si="187"/>
        <v>1359.5391705069126</v>
      </c>
      <c r="T758" s="797">
        <v>4503.95</v>
      </c>
      <c r="U758" s="132" t="s">
        <v>590</v>
      </c>
      <c r="V758" s="144">
        <f t="shared" si="188"/>
        <v>3144.4108294930875</v>
      </c>
      <c r="W758" s="119"/>
    </row>
    <row r="759" spans="1:23" ht="9" customHeight="1">
      <c r="A759" s="803">
        <v>54</v>
      </c>
      <c r="B759" s="614" t="s">
        <v>676</v>
      </c>
      <c r="C759" s="615" t="s">
        <v>1192</v>
      </c>
      <c r="D759" s="615" t="s">
        <v>111</v>
      </c>
      <c r="E759" s="616" t="s">
        <v>595</v>
      </c>
      <c r="F759" s="141"/>
      <c r="G759" s="617" t="s">
        <v>88</v>
      </c>
      <c r="H759" s="618">
        <v>5</v>
      </c>
      <c r="I759" s="618">
        <v>3</v>
      </c>
      <c r="J759" s="619">
        <v>2723.1</v>
      </c>
      <c r="K759" s="619">
        <v>2489.1</v>
      </c>
      <c r="L759" s="619">
        <v>2489.1</v>
      </c>
      <c r="M759" s="618">
        <v>135</v>
      </c>
      <c r="N759" s="797">
        <f>'Приложение 2'!E761</f>
        <v>2868558</v>
      </c>
      <c r="O759" s="797">
        <v>0</v>
      </c>
      <c r="P759" s="797">
        <v>0</v>
      </c>
      <c r="Q759" s="797">
        <v>0</v>
      </c>
      <c r="R759" s="797">
        <f t="shared" si="186"/>
        <v>2868558</v>
      </c>
      <c r="S759" s="797">
        <f t="shared" si="187"/>
        <v>1152.4478727250814</v>
      </c>
      <c r="T759" s="797">
        <v>4503.95</v>
      </c>
      <c r="U759" s="132" t="s">
        <v>590</v>
      </c>
      <c r="V759" s="144">
        <f t="shared" si="188"/>
        <v>3351.5021272749182</v>
      </c>
      <c r="W759" s="119"/>
    </row>
    <row r="760" spans="1:23" ht="9" customHeight="1">
      <c r="A760" s="803">
        <v>55</v>
      </c>
      <c r="B760" s="614" t="s">
        <v>677</v>
      </c>
      <c r="C760" s="615" t="s">
        <v>1192</v>
      </c>
      <c r="D760" s="615" t="s">
        <v>111</v>
      </c>
      <c r="E760" s="616" t="s">
        <v>599</v>
      </c>
      <c r="F760" s="141"/>
      <c r="G760" s="617" t="s">
        <v>88</v>
      </c>
      <c r="H760" s="618">
        <v>5</v>
      </c>
      <c r="I760" s="618">
        <v>2</v>
      </c>
      <c r="J760" s="619">
        <v>1527.8</v>
      </c>
      <c r="K760" s="619">
        <v>1360.9</v>
      </c>
      <c r="L760" s="619">
        <v>1360.9</v>
      </c>
      <c r="M760" s="617">
        <v>73</v>
      </c>
      <c r="N760" s="797">
        <f>'Приложение 2'!E762</f>
        <v>1862784</v>
      </c>
      <c r="O760" s="797">
        <v>0</v>
      </c>
      <c r="P760" s="797">
        <v>0</v>
      </c>
      <c r="Q760" s="797">
        <v>0</v>
      </c>
      <c r="R760" s="797">
        <f t="shared" si="186"/>
        <v>1862784</v>
      </c>
      <c r="S760" s="797">
        <f t="shared" si="187"/>
        <v>1368.7883018590637</v>
      </c>
      <c r="T760" s="797">
        <v>4503.95</v>
      </c>
      <c r="U760" s="132" t="s">
        <v>590</v>
      </c>
      <c r="V760" s="144">
        <f t="shared" si="188"/>
        <v>3135.1616981409361</v>
      </c>
      <c r="W760" s="119"/>
    </row>
    <row r="761" spans="1:23" ht="9" customHeight="1">
      <c r="A761" s="803">
        <v>56</v>
      </c>
      <c r="B761" s="614" t="s">
        <v>678</v>
      </c>
      <c r="C761" s="615" t="s">
        <v>1192</v>
      </c>
      <c r="D761" s="615" t="s">
        <v>110</v>
      </c>
      <c r="E761" s="616" t="s">
        <v>607</v>
      </c>
      <c r="F761" s="141"/>
      <c r="G761" s="617" t="s">
        <v>88</v>
      </c>
      <c r="H761" s="618">
        <v>9</v>
      </c>
      <c r="I761" s="618">
        <v>1</v>
      </c>
      <c r="J761" s="619">
        <v>2551.5</v>
      </c>
      <c r="K761" s="619">
        <v>2273.4</v>
      </c>
      <c r="L761" s="619">
        <v>2273.4</v>
      </c>
      <c r="M761" s="617">
        <v>102</v>
      </c>
      <c r="N761" s="797">
        <f>'Приложение 2'!E763</f>
        <v>1233580</v>
      </c>
      <c r="O761" s="797">
        <v>0</v>
      </c>
      <c r="P761" s="797">
        <v>0</v>
      </c>
      <c r="Q761" s="797">
        <v>0</v>
      </c>
      <c r="R761" s="797">
        <f t="shared" si="186"/>
        <v>1233580</v>
      </c>
      <c r="S761" s="797">
        <f t="shared" si="187"/>
        <v>542.61458608251951</v>
      </c>
      <c r="T761" s="797">
        <v>4180</v>
      </c>
      <c r="U761" s="132" t="s">
        <v>590</v>
      </c>
      <c r="V761" s="144">
        <f t="shared" si="188"/>
        <v>3637.3854139174805</v>
      </c>
      <c r="W761" s="119"/>
    </row>
    <row r="762" spans="1:23" ht="9" customHeight="1">
      <c r="A762" s="803">
        <v>57</v>
      </c>
      <c r="B762" s="614" t="s">
        <v>679</v>
      </c>
      <c r="C762" s="615" t="s">
        <v>1192</v>
      </c>
      <c r="D762" s="615" t="s">
        <v>111</v>
      </c>
      <c r="E762" s="616" t="s">
        <v>610</v>
      </c>
      <c r="F762" s="141"/>
      <c r="G762" s="617" t="s">
        <v>88</v>
      </c>
      <c r="H762" s="618">
        <v>5</v>
      </c>
      <c r="I762" s="618">
        <v>4</v>
      </c>
      <c r="J762" s="619">
        <v>3496.65</v>
      </c>
      <c r="K762" s="619">
        <v>3184.65</v>
      </c>
      <c r="L762" s="619">
        <v>3184.65</v>
      </c>
      <c r="M762" s="617">
        <v>148</v>
      </c>
      <c r="N762" s="797">
        <f>'Приложение 2'!E764</f>
        <v>3124044</v>
      </c>
      <c r="O762" s="797">
        <v>0</v>
      </c>
      <c r="P762" s="797">
        <v>0</v>
      </c>
      <c r="Q762" s="797">
        <v>0</v>
      </c>
      <c r="R762" s="797">
        <f t="shared" si="186"/>
        <v>3124044</v>
      </c>
      <c r="S762" s="797">
        <f t="shared" si="187"/>
        <v>980.96933728981207</v>
      </c>
      <c r="T762" s="797">
        <v>4503.95</v>
      </c>
      <c r="U762" s="132" t="s">
        <v>590</v>
      </c>
      <c r="V762" s="144">
        <f t="shared" si="188"/>
        <v>3522.980662710188</v>
      </c>
      <c r="W762" s="119"/>
    </row>
    <row r="763" spans="1:23" ht="9" customHeight="1">
      <c r="A763" s="803">
        <v>58</v>
      </c>
      <c r="B763" s="614" t="s">
        <v>680</v>
      </c>
      <c r="C763" s="615" t="s">
        <v>1192</v>
      </c>
      <c r="D763" s="615" t="s">
        <v>110</v>
      </c>
      <c r="E763" s="616" t="s">
        <v>611</v>
      </c>
      <c r="F763" s="141"/>
      <c r="G763" s="617" t="s">
        <v>90</v>
      </c>
      <c r="H763" s="618">
        <v>5</v>
      </c>
      <c r="I763" s="618">
        <v>4</v>
      </c>
      <c r="J763" s="619">
        <v>3898.8</v>
      </c>
      <c r="K763" s="619">
        <v>3514.8</v>
      </c>
      <c r="L763" s="619">
        <v>3514.8</v>
      </c>
      <c r="M763" s="617">
        <v>179</v>
      </c>
      <c r="N763" s="797">
        <f>'Приложение 2'!E765</f>
        <v>2920584</v>
      </c>
      <c r="O763" s="797">
        <v>0</v>
      </c>
      <c r="P763" s="797">
        <v>0</v>
      </c>
      <c r="Q763" s="797">
        <v>0</v>
      </c>
      <c r="R763" s="797">
        <f t="shared" si="186"/>
        <v>2920584</v>
      </c>
      <c r="S763" s="797">
        <f t="shared" si="187"/>
        <v>830.93888699214745</v>
      </c>
      <c r="T763" s="797">
        <v>4180</v>
      </c>
      <c r="U763" s="132" t="s">
        <v>590</v>
      </c>
      <c r="V763" s="144">
        <f t="shared" si="188"/>
        <v>3349.0611130078523</v>
      </c>
      <c r="W763" s="119"/>
    </row>
    <row r="764" spans="1:23" ht="9" customHeight="1">
      <c r="A764" s="803">
        <v>59</v>
      </c>
      <c r="B764" s="614" t="s">
        <v>681</v>
      </c>
      <c r="C764" s="615" t="s">
        <v>1192</v>
      </c>
      <c r="D764" s="615" t="s">
        <v>110</v>
      </c>
      <c r="E764" s="616" t="s">
        <v>613</v>
      </c>
      <c r="F764" s="141"/>
      <c r="G764" s="617" t="s">
        <v>90</v>
      </c>
      <c r="H764" s="618">
        <v>5</v>
      </c>
      <c r="I764" s="618">
        <v>4</v>
      </c>
      <c r="J764" s="619">
        <v>3781</v>
      </c>
      <c r="K764" s="619">
        <v>3479</v>
      </c>
      <c r="L764" s="619">
        <v>3479</v>
      </c>
      <c r="M764" s="617">
        <v>153</v>
      </c>
      <c r="N764" s="797">
        <f>'Приложение 2'!E766</f>
        <v>3614056</v>
      </c>
      <c r="O764" s="797">
        <v>0</v>
      </c>
      <c r="P764" s="797">
        <v>0</v>
      </c>
      <c r="Q764" s="797">
        <v>0</v>
      </c>
      <c r="R764" s="797">
        <f t="shared" si="186"/>
        <v>3614056</v>
      </c>
      <c r="S764" s="797">
        <f t="shared" si="187"/>
        <v>1038.8203506754814</v>
      </c>
      <c r="T764" s="797">
        <v>4180</v>
      </c>
      <c r="U764" s="132" t="s">
        <v>590</v>
      </c>
      <c r="V764" s="144">
        <f t="shared" si="188"/>
        <v>3141.1796493245183</v>
      </c>
      <c r="W764" s="119"/>
    </row>
    <row r="765" spans="1:23" ht="9" customHeight="1">
      <c r="A765" s="803">
        <v>60</v>
      </c>
      <c r="B765" s="614" t="s">
        <v>682</v>
      </c>
      <c r="C765" s="615" t="s">
        <v>1192</v>
      </c>
      <c r="D765" s="615" t="s">
        <v>110</v>
      </c>
      <c r="E765" s="616" t="s">
        <v>611</v>
      </c>
      <c r="F765" s="141"/>
      <c r="G765" s="617" t="s">
        <v>90</v>
      </c>
      <c r="H765" s="618">
        <v>5</v>
      </c>
      <c r="I765" s="618">
        <v>4</v>
      </c>
      <c r="J765" s="619">
        <v>3787</v>
      </c>
      <c r="K765" s="619">
        <v>3489</v>
      </c>
      <c r="L765" s="619">
        <v>3489</v>
      </c>
      <c r="M765" s="617">
        <v>146</v>
      </c>
      <c r="N765" s="797">
        <f>'Приложение 2'!E767</f>
        <v>3600720</v>
      </c>
      <c r="O765" s="797">
        <v>0</v>
      </c>
      <c r="P765" s="797">
        <v>0</v>
      </c>
      <c r="Q765" s="797">
        <v>0</v>
      </c>
      <c r="R765" s="797">
        <f t="shared" si="186"/>
        <v>3600720</v>
      </c>
      <c r="S765" s="797">
        <f t="shared" si="187"/>
        <v>1032.0206362854685</v>
      </c>
      <c r="T765" s="797">
        <v>4180</v>
      </c>
      <c r="U765" s="132" t="s">
        <v>590</v>
      </c>
      <c r="V765" s="144">
        <f t="shared" si="188"/>
        <v>3147.9793637145312</v>
      </c>
      <c r="W765" s="119"/>
    </row>
    <row r="766" spans="1:23" ht="9" customHeight="1">
      <c r="A766" s="803">
        <v>61</v>
      </c>
      <c r="B766" s="614" t="s">
        <v>683</v>
      </c>
      <c r="C766" s="615" t="s">
        <v>1192</v>
      </c>
      <c r="D766" s="615" t="s">
        <v>110</v>
      </c>
      <c r="E766" s="616" t="s">
        <v>613</v>
      </c>
      <c r="F766" s="141"/>
      <c r="G766" s="617" t="s">
        <v>621</v>
      </c>
      <c r="H766" s="618">
        <v>5</v>
      </c>
      <c r="I766" s="618">
        <v>4</v>
      </c>
      <c r="J766" s="619">
        <v>3796.1</v>
      </c>
      <c r="K766" s="619">
        <v>3498.1</v>
      </c>
      <c r="L766" s="619">
        <v>3498.1</v>
      </c>
      <c r="M766" s="617">
        <v>80</v>
      </c>
      <c r="N766" s="797">
        <f>'Приложение 2'!E768</f>
        <v>3620724</v>
      </c>
      <c r="O766" s="797">
        <v>0</v>
      </c>
      <c r="P766" s="797">
        <v>0</v>
      </c>
      <c r="Q766" s="797">
        <v>0</v>
      </c>
      <c r="R766" s="797">
        <f t="shared" si="186"/>
        <v>3620724</v>
      </c>
      <c r="S766" s="797">
        <f t="shared" si="187"/>
        <v>1035.0544581344159</v>
      </c>
      <c r="T766" s="797">
        <v>4180</v>
      </c>
      <c r="U766" s="132" t="s">
        <v>590</v>
      </c>
      <c r="V766" s="144">
        <f t="shared" si="188"/>
        <v>3144.9455418655843</v>
      </c>
      <c r="W766" s="119"/>
    </row>
    <row r="767" spans="1:23" ht="9" customHeight="1">
      <c r="A767" s="803">
        <v>62</v>
      </c>
      <c r="B767" s="614" t="s">
        <v>684</v>
      </c>
      <c r="C767" s="615" t="s">
        <v>1192</v>
      </c>
      <c r="D767" s="615" t="s">
        <v>110</v>
      </c>
      <c r="E767" s="616" t="s">
        <v>0</v>
      </c>
      <c r="F767" s="141"/>
      <c r="G767" s="617" t="s">
        <v>90</v>
      </c>
      <c r="H767" s="618">
        <v>5</v>
      </c>
      <c r="I767" s="618">
        <v>4</v>
      </c>
      <c r="J767" s="619">
        <v>2682</v>
      </c>
      <c r="K767" s="619">
        <v>2384</v>
      </c>
      <c r="L767" s="619">
        <v>2384</v>
      </c>
      <c r="M767" s="617">
        <v>15</v>
      </c>
      <c r="N767" s="797">
        <f>'Приложение 2'!E769</f>
        <v>3620724</v>
      </c>
      <c r="O767" s="797">
        <v>0</v>
      </c>
      <c r="P767" s="797">
        <v>0</v>
      </c>
      <c r="Q767" s="797">
        <v>0</v>
      </c>
      <c r="R767" s="797">
        <f t="shared" si="186"/>
        <v>3620724</v>
      </c>
      <c r="S767" s="797">
        <f t="shared" si="187"/>
        <v>1518.760067114094</v>
      </c>
      <c r="T767" s="797">
        <v>4180</v>
      </c>
      <c r="U767" s="132" t="s">
        <v>590</v>
      </c>
      <c r="V767" s="144">
        <f t="shared" si="188"/>
        <v>2661.239932885906</v>
      </c>
      <c r="W767" s="119"/>
    </row>
    <row r="768" spans="1:23" ht="9" customHeight="1">
      <c r="A768" s="803">
        <v>63</v>
      </c>
      <c r="B768" s="614" t="s">
        <v>685</v>
      </c>
      <c r="C768" s="615" t="s">
        <v>1192</v>
      </c>
      <c r="D768" s="615" t="s">
        <v>110</v>
      </c>
      <c r="E768" s="616" t="s">
        <v>616</v>
      </c>
      <c r="F768" s="141"/>
      <c r="G768" s="617" t="s">
        <v>90</v>
      </c>
      <c r="H768" s="618">
        <v>5</v>
      </c>
      <c r="I768" s="618">
        <v>4</v>
      </c>
      <c r="J768" s="619">
        <v>3689.77</v>
      </c>
      <c r="K768" s="619">
        <v>3305.77</v>
      </c>
      <c r="L768" s="619">
        <v>3305.77</v>
      </c>
      <c r="M768" s="617">
        <v>20</v>
      </c>
      <c r="N768" s="797">
        <f>'Приложение 2'!E770</f>
        <v>3607388</v>
      </c>
      <c r="O768" s="797">
        <v>0</v>
      </c>
      <c r="P768" s="797">
        <v>0</v>
      </c>
      <c r="Q768" s="797">
        <v>0</v>
      </c>
      <c r="R768" s="797">
        <f t="shared" si="186"/>
        <v>3607388</v>
      </c>
      <c r="S768" s="797">
        <f t="shared" si="187"/>
        <v>1091.2398624223706</v>
      </c>
      <c r="T768" s="797">
        <v>4180</v>
      </c>
      <c r="U768" s="132" t="s">
        <v>590</v>
      </c>
      <c r="V768" s="144">
        <f t="shared" si="188"/>
        <v>3088.7601375776294</v>
      </c>
      <c r="W768" s="119"/>
    </row>
    <row r="769" spans="1:23" ht="9" customHeight="1">
      <c r="A769" s="803">
        <v>64</v>
      </c>
      <c r="B769" s="614" t="s">
        <v>686</v>
      </c>
      <c r="C769" s="615" t="s">
        <v>1192</v>
      </c>
      <c r="D769" s="615" t="s">
        <v>110</v>
      </c>
      <c r="E769" s="616" t="s">
        <v>745</v>
      </c>
      <c r="F769" s="141"/>
      <c r="G769" s="617" t="s">
        <v>621</v>
      </c>
      <c r="H769" s="618">
        <v>5</v>
      </c>
      <c r="I769" s="618">
        <v>4</v>
      </c>
      <c r="J769" s="619">
        <v>3878.9</v>
      </c>
      <c r="K769" s="619">
        <v>3494.9</v>
      </c>
      <c r="L769" s="619">
        <v>3494.9</v>
      </c>
      <c r="M769" s="617">
        <v>23</v>
      </c>
      <c r="N769" s="797">
        <f>'Приложение 2'!E771</f>
        <v>3927452</v>
      </c>
      <c r="O769" s="797">
        <v>0</v>
      </c>
      <c r="P769" s="797">
        <v>0</v>
      </c>
      <c r="Q769" s="797">
        <v>0</v>
      </c>
      <c r="R769" s="797">
        <f t="shared" si="186"/>
        <v>3927452</v>
      </c>
      <c r="S769" s="797">
        <f t="shared" si="187"/>
        <v>1123.7666313771495</v>
      </c>
      <c r="T769" s="797">
        <v>4180</v>
      </c>
      <c r="U769" s="132" t="s">
        <v>590</v>
      </c>
      <c r="V769" s="144">
        <f t="shared" si="188"/>
        <v>3056.2333686228503</v>
      </c>
      <c r="W769" s="119"/>
    </row>
    <row r="770" spans="1:23" ht="9" customHeight="1">
      <c r="A770" s="803">
        <v>65</v>
      </c>
      <c r="B770" s="614" t="s">
        <v>687</v>
      </c>
      <c r="C770" s="615" t="s">
        <v>1192</v>
      </c>
      <c r="D770" s="615" t="s">
        <v>110</v>
      </c>
      <c r="E770" s="616" t="s">
        <v>601</v>
      </c>
      <c r="F770" s="141"/>
      <c r="G770" s="617" t="s">
        <v>90</v>
      </c>
      <c r="H770" s="618">
        <v>5</v>
      </c>
      <c r="I770" s="618">
        <v>4</v>
      </c>
      <c r="J770" s="619">
        <v>4180.3999999999996</v>
      </c>
      <c r="K770" s="619">
        <v>3197.9</v>
      </c>
      <c r="L770" s="619">
        <v>287</v>
      </c>
      <c r="M770" s="618">
        <v>16</v>
      </c>
      <c r="N770" s="797">
        <f>'Приложение 2'!E772</f>
        <v>3083950</v>
      </c>
      <c r="O770" s="797">
        <v>0</v>
      </c>
      <c r="P770" s="797">
        <v>0</v>
      </c>
      <c r="Q770" s="797">
        <v>0</v>
      </c>
      <c r="R770" s="797">
        <f t="shared" ref="R770:R833" si="189">N770</f>
        <v>3083950</v>
      </c>
      <c r="S770" s="797">
        <f t="shared" ref="S770:S833" si="190">N770/K770</f>
        <v>964.36724100190747</v>
      </c>
      <c r="T770" s="797">
        <v>4180</v>
      </c>
      <c r="U770" s="132" t="s">
        <v>590</v>
      </c>
      <c r="V770" s="144">
        <f t="shared" ref="V770:V827" si="191">T770-S770</f>
        <v>3215.6327589980924</v>
      </c>
      <c r="W770" s="119"/>
    </row>
    <row r="771" spans="1:23" ht="9" customHeight="1">
      <c r="A771" s="803">
        <v>66</v>
      </c>
      <c r="B771" s="614" t="s">
        <v>688</v>
      </c>
      <c r="C771" s="615" t="s">
        <v>1192</v>
      </c>
      <c r="D771" s="615" t="s">
        <v>110</v>
      </c>
      <c r="E771" s="616" t="s">
        <v>601</v>
      </c>
      <c r="F771" s="141"/>
      <c r="G771" s="617" t="s">
        <v>90</v>
      </c>
      <c r="H771" s="618">
        <v>5</v>
      </c>
      <c r="I771" s="618">
        <v>8</v>
      </c>
      <c r="J771" s="619">
        <v>4728.7</v>
      </c>
      <c r="K771" s="619">
        <v>4490</v>
      </c>
      <c r="L771" s="619">
        <v>159</v>
      </c>
      <c r="M771" s="618">
        <v>321</v>
      </c>
      <c r="N771" s="797">
        <f>'Приложение 2'!E773</f>
        <v>6117890</v>
      </c>
      <c r="O771" s="797">
        <v>0</v>
      </c>
      <c r="P771" s="797">
        <v>0</v>
      </c>
      <c r="Q771" s="797">
        <v>0</v>
      </c>
      <c r="R771" s="797">
        <f t="shared" si="189"/>
        <v>6117890</v>
      </c>
      <c r="S771" s="797">
        <f t="shared" si="190"/>
        <v>1362.5590200445433</v>
      </c>
      <c r="T771" s="797">
        <v>4180</v>
      </c>
      <c r="U771" s="132" t="s">
        <v>590</v>
      </c>
      <c r="V771" s="144">
        <f t="shared" si="191"/>
        <v>2817.4409799554569</v>
      </c>
      <c r="W771" s="119"/>
    </row>
    <row r="772" spans="1:23" ht="9" customHeight="1">
      <c r="A772" s="803">
        <v>67</v>
      </c>
      <c r="B772" s="614" t="s">
        <v>689</v>
      </c>
      <c r="C772" s="615" t="s">
        <v>1192</v>
      </c>
      <c r="D772" s="615" t="s">
        <v>110</v>
      </c>
      <c r="E772" s="616" t="s">
        <v>601</v>
      </c>
      <c r="F772" s="141"/>
      <c r="G772" s="617" t="s">
        <v>90</v>
      </c>
      <c r="H772" s="618">
        <v>5</v>
      </c>
      <c r="I772" s="618">
        <v>15</v>
      </c>
      <c r="J772" s="619">
        <v>7267.9</v>
      </c>
      <c r="K772" s="619">
        <v>7044</v>
      </c>
      <c r="L772" s="619">
        <v>219</v>
      </c>
      <c r="M772" s="618">
        <v>547</v>
      </c>
      <c r="N772" s="797">
        <f>'Приложение 2'!E774</f>
        <v>10608788</v>
      </c>
      <c r="O772" s="797">
        <v>0</v>
      </c>
      <c r="P772" s="797">
        <v>0</v>
      </c>
      <c r="Q772" s="797">
        <v>0</v>
      </c>
      <c r="R772" s="797">
        <f t="shared" si="189"/>
        <v>10608788</v>
      </c>
      <c r="S772" s="797">
        <f t="shared" si="190"/>
        <v>1506.0743895513913</v>
      </c>
      <c r="T772" s="797">
        <v>4180</v>
      </c>
      <c r="U772" s="132" t="s">
        <v>590</v>
      </c>
      <c r="V772" s="144">
        <f t="shared" si="191"/>
        <v>2673.9256104486085</v>
      </c>
      <c r="W772" s="119"/>
    </row>
    <row r="773" spans="1:23" ht="9" customHeight="1">
      <c r="A773" s="803">
        <v>68</v>
      </c>
      <c r="B773" s="614" t="s">
        <v>690</v>
      </c>
      <c r="C773" s="615" t="s">
        <v>1192</v>
      </c>
      <c r="D773" s="615" t="s">
        <v>110</v>
      </c>
      <c r="E773" s="616" t="s">
        <v>608</v>
      </c>
      <c r="F773" s="141"/>
      <c r="G773" s="617" t="s">
        <v>90</v>
      </c>
      <c r="H773" s="618">
        <v>5</v>
      </c>
      <c r="I773" s="618">
        <v>6</v>
      </c>
      <c r="J773" s="619">
        <v>6473.5</v>
      </c>
      <c r="K773" s="619">
        <v>4642.5</v>
      </c>
      <c r="L773" s="619">
        <v>1306</v>
      </c>
      <c r="M773" s="618">
        <v>225</v>
      </c>
      <c r="N773" s="797">
        <f>'Приложение 2'!E775</f>
        <v>4347536</v>
      </c>
      <c r="O773" s="797">
        <v>0</v>
      </c>
      <c r="P773" s="797">
        <v>0</v>
      </c>
      <c r="Q773" s="797">
        <v>0</v>
      </c>
      <c r="R773" s="797">
        <f t="shared" si="189"/>
        <v>4347536</v>
      </c>
      <c r="S773" s="797">
        <f t="shared" si="190"/>
        <v>936.46440495422723</v>
      </c>
      <c r="T773" s="797">
        <v>4180</v>
      </c>
      <c r="U773" s="132" t="s">
        <v>590</v>
      </c>
      <c r="V773" s="144">
        <f t="shared" si="191"/>
        <v>3243.5355950457729</v>
      </c>
      <c r="W773" s="119"/>
    </row>
    <row r="774" spans="1:23" ht="9" customHeight="1">
      <c r="A774" s="803">
        <v>69</v>
      </c>
      <c r="B774" s="614" t="s">
        <v>691</v>
      </c>
      <c r="C774" s="615" t="s">
        <v>1192</v>
      </c>
      <c r="D774" s="615" t="s">
        <v>110</v>
      </c>
      <c r="E774" s="616" t="s">
        <v>608</v>
      </c>
      <c r="F774" s="141"/>
      <c r="G774" s="617" t="s">
        <v>88</v>
      </c>
      <c r="H774" s="618">
        <v>5</v>
      </c>
      <c r="I774" s="618">
        <v>6</v>
      </c>
      <c r="J774" s="619">
        <v>6501.1</v>
      </c>
      <c r="K774" s="619">
        <v>4599.1000000000004</v>
      </c>
      <c r="L774" s="619">
        <v>2563</v>
      </c>
      <c r="M774" s="618">
        <v>223</v>
      </c>
      <c r="N774" s="797">
        <f>'Приложение 2'!E776</f>
        <v>3980796</v>
      </c>
      <c r="O774" s="797">
        <v>0</v>
      </c>
      <c r="P774" s="797">
        <v>0</v>
      </c>
      <c r="Q774" s="797">
        <v>0</v>
      </c>
      <c r="R774" s="797">
        <f t="shared" si="189"/>
        <v>3980796</v>
      </c>
      <c r="S774" s="797">
        <f t="shared" si="190"/>
        <v>865.55978343588959</v>
      </c>
      <c r="T774" s="797">
        <v>4180</v>
      </c>
      <c r="U774" s="132" t="s">
        <v>590</v>
      </c>
      <c r="V774" s="144">
        <f t="shared" si="191"/>
        <v>3314.4402165641104</v>
      </c>
      <c r="W774" s="119"/>
    </row>
    <row r="775" spans="1:23" ht="9" customHeight="1">
      <c r="A775" s="803">
        <v>70</v>
      </c>
      <c r="B775" s="614" t="s">
        <v>692</v>
      </c>
      <c r="C775" s="615" t="s">
        <v>1192</v>
      </c>
      <c r="D775" s="615" t="s">
        <v>110</v>
      </c>
      <c r="E775" s="616" t="s">
        <v>618</v>
      </c>
      <c r="F775" s="141"/>
      <c r="G775" s="617" t="s">
        <v>88</v>
      </c>
      <c r="H775" s="618">
        <v>5</v>
      </c>
      <c r="I775" s="618">
        <v>2</v>
      </c>
      <c r="J775" s="619">
        <v>2147.6999999999998</v>
      </c>
      <c r="K775" s="619">
        <v>1900.6</v>
      </c>
      <c r="L775" s="619">
        <v>1900.6</v>
      </c>
      <c r="M775" s="618">
        <v>179</v>
      </c>
      <c r="N775" s="797">
        <f>'Приложение 2'!E777</f>
        <v>2353804</v>
      </c>
      <c r="O775" s="797">
        <v>0</v>
      </c>
      <c r="P775" s="797">
        <v>0</v>
      </c>
      <c r="Q775" s="797">
        <v>0</v>
      </c>
      <c r="R775" s="797">
        <f t="shared" si="189"/>
        <v>2353804</v>
      </c>
      <c r="S775" s="797">
        <f t="shared" si="190"/>
        <v>1238.4531200673473</v>
      </c>
      <c r="T775" s="797">
        <v>4180</v>
      </c>
      <c r="U775" s="132" t="s">
        <v>590</v>
      </c>
      <c r="V775" s="144">
        <f t="shared" si="191"/>
        <v>2941.5468799326527</v>
      </c>
      <c r="W775" s="119"/>
    </row>
    <row r="776" spans="1:23" ht="9" customHeight="1">
      <c r="A776" s="803">
        <v>71</v>
      </c>
      <c r="B776" s="614" t="s">
        <v>693</v>
      </c>
      <c r="C776" s="615" t="s">
        <v>1192</v>
      </c>
      <c r="D776" s="615" t="s">
        <v>110</v>
      </c>
      <c r="E776" s="616" t="s">
        <v>612</v>
      </c>
      <c r="F776" s="141"/>
      <c r="G776" s="617" t="s">
        <v>88</v>
      </c>
      <c r="H776" s="618">
        <v>5</v>
      </c>
      <c r="I776" s="618">
        <v>8</v>
      </c>
      <c r="J776" s="619">
        <v>6665.6</v>
      </c>
      <c r="K776" s="619">
        <v>6141.9</v>
      </c>
      <c r="L776" s="619">
        <v>6141.9</v>
      </c>
      <c r="M776" s="618">
        <v>326</v>
      </c>
      <c r="N776" s="797">
        <f>'Приложение 2'!E778</f>
        <v>6127892</v>
      </c>
      <c r="O776" s="797">
        <v>0</v>
      </c>
      <c r="P776" s="797">
        <v>0</v>
      </c>
      <c r="Q776" s="797">
        <v>0</v>
      </c>
      <c r="R776" s="797">
        <f t="shared" si="189"/>
        <v>6127892</v>
      </c>
      <c r="S776" s="797">
        <f t="shared" si="190"/>
        <v>997.71927253781405</v>
      </c>
      <c r="T776" s="797">
        <v>4180</v>
      </c>
      <c r="U776" s="132" t="s">
        <v>590</v>
      </c>
      <c r="V776" s="144">
        <f t="shared" si="191"/>
        <v>3182.280727462186</v>
      </c>
      <c r="W776" s="119"/>
    </row>
    <row r="777" spans="1:23" ht="9" customHeight="1">
      <c r="A777" s="803">
        <v>72</v>
      </c>
      <c r="B777" s="614" t="s">
        <v>694</v>
      </c>
      <c r="C777" s="615" t="s">
        <v>1192</v>
      </c>
      <c r="D777" s="615" t="s">
        <v>110</v>
      </c>
      <c r="E777" s="616" t="s">
        <v>616</v>
      </c>
      <c r="F777" s="141"/>
      <c r="G777" s="617" t="s">
        <v>90</v>
      </c>
      <c r="H777" s="618">
        <v>5</v>
      </c>
      <c r="I777" s="618">
        <v>3</v>
      </c>
      <c r="J777" s="619">
        <v>2315</v>
      </c>
      <c r="K777" s="619">
        <v>2019</v>
      </c>
      <c r="L777" s="619">
        <v>2019</v>
      </c>
      <c r="M777" s="618">
        <v>110</v>
      </c>
      <c r="N777" s="797">
        <f>'Приложение 2'!E779</f>
        <v>2240448</v>
      </c>
      <c r="O777" s="797">
        <v>0</v>
      </c>
      <c r="P777" s="797">
        <v>0</v>
      </c>
      <c r="Q777" s="797">
        <v>0</v>
      </c>
      <c r="R777" s="797">
        <f t="shared" si="189"/>
        <v>2240448</v>
      </c>
      <c r="S777" s="797">
        <f t="shared" si="190"/>
        <v>1109.6820208023773</v>
      </c>
      <c r="T777" s="797">
        <v>4180</v>
      </c>
      <c r="U777" s="132" t="s">
        <v>590</v>
      </c>
      <c r="V777" s="144">
        <f t="shared" si="191"/>
        <v>3070.3179791976227</v>
      </c>
      <c r="W777" s="119"/>
    </row>
    <row r="778" spans="1:23" ht="9" customHeight="1">
      <c r="A778" s="803">
        <v>73</v>
      </c>
      <c r="B778" s="614" t="s">
        <v>695</v>
      </c>
      <c r="C778" s="615" t="s">
        <v>1192</v>
      </c>
      <c r="D778" s="615" t="s">
        <v>111</v>
      </c>
      <c r="E778" s="616" t="s">
        <v>598</v>
      </c>
      <c r="F778" s="141"/>
      <c r="G778" s="617" t="s">
        <v>88</v>
      </c>
      <c r="H778" s="618">
        <v>5</v>
      </c>
      <c r="I778" s="618">
        <v>4</v>
      </c>
      <c r="J778" s="619">
        <v>3462.3</v>
      </c>
      <c r="K778" s="619">
        <v>3119.8</v>
      </c>
      <c r="L778" s="619">
        <v>894</v>
      </c>
      <c r="M778" s="618">
        <v>153</v>
      </c>
      <c r="N778" s="797">
        <f>'Приложение 2'!E780</f>
        <v>3580038</v>
      </c>
      <c r="O778" s="797">
        <v>0</v>
      </c>
      <c r="P778" s="797">
        <v>0</v>
      </c>
      <c r="Q778" s="797">
        <v>0</v>
      </c>
      <c r="R778" s="797">
        <f t="shared" si="189"/>
        <v>3580038</v>
      </c>
      <c r="S778" s="797">
        <f t="shared" si="190"/>
        <v>1147.5216360023078</v>
      </c>
      <c r="T778" s="797">
        <v>4503.95</v>
      </c>
      <c r="U778" s="132" t="s">
        <v>590</v>
      </c>
      <c r="V778" s="144">
        <f t="shared" si="191"/>
        <v>3356.428363997692</v>
      </c>
      <c r="W778" s="119"/>
    </row>
    <row r="779" spans="1:23" ht="9" customHeight="1">
      <c r="A779" s="803">
        <v>74</v>
      </c>
      <c r="B779" s="614" t="s">
        <v>696</v>
      </c>
      <c r="C779" s="615" t="s">
        <v>1192</v>
      </c>
      <c r="D779" s="615" t="s">
        <v>110</v>
      </c>
      <c r="E779" s="616" t="s">
        <v>612</v>
      </c>
      <c r="F779" s="141"/>
      <c r="G779" s="617" t="s">
        <v>90</v>
      </c>
      <c r="H779" s="618">
        <v>5</v>
      </c>
      <c r="I779" s="618">
        <v>4</v>
      </c>
      <c r="J779" s="619">
        <v>3775</v>
      </c>
      <c r="K779" s="619">
        <v>3322.6</v>
      </c>
      <c r="L779" s="619">
        <v>907</v>
      </c>
      <c r="M779" s="618">
        <v>156</v>
      </c>
      <c r="N779" s="797">
        <f>'Приложение 2'!E781</f>
        <v>3197306</v>
      </c>
      <c r="O779" s="797">
        <v>0</v>
      </c>
      <c r="P779" s="797">
        <v>0</v>
      </c>
      <c r="Q779" s="797">
        <v>0</v>
      </c>
      <c r="R779" s="797">
        <f t="shared" si="189"/>
        <v>3197306</v>
      </c>
      <c r="S779" s="797">
        <f t="shared" si="190"/>
        <v>962.29037500752429</v>
      </c>
      <c r="T779" s="797">
        <v>4180</v>
      </c>
      <c r="U779" s="132" t="s">
        <v>590</v>
      </c>
      <c r="V779" s="144">
        <f t="shared" si="191"/>
        <v>3217.7096249924757</v>
      </c>
      <c r="W779" s="119"/>
    </row>
    <row r="780" spans="1:23" ht="9" customHeight="1">
      <c r="A780" s="803">
        <v>75</v>
      </c>
      <c r="B780" s="614" t="s">
        <v>697</v>
      </c>
      <c r="C780" s="615" t="s">
        <v>1192</v>
      </c>
      <c r="D780" s="615" t="s">
        <v>110</v>
      </c>
      <c r="E780" s="616" t="s">
        <v>597</v>
      </c>
      <c r="F780" s="141"/>
      <c r="G780" s="617" t="s">
        <v>90</v>
      </c>
      <c r="H780" s="618">
        <v>5</v>
      </c>
      <c r="I780" s="618">
        <v>4</v>
      </c>
      <c r="J780" s="619">
        <v>3634.7</v>
      </c>
      <c r="K780" s="619">
        <v>3366.3</v>
      </c>
      <c r="L780" s="619">
        <v>655</v>
      </c>
      <c r="M780" s="618">
        <v>149</v>
      </c>
      <c r="N780" s="797">
        <f>'Приложение 2'!E782</f>
        <v>3187304</v>
      </c>
      <c r="O780" s="797">
        <v>0</v>
      </c>
      <c r="P780" s="797">
        <v>0</v>
      </c>
      <c r="Q780" s="797">
        <v>0</v>
      </c>
      <c r="R780" s="797">
        <f t="shared" si="189"/>
        <v>3187304</v>
      </c>
      <c r="S780" s="797">
        <f t="shared" si="190"/>
        <v>946.82708017704897</v>
      </c>
      <c r="T780" s="797">
        <v>4180</v>
      </c>
      <c r="U780" s="132" t="s">
        <v>590</v>
      </c>
      <c r="V780" s="144">
        <f t="shared" si="191"/>
        <v>3233.1729198229509</v>
      </c>
      <c r="W780" s="119"/>
    </row>
    <row r="781" spans="1:23" ht="9" customHeight="1">
      <c r="A781" s="803">
        <v>76</v>
      </c>
      <c r="B781" s="614" t="s">
        <v>698</v>
      </c>
      <c r="C781" s="615" t="s">
        <v>1192</v>
      </c>
      <c r="D781" s="615" t="s">
        <v>110</v>
      </c>
      <c r="E781" s="616" t="s">
        <v>597</v>
      </c>
      <c r="F781" s="141"/>
      <c r="G781" s="617" t="s">
        <v>90</v>
      </c>
      <c r="H781" s="618">
        <v>5</v>
      </c>
      <c r="I781" s="618">
        <v>8</v>
      </c>
      <c r="J781" s="619">
        <v>6118.8</v>
      </c>
      <c r="K781" s="619">
        <v>5621.6</v>
      </c>
      <c r="L781" s="619">
        <v>2686</v>
      </c>
      <c r="M781" s="618">
        <v>244</v>
      </c>
      <c r="N781" s="797">
        <f>'Приложение 2'!E783</f>
        <v>5317730</v>
      </c>
      <c r="O781" s="797">
        <v>0</v>
      </c>
      <c r="P781" s="797">
        <v>0</v>
      </c>
      <c r="Q781" s="797">
        <v>0</v>
      </c>
      <c r="R781" s="797">
        <f t="shared" si="189"/>
        <v>5317730</v>
      </c>
      <c r="S781" s="797">
        <f t="shared" si="190"/>
        <v>945.94599402305391</v>
      </c>
      <c r="T781" s="797">
        <v>4180</v>
      </c>
      <c r="U781" s="132" t="s">
        <v>590</v>
      </c>
      <c r="V781" s="144">
        <f t="shared" si="191"/>
        <v>3234.054005976946</v>
      </c>
      <c r="W781" s="119"/>
    </row>
    <row r="782" spans="1:23" ht="9" customHeight="1">
      <c r="A782" s="803">
        <v>77</v>
      </c>
      <c r="B782" s="614" t="s">
        <v>699</v>
      </c>
      <c r="C782" s="615" t="s">
        <v>1192</v>
      </c>
      <c r="D782" s="615" t="s">
        <v>110</v>
      </c>
      <c r="E782" s="616" t="s">
        <v>612</v>
      </c>
      <c r="F782" s="141"/>
      <c r="G782" s="617" t="s">
        <v>90</v>
      </c>
      <c r="H782" s="618">
        <v>5</v>
      </c>
      <c r="I782" s="618">
        <v>8</v>
      </c>
      <c r="J782" s="619">
        <v>5989.4</v>
      </c>
      <c r="K782" s="619">
        <v>5548.2</v>
      </c>
      <c r="L782" s="619">
        <v>376</v>
      </c>
      <c r="M782" s="618">
        <v>270</v>
      </c>
      <c r="N782" s="797">
        <f>'Приложение 2'!E784</f>
        <v>5951190</v>
      </c>
      <c r="O782" s="797">
        <v>0</v>
      </c>
      <c r="P782" s="797">
        <v>0</v>
      </c>
      <c r="Q782" s="797">
        <v>0</v>
      </c>
      <c r="R782" s="797">
        <f t="shared" si="189"/>
        <v>5951190</v>
      </c>
      <c r="S782" s="797">
        <f t="shared" si="190"/>
        <v>1072.6343679031038</v>
      </c>
      <c r="T782" s="797">
        <v>4180</v>
      </c>
      <c r="U782" s="132" t="s">
        <v>590</v>
      </c>
      <c r="V782" s="144">
        <f t="shared" si="191"/>
        <v>3107.3656320968962</v>
      </c>
      <c r="W782" s="119"/>
    </row>
    <row r="783" spans="1:23" ht="9" customHeight="1">
      <c r="A783" s="803">
        <v>78</v>
      </c>
      <c r="B783" s="614" t="s">
        <v>700</v>
      </c>
      <c r="C783" s="615" t="s">
        <v>1192</v>
      </c>
      <c r="D783" s="615" t="s">
        <v>110</v>
      </c>
      <c r="E783" s="616" t="s">
        <v>612</v>
      </c>
      <c r="F783" s="141"/>
      <c r="G783" s="617" t="s">
        <v>90</v>
      </c>
      <c r="H783" s="618">
        <v>5</v>
      </c>
      <c r="I783" s="618">
        <v>4</v>
      </c>
      <c r="J783" s="619">
        <v>3598.6</v>
      </c>
      <c r="K783" s="619">
        <v>3322.6</v>
      </c>
      <c r="L783" s="619">
        <v>499</v>
      </c>
      <c r="M783" s="618">
        <v>126</v>
      </c>
      <c r="N783" s="797">
        <f>'Приложение 2'!E785</f>
        <v>3123958</v>
      </c>
      <c r="O783" s="797">
        <v>0</v>
      </c>
      <c r="P783" s="797">
        <v>0</v>
      </c>
      <c r="Q783" s="797">
        <v>0</v>
      </c>
      <c r="R783" s="797">
        <f t="shared" si="189"/>
        <v>3123958</v>
      </c>
      <c r="S783" s="797">
        <f t="shared" si="190"/>
        <v>940.21489195208574</v>
      </c>
      <c r="T783" s="797">
        <v>4180</v>
      </c>
      <c r="U783" s="132" t="s">
        <v>590</v>
      </c>
      <c r="V783" s="144">
        <f t="shared" si="191"/>
        <v>3239.785108047914</v>
      </c>
      <c r="W783" s="119"/>
    </row>
    <row r="784" spans="1:23" ht="9" customHeight="1">
      <c r="A784" s="803">
        <v>79</v>
      </c>
      <c r="B784" s="614" t="s">
        <v>701</v>
      </c>
      <c r="C784" s="615" t="s">
        <v>1192</v>
      </c>
      <c r="D784" s="615" t="s">
        <v>110</v>
      </c>
      <c r="E784" s="616" t="s">
        <v>608</v>
      </c>
      <c r="F784" s="141"/>
      <c r="G784" s="617" t="s">
        <v>90</v>
      </c>
      <c r="H784" s="618">
        <v>5</v>
      </c>
      <c r="I784" s="618">
        <v>4</v>
      </c>
      <c r="J784" s="619">
        <v>3925.7</v>
      </c>
      <c r="K784" s="619">
        <v>3259.1</v>
      </c>
      <c r="L784" s="619">
        <v>913</v>
      </c>
      <c r="M784" s="618">
        <v>127</v>
      </c>
      <c r="N784" s="797">
        <f>'Приложение 2'!E786</f>
        <v>3042608.4</v>
      </c>
      <c r="O784" s="797">
        <v>0</v>
      </c>
      <c r="P784" s="797">
        <v>0</v>
      </c>
      <c r="Q784" s="797">
        <v>0</v>
      </c>
      <c r="R784" s="797">
        <f t="shared" si="189"/>
        <v>3042608.4</v>
      </c>
      <c r="S784" s="797">
        <f t="shared" si="190"/>
        <v>933.57319505384919</v>
      </c>
      <c r="T784" s="797">
        <v>4180</v>
      </c>
      <c r="U784" s="132" t="s">
        <v>590</v>
      </c>
      <c r="V784" s="144">
        <f t="shared" si="191"/>
        <v>3246.4268049461507</v>
      </c>
      <c r="W784" s="119"/>
    </row>
    <row r="785" spans="1:23" ht="9" customHeight="1">
      <c r="A785" s="803">
        <v>80</v>
      </c>
      <c r="B785" s="614" t="s">
        <v>702</v>
      </c>
      <c r="C785" s="615" t="s">
        <v>1192</v>
      </c>
      <c r="D785" s="615" t="s">
        <v>110</v>
      </c>
      <c r="E785" s="616" t="s">
        <v>608</v>
      </c>
      <c r="F785" s="141"/>
      <c r="G785" s="617" t="s">
        <v>90</v>
      </c>
      <c r="H785" s="618">
        <v>5</v>
      </c>
      <c r="I785" s="618">
        <v>5</v>
      </c>
      <c r="J785" s="619">
        <v>4429.5</v>
      </c>
      <c r="K785" s="619">
        <v>3941.5</v>
      </c>
      <c r="L785" s="619">
        <v>460</v>
      </c>
      <c r="M785" s="618">
        <v>216</v>
      </c>
      <c r="N785" s="797">
        <f>'Приложение 2'!E787</f>
        <v>3640728</v>
      </c>
      <c r="O785" s="797">
        <v>0</v>
      </c>
      <c r="P785" s="797">
        <v>0</v>
      </c>
      <c r="Q785" s="797">
        <v>0</v>
      </c>
      <c r="R785" s="797">
        <f t="shared" si="189"/>
        <v>3640728</v>
      </c>
      <c r="S785" s="797">
        <f t="shared" si="190"/>
        <v>923.69098059114549</v>
      </c>
      <c r="T785" s="797">
        <v>4180</v>
      </c>
      <c r="U785" s="132" t="s">
        <v>590</v>
      </c>
      <c r="V785" s="144">
        <f t="shared" si="191"/>
        <v>3256.3090194088545</v>
      </c>
      <c r="W785" s="119"/>
    </row>
    <row r="786" spans="1:23" ht="9" customHeight="1">
      <c r="A786" s="803">
        <v>81</v>
      </c>
      <c r="B786" s="614" t="s">
        <v>703</v>
      </c>
      <c r="C786" s="615" t="s">
        <v>1192</v>
      </c>
      <c r="D786" s="615" t="s">
        <v>110</v>
      </c>
      <c r="E786" s="616" t="s">
        <v>608</v>
      </c>
      <c r="F786" s="141"/>
      <c r="G786" s="617" t="s">
        <v>90</v>
      </c>
      <c r="H786" s="618">
        <v>5</v>
      </c>
      <c r="I786" s="618">
        <v>6</v>
      </c>
      <c r="J786" s="619">
        <v>5072.6000000000004</v>
      </c>
      <c r="K786" s="619">
        <v>4568.8999999999996</v>
      </c>
      <c r="L786" s="619">
        <v>212</v>
      </c>
      <c r="M786" s="618">
        <v>211</v>
      </c>
      <c r="N786" s="797">
        <f>'Приложение 2'!E788</f>
        <v>4209175</v>
      </c>
      <c r="O786" s="797">
        <v>0</v>
      </c>
      <c r="P786" s="797">
        <v>0</v>
      </c>
      <c r="Q786" s="797">
        <v>0</v>
      </c>
      <c r="R786" s="797">
        <f t="shared" si="189"/>
        <v>4209175</v>
      </c>
      <c r="S786" s="797">
        <f t="shared" si="190"/>
        <v>921.26660684190949</v>
      </c>
      <c r="T786" s="797">
        <v>4180</v>
      </c>
      <c r="U786" s="132" t="s">
        <v>590</v>
      </c>
      <c r="V786" s="144">
        <f t="shared" si="191"/>
        <v>3258.7333931580906</v>
      </c>
      <c r="W786" s="119"/>
    </row>
    <row r="787" spans="1:23" ht="9" customHeight="1">
      <c r="A787" s="803">
        <v>82</v>
      </c>
      <c r="B787" s="614" t="s">
        <v>704</v>
      </c>
      <c r="C787" s="615" t="s">
        <v>1192</v>
      </c>
      <c r="D787" s="615" t="s">
        <v>110</v>
      </c>
      <c r="E787" s="616" t="s">
        <v>299</v>
      </c>
      <c r="F787" s="141"/>
      <c r="G787" s="617" t="s">
        <v>90</v>
      </c>
      <c r="H787" s="618">
        <v>9</v>
      </c>
      <c r="I787" s="618">
        <v>4</v>
      </c>
      <c r="J787" s="619">
        <v>8668.2000000000007</v>
      </c>
      <c r="K787" s="619">
        <v>7601.2</v>
      </c>
      <c r="L787" s="619">
        <v>526</v>
      </c>
      <c r="M787" s="618">
        <v>332</v>
      </c>
      <c r="N787" s="797">
        <f>'Приложение 2'!E789</f>
        <v>3970794</v>
      </c>
      <c r="O787" s="797">
        <v>0</v>
      </c>
      <c r="P787" s="797">
        <v>0</v>
      </c>
      <c r="Q787" s="797">
        <v>0</v>
      </c>
      <c r="R787" s="797">
        <f t="shared" si="189"/>
        <v>3970794</v>
      </c>
      <c r="S787" s="797">
        <f t="shared" si="190"/>
        <v>522.39041204020418</v>
      </c>
      <c r="T787" s="797">
        <v>4180</v>
      </c>
      <c r="U787" s="132" t="s">
        <v>590</v>
      </c>
      <c r="V787" s="144">
        <f t="shared" si="191"/>
        <v>3657.609587959796</v>
      </c>
      <c r="W787" s="119"/>
    </row>
    <row r="788" spans="1:23" ht="9" customHeight="1">
      <c r="A788" s="803">
        <v>83</v>
      </c>
      <c r="B788" s="614" t="s">
        <v>705</v>
      </c>
      <c r="C788" s="615" t="s">
        <v>1192</v>
      </c>
      <c r="D788" s="615" t="s">
        <v>110</v>
      </c>
      <c r="E788" s="616" t="s">
        <v>299</v>
      </c>
      <c r="F788" s="141"/>
      <c r="G788" s="617" t="s">
        <v>90</v>
      </c>
      <c r="H788" s="618">
        <v>9</v>
      </c>
      <c r="I788" s="618">
        <v>5</v>
      </c>
      <c r="J788" s="619">
        <v>10728.8</v>
      </c>
      <c r="K788" s="619">
        <v>9599</v>
      </c>
      <c r="L788" s="619">
        <v>1493</v>
      </c>
      <c r="M788" s="618">
        <v>435</v>
      </c>
      <c r="N788" s="797">
        <f>'Приложение 2'!E790</f>
        <v>5384410</v>
      </c>
      <c r="O788" s="797">
        <v>0</v>
      </c>
      <c r="P788" s="797">
        <v>0</v>
      </c>
      <c r="Q788" s="797">
        <v>0</v>
      </c>
      <c r="R788" s="797">
        <f t="shared" si="189"/>
        <v>5384410</v>
      </c>
      <c r="S788" s="797">
        <f t="shared" si="190"/>
        <v>560.93447234086887</v>
      </c>
      <c r="T788" s="797">
        <v>4180</v>
      </c>
      <c r="U788" s="132" t="s">
        <v>590</v>
      </c>
      <c r="V788" s="144">
        <f t="shared" si="191"/>
        <v>3619.065527659131</v>
      </c>
      <c r="W788" s="119"/>
    </row>
    <row r="789" spans="1:23" ht="9" customHeight="1">
      <c r="A789" s="803">
        <v>84</v>
      </c>
      <c r="B789" s="614" t="s">
        <v>706</v>
      </c>
      <c r="C789" s="615" t="s">
        <v>1192</v>
      </c>
      <c r="D789" s="615" t="s">
        <v>110</v>
      </c>
      <c r="E789" s="616" t="s">
        <v>618</v>
      </c>
      <c r="F789" s="141"/>
      <c r="G789" s="617" t="s">
        <v>88</v>
      </c>
      <c r="H789" s="618">
        <v>9</v>
      </c>
      <c r="I789" s="618">
        <v>1</v>
      </c>
      <c r="J789" s="619">
        <v>4294.1000000000004</v>
      </c>
      <c r="K789" s="619">
        <v>3316.2</v>
      </c>
      <c r="L789" s="619">
        <v>901</v>
      </c>
      <c r="M789" s="618">
        <v>151</v>
      </c>
      <c r="N789" s="797">
        <f>'Приложение 2'!E791</f>
        <v>2137094</v>
      </c>
      <c r="O789" s="797">
        <v>0</v>
      </c>
      <c r="P789" s="797">
        <v>0</v>
      </c>
      <c r="Q789" s="797">
        <v>0</v>
      </c>
      <c r="R789" s="797">
        <f t="shared" si="189"/>
        <v>2137094</v>
      </c>
      <c r="S789" s="797">
        <f t="shared" si="190"/>
        <v>644.44062481153128</v>
      </c>
      <c r="T789" s="797">
        <v>4180</v>
      </c>
      <c r="U789" s="132" t="s">
        <v>590</v>
      </c>
      <c r="V789" s="144">
        <f t="shared" si="191"/>
        <v>3535.5593751884689</v>
      </c>
      <c r="W789" s="119"/>
    </row>
    <row r="790" spans="1:23" ht="9" customHeight="1">
      <c r="A790" s="803">
        <v>85</v>
      </c>
      <c r="B790" s="614" t="s">
        <v>707</v>
      </c>
      <c r="C790" s="615" t="s">
        <v>1192</v>
      </c>
      <c r="D790" s="615" t="s">
        <v>110</v>
      </c>
      <c r="E790" s="616" t="s">
        <v>607</v>
      </c>
      <c r="F790" s="141"/>
      <c r="G790" s="617" t="s">
        <v>88</v>
      </c>
      <c r="H790" s="618">
        <v>9</v>
      </c>
      <c r="I790" s="618">
        <v>8</v>
      </c>
      <c r="J790" s="619">
        <v>18543.7</v>
      </c>
      <c r="K790" s="619">
        <v>15749.4</v>
      </c>
      <c r="L790" s="619">
        <v>200</v>
      </c>
      <c r="M790" s="618">
        <v>600</v>
      </c>
      <c r="N790" s="797">
        <f>'Приложение 2'!E792</f>
        <v>9250183</v>
      </c>
      <c r="O790" s="797">
        <v>0</v>
      </c>
      <c r="P790" s="797">
        <v>0</v>
      </c>
      <c r="Q790" s="797">
        <v>0</v>
      </c>
      <c r="R790" s="797">
        <f t="shared" si="189"/>
        <v>9250183</v>
      </c>
      <c r="S790" s="797">
        <f t="shared" si="190"/>
        <v>587.33558103800783</v>
      </c>
      <c r="T790" s="797">
        <v>4180</v>
      </c>
      <c r="U790" s="132" t="s">
        <v>590</v>
      </c>
      <c r="V790" s="144">
        <f t="shared" si="191"/>
        <v>3592.6644189619919</v>
      </c>
      <c r="W790" s="119"/>
    </row>
    <row r="791" spans="1:23" ht="9" customHeight="1">
      <c r="A791" s="803">
        <v>86</v>
      </c>
      <c r="B791" s="614" t="s">
        <v>708</v>
      </c>
      <c r="C791" s="615" t="s">
        <v>1192</v>
      </c>
      <c r="D791" s="615" t="s">
        <v>110</v>
      </c>
      <c r="E791" s="616" t="s">
        <v>616</v>
      </c>
      <c r="F791" s="141"/>
      <c r="G791" s="617" t="s">
        <v>88</v>
      </c>
      <c r="H791" s="618">
        <v>9</v>
      </c>
      <c r="I791" s="618">
        <v>6</v>
      </c>
      <c r="J791" s="619">
        <v>12098.3</v>
      </c>
      <c r="K791" s="619">
        <v>10383.700000000001</v>
      </c>
      <c r="L791" s="619">
        <v>51</v>
      </c>
      <c r="M791" s="618">
        <v>503</v>
      </c>
      <c r="N791" s="797">
        <f>'Приложение 2'!E793</f>
        <v>6577982</v>
      </c>
      <c r="O791" s="797">
        <v>0</v>
      </c>
      <c r="P791" s="797">
        <v>0</v>
      </c>
      <c r="Q791" s="797">
        <v>0</v>
      </c>
      <c r="R791" s="797">
        <f t="shared" si="189"/>
        <v>6577982</v>
      </c>
      <c r="S791" s="797">
        <f t="shared" si="190"/>
        <v>633.49114477498381</v>
      </c>
      <c r="T791" s="797">
        <v>4180</v>
      </c>
      <c r="U791" s="132" t="s">
        <v>590</v>
      </c>
      <c r="V791" s="144">
        <f t="shared" si="191"/>
        <v>3546.5088552250163</v>
      </c>
      <c r="W791" s="119"/>
    </row>
    <row r="792" spans="1:23" ht="9" customHeight="1">
      <c r="A792" s="803">
        <v>87</v>
      </c>
      <c r="B792" s="614" t="s">
        <v>709</v>
      </c>
      <c r="C792" s="615" t="s">
        <v>1192</v>
      </c>
      <c r="D792" s="615" t="s">
        <v>110</v>
      </c>
      <c r="E792" s="616" t="s">
        <v>746</v>
      </c>
      <c r="F792" s="141"/>
      <c r="G792" s="617" t="s">
        <v>88</v>
      </c>
      <c r="H792" s="618">
        <v>9</v>
      </c>
      <c r="I792" s="618">
        <v>1</v>
      </c>
      <c r="J792" s="619">
        <v>12118</v>
      </c>
      <c r="K792" s="619">
        <v>7792.2</v>
      </c>
      <c r="L792" s="619">
        <v>213</v>
      </c>
      <c r="M792" s="618">
        <v>497</v>
      </c>
      <c r="N792" s="797">
        <f>'Приложение 2'!E794</f>
        <v>7208108</v>
      </c>
      <c r="O792" s="797">
        <v>0</v>
      </c>
      <c r="P792" s="797">
        <v>0</v>
      </c>
      <c r="Q792" s="797">
        <v>0</v>
      </c>
      <c r="R792" s="797">
        <f t="shared" si="189"/>
        <v>7208108</v>
      </c>
      <c r="S792" s="797">
        <f t="shared" si="190"/>
        <v>925.04145170811842</v>
      </c>
      <c r="T792" s="797">
        <v>4180</v>
      </c>
      <c r="U792" s="132" t="s">
        <v>590</v>
      </c>
      <c r="V792" s="144">
        <f t="shared" si="191"/>
        <v>3254.9585482918815</v>
      </c>
      <c r="W792" s="119"/>
    </row>
    <row r="793" spans="1:23" ht="9" customHeight="1">
      <c r="A793" s="803">
        <v>88</v>
      </c>
      <c r="B793" s="614" t="s">
        <v>710</v>
      </c>
      <c r="C793" s="615" t="s">
        <v>1192</v>
      </c>
      <c r="D793" s="615" t="s">
        <v>110</v>
      </c>
      <c r="E793" s="616" t="s">
        <v>605</v>
      </c>
      <c r="F793" s="141"/>
      <c r="G793" s="617" t="s">
        <v>90</v>
      </c>
      <c r="H793" s="618">
        <v>5</v>
      </c>
      <c r="I793" s="618">
        <v>3</v>
      </c>
      <c r="J793" s="619">
        <v>2363.1999999999998</v>
      </c>
      <c r="K793" s="619">
        <v>2127.6</v>
      </c>
      <c r="L793" s="619">
        <v>2127.6</v>
      </c>
      <c r="M793" s="618">
        <v>98</v>
      </c>
      <c r="N793" s="797">
        <f>'Приложение 2'!E795</f>
        <v>1999399.8</v>
      </c>
      <c r="O793" s="797">
        <v>0</v>
      </c>
      <c r="P793" s="797">
        <v>0</v>
      </c>
      <c r="Q793" s="797">
        <v>0</v>
      </c>
      <c r="R793" s="797">
        <f t="shared" si="189"/>
        <v>1999399.8</v>
      </c>
      <c r="S793" s="797">
        <f t="shared" si="190"/>
        <v>939.74421883812749</v>
      </c>
      <c r="T793" s="797">
        <v>4180</v>
      </c>
      <c r="U793" s="132" t="s">
        <v>590</v>
      </c>
      <c r="V793" s="144">
        <f t="shared" si="191"/>
        <v>3240.2557811618726</v>
      </c>
      <c r="W793" s="119"/>
    </row>
    <row r="794" spans="1:23" ht="9" customHeight="1">
      <c r="A794" s="803">
        <v>89</v>
      </c>
      <c r="B794" s="614" t="s">
        <v>711</v>
      </c>
      <c r="C794" s="615" t="s">
        <v>1192</v>
      </c>
      <c r="D794" s="615" t="s">
        <v>110</v>
      </c>
      <c r="E794" s="616" t="s">
        <v>605</v>
      </c>
      <c r="F794" s="141"/>
      <c r="G794" s="617" t="s">
        <v>88</v>
      </c>
      <c r="H794" s="618">
        <v>5</v>
      </c>
      <c r="I794" s="618">
        <v>4</v>
      </c>
      <c r="J794" s="619">
        <v>4689.92</v>
      </c>
      <c r="K794" s="619">
        <v>3368.5</v>
      </c>
      <c r="L794" s="619">
        <v>3368.5</v>
      </c>
      <c r="M794" s="617">
        <v>166</v>
      </c>
      <c r="N794" s="797">
        <f>'Приложение 2'!E796</f>
        <v>3837434</v>
      </c>
      <c r="O794" s="797">
        <v>0</v>
      </c>
      <c r="P794" s="797">
        <v>0</v>
      </c>
      <c r="Q794" s="797">
        <v>0</v>
      </c>
      <c r="R794" s="797">
        <f t="shared" si="189"/>
        <v>3837434</v>
      </c>
      <c r="S794" s="797">
        <f t="shared" si="190"/>
        <v>1139.2115184800357</v>
      </c>
      <c r="T794" s="797">
        <v>4180</v>
      </c>
      <c r="U794" s="132" t="s">
        <v>590</v>
      </c>
      <c r="V794" s="144">
        <f t="shared" si="191"/>
        <v>3040.7884815199641</v>
      </c>
      <c r="W794" s="119"/>
    </row>
    <row r="795" spans="1:23" ht="9" customHeight="1">
      <c r="A795" s="803">
        <v>90</v>
      </c>
      <c r="B795" s="614" t="s">
        <v>712</v>
      </c>
      <c r="C795" s="615" t="s">
        <v>1192</v>
      </c>
      <c r="D795" s="615" t="s">
        <v>111</v>
      </c>
      <c r="E795" s="616" t="s">
        <v>611</v>
      </c>
      <c r="F795" s="141"/>
      <c r="G795" s="617" t="s">
        <v>88</v>
      </c>
      <c r="H795" s="618">
        <v>6</v>
      </c>
      <c r="I795" s="618">
        <v>1</v>
      </c>
      <c r="J795" s="619">
        <v>1418.84</v>
      </c>
      <c r="K795" s="619">
        <f>1097.5+249.1</f>
        <v>1346.6</v>
      </c>
      <c r="L795" s="619">
        <v>1097.5</v>
      </c>
      <c r="M795" s="618">
        <v>74</v>
      </c>
      <c r="N795" s="797">
        <f>'Приложение 2'!E797</f>
        <v>931392</v>
      </c>
      <c r="O795" s="797">
        <v>0</v>
      </c>
      <c r="P795" s="797">
        <v>0</v>
      </c>
      <c r="Q795" s="797">
        <v>0</v>
      </c>
      <c r="R795" s="797">
        <f t="shared" si="189"/>
        <v>931392</v>
      </c>
      <c r="S795" s="797">
        <f t="shared" si="190"/>
        <v>691.66196346353786</v>
      </c>
      <c r="T795" s="797">
        <v>4503.95</v>
      </c>
      <c r="U795" s="132" t="s">
        <v>590</v>
      </c>
      <c r="V795" s="144">
        <f t="shared" si="191"/>
        <v>3812.2880365364617</v>
      </c>
      <c r="W795" s="119"/>
    </row>
    <row r="796" spans="1:23" ht="9" customHeight="1">
      <c r="A796" s="803">
        <v>91</v>
      </c>
      <c r="B796" s="614" t="s">
        <v>713</v>
      </c>
      <c r="C796" s="615" t="s">
        <v>1192</v>
      </c>
      <c r="D796" s="615" t="s">
        <v>110</v>
      </c>
      <c r="E796" s="616" t="s">
        <v>615</v>
      </c>
      <c r="F796" s="141"/>
      <c r="G796" s="617" t="s">
        <v>90</v>
      </c>
      <c r="H796" s="618">
        <v>5</v>
      </c>
      <c r="I796" s="618">
        <v>8</v>
      </c>
      <c r="J796" s="619">
        <v>5751.1</v>
      </c>
      <c r="K796" s="619">
        <v>5183.1000000000004</v>
      </c>
      <c r="L796" s="619">
        <v>5183.1000000000004</v>
      </c>
      <c r="M796" s="617">
        <v>279</v>
      </c>
      <c r="N796" s="797">
        <f>'Приложение 2'!E798</f>
        <v>5001000</v>
      </c>
      <c r="O796" s="797">
        <v>0</v>
      </c>
      <c r="P796" s="797">
        <v>0</v>
      </c>
      <c r="Q796" s="797">
        <v>0</v>
      </c>
      <c r="R796" s="797">
        <f t="shared" si="189"/>
        <v>5001000</v>
      </c>
      <c r="S796" s="797">
        <f t="shared" si="190"/>
        <v>964.86658563407991</v>
      </c>
      <c r="T796" s="797">
        <v>4180</v>
      </c>
      <c r="U796" s="132" t="s">
        <v>590</v>
      </c>
      <c r="V796" s="144">
        <f t="shared" si="191"/>
        <v>3215.1334143659201</v>
      </c>
      <c r="W796" s="119"/>
    </row>
    <row r="797" spans="1:23" ht="9" customHeight="1">
      <c r="A797" s="803">
        <v>92</v>
      </c>
      <c r="B797" s="614" t="s">
        <v>714</v>
      </c>
      <c r="C797" s="615" t="s">
        <v>1192</v>
      </c>
      <c r="D797" s="615" t="s">
        <v>110</v>
      </c>
      <c r="E797" s="616" t="s">
        <v>600</v>
      </c>
      <c r="F797" s="141"/>
      <c r="G797" s="617" t="s">
        <v>90</v>
      </c>
      <c r="H797" s="618">
        <v>5</v>
      </c>
      <c r="I797" s="618">
        <v>4</v>
      </c>
      <c r="J797" s="619">
        <v>2967</v>
      </c>
      <c r="K797" s="619">
        <v>2770.2</v>
      </c>
      <c r="L797" s="619">
        <v>2770.2</v>
      </c>
      <c r="M797" s="618">
        <v>115</v>
      </c>
      <c r="N797" s="797">
        <f>'Приложение 2'!E799</f>
        <v>2633860</v>
      </c>
      <c r="O797" s="797">
        <v>0</v>
      </c>
      <c r="P797" s="797">
        <v>0</v>
      </c>
      <c r="Q797" s="797">
        <v>0</v>
      </c>
      <c r="R797" s="797">
        <f t="shared" si="189"/>
        <v>2633860</v>
      </c>
      <c r="S797" s="797">
        <f t="shared" si="190"/>
        <v>950.7833369431811</v>
      </c>
      <c r="T797" s="797">
        <v>4180</v>
      </c>
      <c r="U797" s="132" t="s">
        <v>590</v>
      </c>
      <c r="V797" s="144">
        <f t="shared" si="191"/>
        <v>3229.216663056819</v>
      </c>
      <c r="W797" s="119"/>
    </row>
    <row r="798" spans="1:23" ht="9" customHeight="1">
      <c r="A798" s="803">
        <v>93</v>
      </c>
      <c r="B798" s="614" t="s">
        <v>715</v>
      </c>
      <c r="C798" s="615" t="s">
        <v>1192</v>
      </c>
      <c r="D798" s="615" t="s">
        <v>111</v>
      </c>
      <c r="E798" s="616" t="s">
        <v>107</v>
      </c>
      <c r="F798" s="141"/>
      <c r="G798" s="617" t="s">
        <v>88</v>
      </c>
      <c r="H798" s="618">
        <v>4</v>
      </c>
      <c r="I798" s="618">
        <v>3</v>
      </c>
      <c r="J798" s="619">
        <v>2170.1</v>
      </c>
      <c r="K798" s="619">
        <v>1780.35</v>
      </c>
      <c r="L798" s="619">
        <v>1780.35</v>
      </c>
      <c r="M798" s="617">
        <v>89</v>
      </c>
      <c r="N798" s="797">
        <f>'Приложение 2'!E800</f>
        <v>2800644</v>
      </c>
      <c r="O798" s="797">
        <v>0</v>
      </c>
      <c r="P798" s="797">
        <v>0</v>
      </c>
      <c r="Q798" s="797">
        <v>0</v>
      </c>
      <c r="R798" s="797">
        <f t="shared" si="189"/>
        <v>2800644</v>
      </c>
      <c r="S798" s="797">
        <f t="shared" si="190"/>
        <v>1573.0861909175162</v>
      </c>
      <c r="T798" s="797">
        <v>4503.95</v>
      </c>
      <c r="U798" s="132" t="s">
        <v>590</v>
      </c>
      <c r="V798" s="144">
        <f t="shared" si="191"/>
        <v>2930.8638090824834</v>
      </c>
      <c r="W798" s="119"/>
    </row>
    <row r="799" spans="1:23" ht="9" customHeight="1">
      <c r="A799" s="803">
        <v>94</v>
      </c>
      <c r="B799" s="614" t="s">
        <v>716</v>
      </c>
      <c r="C799" s="615" t="s">
        <v>1192</v>
      </c>
      <c r="D799" s="615" t="s">
        <v>110</v>
      </c>
      <c r="E799" s="616" t="s">
        <v>605</v>
      </c>
      <c r="F799" s="141"/>
      <c r="G799" s="617" t="s">
        <v>88</v>
      </c>
      <c r="H799" s="618">
        <v>5</v>
      </c>
      <c r="I799" s="618">
        <v>2</v>
      </c>
      <c r="J799" s="619">
        <v>1777.4</v>
      </c>
      <c r="K799" s="619">
        <v>1437.33</v>
      </c>
      <c r="L799" s="619">
        <v>1437.33</v>
      </c>
      <c r="M799" s="617">
        <v>66</v>
      </c>
      <c r="N799" s="797">
        <f>'Приложение 2'!E801</f>
        <v>1470294</v>
      </c>
      <c r="O799" s="797">
        <v>0</v>
      </c>
      <c r="P799" s="797">
        <v>0</v>
      </c>
      <c r="Q799" s="797">
        <v>0</v>
      </c>
      <c r="R799" s="797">
        <f t="shared" si="189"/>
        <v>1470294</v>
      </c>
      <c r="S799" s="797">
        <f t="shared" si="190"/>
        <v>1022.9341904781784</v>
      </c>
      <c r="T799" s="797">
        <v>4180</v>
      </c>
      <c r="U799" s="132" t="s">
        <v>590</v>
      </c>
      <c r="V799" s="144">
        <f t="shared" si="191"/>
        <v>3157.0658095218214</v>
      </c>
      <c r="W799" s="119"/>
    </row>
    <row r="800" spans="1:23" ht="9" customHeight="1">
      <c r="A800" s="803">
        <v>95</v>
      </c>
      <c r="B800" s="614" t="s">
        <v>717</v>
      </c>
      <c r="C800" s="615" t="s">
        <v>1192</v>
      </c>
      <c r="D800" s="615" t="s">
        <v>110</v>
      </c>
      <c r="E800" s="616" t="s">
        <v>611</v>
      </c>
      <c r="F800" s="141"/>
      <c r="G800" s="617" t="s">
        <v>90</v>
      </c>
      <c r="H800" s="618">
        <v>5</v>
      </c>
      <c r="I800" s="618">
        <v>4</v>
      </c>
      <c r="J800" s="619">
        <v>3827</v>
      </c>
      <c r="K800" s="619">
        <v>3423.5</v>
      </c>
      <c r="L800" s="619">
        <v>3423.5</v>
      </c>
      <c r="M800" s="617">
        <v>182</v>
      </c>
      <c r="N800" s="797">
        <f>'Приложение 2'!E802</f>
        <v>2973928</v>
      </c>
      <c r="O800" s="797">
        <v>0</v>
      </c>
      <c r="P800" s="797">
        <v>0</v>
      </c>
      <c r="Q800" s="797">
        <v>0</v>
      </c>
      <c r="R800" s="797">
        <f t="shared" si="189"/>
        <v>2973928</v>
      </c>
      <c r="S800" s="797">
        <f t="shared" si="190"/>
        <v>868.68059003943335</v>
      </c>
      <c r="T800" s="797">
        <v>4180</v>
      </c>
      <c r="U800" s="132" t="s">
        <v>590</v>
      </c>
      <c r="V800" s="144">
        <f t="shared" si="191"/>
        <v>3311.3194099605666</v>
      </c>
      <c r="W800" s="119"/>
    </row>
    <row r="801" spans="1:23" ht="9" customHeight="1">
      <c r="A801" s="803">
        <v>96</v>
      </c>
      <c r="B801" s="614" t="s">
        <v>718</v>
      </c>
      <c r="C801" s="615" t="s">
        <v>1192</v>
      </c>
      <c r="D801" s="615" t="s">
        <v>110</v>
      </c>
      <c r="E801" s="616" t="s">
        <v>604</v>
      </c>
      <c r="F801" s="141"/>
      <c r="G801" s="617" t="s">
        <v>90</v>
      </c>
      <c r="H801" s="618">
        <v>5</v>
      </c>
      <c r="I801" s="618">
        <v>11</v>
      </c>
      <c r="J801" s="619">
        <v>8310.5</v>
      </c>
      <c r="K801" s="619">
        <v>7634</v>
      </c>
      <c r="L801" s="619">
        <v>7634</v>
      </c>
      <c r="M801" s="617">
        <v>368</v>
      </c>
      <c r="N801" s="797">
        <f>'Приложение 2'!E803</f>
        <v>6741348</v>
      </c>
      <c r="O801" s="797">
        <v>0</v>
      </c>
      <c r="P801" s="797">
        <v>0</v>
      </c>
      <c r="Q801" s="797">
        <v>0</v>
      </c>
      <c r="R801" s="797">
        <f t="shared" si="189"/>
        <v>6741348</v>
      </c>
      <c r="S801" s="797">
        <f t="shared" si="190"/>
        <v>883.06890227927693</v>
      </c>
      <c r="T801" s="797">
        <v>4180</v>
      </c>
      <c r="U801" s="132" t="s">
        <v>590</v>
      </c>
      <c r="V801" s="144">
        <f t="shared" si="191"/>
        <v>3296.9310977207233</v>
      </c>
      <c r="W801" s="119"/>
    </row>
    <row r="802" spans="1:23" ht="9" customHeight="1">
      <c r="A802" s="803">
        <v>97</v>
      </c>
      <c r="B802" s="614" t="s">
        <v>719</v>
      </c>
      <c r="C802" s="615" t="s">
        <v>1192</v>
      </c>
      <c r="D802" s="615" t="s">
        <v>110</v>
      </c>
      <c r="E802" s="616" t="s">
        <v>598</v>
      </c>
      <c r="F802" s="141"/>
      <c r="G802" s="617" t="s">
        <v>90</v>
      </c>
      <c r="H802" s="618">
        <v>5</v>
      </c>
      <c r="I802" s="618">
        <v>4</v>
      </c>
      <c r="J802" s="619">
        <v>4112</v>
      </c>
      <c r="K802" s="619">
        <v>3843</v>
      </c>
      <c r="L802" s="619">
        <v>3843</v>
      </c>
      <c r="M802" s="617">
        <v>222</v>
      </c>
      <c r="N802" s="797">
        <f>'Приложение 2'!E804</f>
        <v>3230646</v>
      </c>
      <c r="O802" s="797">
        <v>0</v>
      </c>
      <c r="P802" s="797">
        <v>0</v>
      </c>
      <c r="Q802" s="797">
        <v>0</v>
      </c>
      <c r="R802" s="797">
        <f t="shared" si="189"/>
        <v>3230646</v>
      </c>
      <c r="S802" s="797">
        <f t="shared" si="190"/>
        <v>840.65729898516781</v>
      </c>
      <c r="T802" s="797">
        <v>4180</v>
      </c>
      <c r="U802" s="132" t="s">
        <v>590</v>
      </c>
      <c r="V802" s="144">
        <f t="shared" si="191"/>
        <v>3339.3427010148321</v>
      </c>
      <c r="W802" s="119"/>
    </row>
    <row r="803" spans="1:23" ht="9" customHeight="1">
      <c r="A803" s="803">
        <v>98</v>
      </c>
      <c r="B803" s="614" t="s">
        <v>720</v>
      </c>
      <c r="C803" s="615" t="s">
        <v>1192</v>
      </c>
      <c r="D803" s="615" t="s">
        <v>111</v>
      </c>
      <c r="E803" s="616" t="s">
        <v>597</v>
      </c>
      <c r="F803" s="141"/>
      <c r="G803" s="617" t="s">
        <v>88</v>
      </c>
      <c r="H803" s="618">
        <v>5</v>
      </c>
      <c r="I803" s="618">
        <v>4</v>
      </c>
      <c r="J803" s="619">
        <v>3010.5</v>
      </c>
      <c r="K803" s="619">
        <v>2689</v>
      </c>
      <c r="L803" s="619">
        <v>2689</v>
      </c>
      <c r="M803" s="617">
        <v>103</v>
      </c>
      <c r="N803" s="797">
        <f>'Приложение 2'!E805</f>
        <v>4851000</v>
      </c>
      <c r="O803" s="797">
        <v>0</v>
      </c>
      <c r="P803" s="797">
        <v>0</v>
      </c>
      <c r="Q803" s="797">
        <v>0</v>
      </c>
      <c r="R803" s="797">
        <f t="shared" si="189"/>
        <v>4851000</v>
      </c>
      <c r="S803" s="797">
        <f t="shared" si="190"/>
        <v>1804.0163629602082</v>
      </c>
      <c r="T803" s="797">
        <v>4503.95</v>
      </c>
      <c r="U803" s="132" t="s">
        <v>590</v>
      </c>
      <c r="V803" s="144">
        <f t="shared" si="191"/>
        <v>2699.9336370397914</v>
      </c>
      <c r="W803" s="119"/>
    </row>
    <row r="804" spans="1:23" ht="9" customHeight="1">
      <c r="A804" s="803">
        <v>99</v>
      </c>
      <c r="B804" s="614" t="s">
        <v>721</v>
      </c>
      <c r="C804" s="615" t="s">
        <v>1192</v>
      </c>
      <c r="D804" s="615" t="s">
        <v>111</v>
      </c>
      <c r="E804" s="616" t="s">
        <v>747</v>
      </c>
      <c r="F804" s="141"/>
      <c r="G804" s="617" t="s">
        <v>88</v>
      </c>
      <c r="H804" s="618">
        <v>4</v>
      </c>
      <c r="I804" s="618">
        <v>4</v>
      </c>
      <c r="J804" s="619">
        <v>4285.7</v>
      </c>
      <c r="K804" s="619">
        <v>3564.9</v>
      </c>
      <c r="L804" s="619">
        <v>2403</v>
      </c>
      <c r="M804" s="618">
        <v>87</v>
      </c>
      <c r="N804" s="797">
        <f>'Приложение 2'!E806</f>
        <v>5840604</v>
      </c>
      <c r="O804" s="797">
        <v>0</v>
      </c>
      <c r="P804" s="797">
        <v>0</v>
      </c>
      <c r="Q804" s="797">
        <v>0</v>
      </c>
      <c r="R804" s="797">
        <f t="shared" si="189"/>
        <v>5840604</v>
      </c>
      <c r="S804" s="797">
        <f t="shared" si="190"/>
        <v>1638.364049482454</v>
      </c>
      <c r="T804" s="797">
        <v>4503.95</v>
      </c>
      <c r="U804" s="132" t="s">
        <v>590</v>
      </c>
      <c r="V804" s="144">
        <f t="shared" si="191"/>
        <v>2865.5859505175458</v>
      </c>
      <c r="W804" s="119"/>
    </row>
    <row r="805" spans="1:23" ht="9" customHeight="1">
      <c r="A805" s="803">
        <v>100</v>
      </c>
      <c r="B805" s="614" t="s">
        <v>722</v>
      </c>
      <c r="C805" s="615" t="s">
        <v>1192</v>
      </c>
      <c r="D805" s="615" t="s">
        <v>110</v>
      </c>
      <c r="E805" s="616" t="s">
        <v>597</v>
      </c>
      <c r="F805" s="141"/>
      <c r="G805" s="617" t="s">
        <v>90</v>
      </c>
      <c r="H805" s="618">
        <v>5</v>
      </c>
      <c r="I805" s="618">
        <v>8</v>
      </c>
      <c r="J805" s="619">
        <v>6119.3</v>
      </c>
      <c r="K805" s="619">
        <v>5372.1</v>
      </c>
      <c r="L805" s="619">
        <v>5372.1</v>
      </c>
      <c r="M805" s="618">
        <v>130</v>
      </c>
      <c r="N805" s="797">
        <f>'Приложение 2'!E807</f>
        <v>4664266</v>
      </c>
      <c r="O805" s="797">
        <v>0</v>
      </c>
      <c r="P805" s="797">
        <v>0</v>
      </c>
      <c r="Q805" s="797">
        <v>0</v>
      </c>
      <c r="R805" s="797">
        <f t="shared" si="189"/>
        <v>4664266</v>
      </c>
      <c r="S805" s="797">
        <f t="shared" si="190"/>
        <v>868.23886375905136</v>
      </c>
      <c r="T805" s="797">
        <v>4180</v>
      </c>
      <c r="U805" s="132" t="s">
        <v>590</v>
      </c>
      <c r="V805" s="144">
        <f t="shared" si="191"/>
        <v>3311.7611362409489</v>
      </c>
      <c r="W805" s="119"/>
    </row>
    <row r="806" spans="1:23" ht="9" customHeight="1">
      <c r="A806" s="803">
        <v>101</v>
      </c>
      <c r="B806" s="614" t="s">
        <v>723</v>
      </c>
      <c r="C806" s="615" t="s">
        <v>1192</v>
      </c>
      <c r="D806" s="615" t="s">
        <v>110</v>
      </c>
      <c r="E806" s="616" t="s">
        <v>597</v>
      </c>
      <c r="F806" s="141"/>
      <c r="G806" s="617" t="s">
        <v>90</v>
      </c>
      <c r="H806" s="618">
        <v>5</v>
      </c>
      <c r="I806" s="618">
        <v>8</v>
      </c>
      <c r="J806" s="619">
        <v>6146.2</v>
      </c>
      <c r="K806" s="619">
        <v>5492.3</v>
      </c>
      <c r="L806" s="619">
        <v>5492.3</v>
      </c>
      <c r="M806" s="617">
        <v>273</v>
      </c>
      <c r="N806" s="797">
        <f>'Приложение 2'!E808</f>
        <v>4634260</v>
      </c>
      <c r="O806" s="797">
        <v>0</v>
      </c>
      <c r="P806" s="797">
        <v>0</v>
      </c>
      <c r="Q806" s="797">
        <v>0</v>
      </c>
      <c r="R806" s="797">
        <f t="shared" si="189"/>
        <v>4634260</v>
      </c>
      <c r="S806" s="797">
        <f t="shared" si="190"/>
        <v>843.77401088797035</v>
      </c>
      <c r="T806" s="797">
        <v>4180</v>
      </c>
      <c r="U806" s="132" t="s">
        <v>590</v>
      </c>
      <c r="V806" s="144">
        <f t="shared" si="191"/>
        <v>3336.2259891120298</v>
      </c>
      <c r="W806" s="119"/>
    </row>
    <row r="807" spans="1:23" ht="9" customHeight="1">
      <c r="A807" s="803">
        <v>102</v>
      </c>
      <c r="B807" s="614" t="s">
        <v>724</v>
      </c>
      <c r="C807" s="615" t="s">
        <v>1192</v>
      </c>
      <c r="D807" s="615" t="s">
        <v>110</v>
      </c>
      <c r="E807" s="616" t="s">
        <v>594</v>
      </c>
      <c r="F807" s="141"/>
      <c r="G807" s="617" t="s">
        <v>88</v>
      </c>
      <c r="H807" s="618">
        <v>5</v>
      </c>
      <c r="I807" s="618">
        <v>6</v>
      </c>
      <c r="J807" s="619">
        <v>4897.5</v>
      </c>
      <c r="K807" s="619">
        <v>4166.3</v>
      </c>
      <c r="L807" s="619">
        <v>4166.3</v>
      </c>
      <c r="M807" s="617">
        <v>289</v>
      </c>
      <c r="N807" s="797">
        <f>'Приложение 2'!E809</f>
        <v>4577582</v>
      </c>
      <c r="O807" s="797">
        <v>0</v>
      </c>
      <c r="P807" s="797">
        <v>0</v>
      </c>
      <c r="Q807" s="797">
        <v>0</v>
      </c>
      <c r="R807" s="797">
        <f t="shared" si="189"/>
        <v>4577582</v>
      </c>
      <c r="S807" s="797">
        <f t="shared" si="190"/>
        <v>1098.7163670402995</v>
      </c>
      <c r="T807" s="797">
        <v>4180</v>
      </c>
      <c r="U807" s="132" t="s">
        <v>590</v>
      </c>
      <c r="V807" s="144">
        <f t="shared" si="191"/>
        <v>3081.2836329597003</v>
      </c>
      <c r="W807" s="119"/>
    </row>
    <row r="808" spans="1:23" ht="10.5" customHeight="1">
      <c r="A808" s="803">
        <v>103</v>
      </c>
      <c r="B808" s="614" t="s">
        <v>725</v>
      </c>
      <c r="C808" s="615" t="s">
        <v>1192</v>
      </c>
      <c r="D808" s="615" t="s">
        <v>110</v>
      </c>
      <c r="E808" s="616" t="s">
        <v>597</v>
      </c>
      <c r="F808" s="141"/>
      <c r="G808" s="617" t="s">
        <v>90</v>
      </c>
      <c r="H808" s="618">
        <v>5</v>
      </c>
      <c r="I808" s="618">
        <v>4</v>
      </c>
      <c r="J808" s="619">
        <v>3634.2</v>
      </c>
      <c r="K808" s="619">
        <v>3181.1</v>
      </c>
      <c r="L808" s="619">
        <v>3181.1</v>
      </c>
      <c r="M808" s="617">
        <v>179</v>
      </c>
      <c r="N808" s="797">
        <f>'Приложение 2'!E810</f>
        <v>3200640</v>
      </c>
      <c r="O808" s="797">
        <v>0</v>
      </c>
      <c r="P808" s="797">
        <v>0</v>
      </c>
      <c r="Q808" s="797">
        <v>0</v>
      </c>
      <c r="R808" s="797">
        <f t="shared" si="189"/>
        <v>3200640</v>
      </c>
      <c r="S808" s="797">
        <f t="shared" si="190"/>
        <v>1006.1425293137594</v>
      </c>
      <c r="T808" s="797">
        <v>4180</v>
      </c>
      <c r="U808" s="132" t="s">
        <v>590</v>
      </c>
      <c r="V808" s="144">
        <f t="shared" si="191"/>
        <v>3173.8574706862405</v>
      </c>
      <c r="W808" s="119"/>
    </row>
    <row r="809" spans="1:23" ht="9" customHeight="1">
      <c r="A809" s="803">
        <v>104</v>
      </c>
      <c r="B809" s="614" t="s">
        <v>726</v>
      </c>
      <c r="C809" s="615" t="s">
        <v>1192</v>
      </c>
      <c r="D809" s="615" t="s">
        <v>110</v>
      </c>
      <c r="E809" s="616" t="s">
        <v>613</v>
      </c>
      <c r="F809" s="141"/>
      <c r="G809" s="617" t="s">
        <v>88</v>
      </c>
      <c r="H809" s="618">
        <v>5</v>
      </c>
      <c r="I809" s="618">
        <v>2</v>
      </c>
      <c r="J809" s="619">
        <v>1998.8</v>
      </c>
      <c r="K809" s="619">
        <v>1800.8</v>
      </c>
      <c r="L809" s="619">
        <v>1800.8</v>
      </c>
      <c r="M809" s="617">
        <v>96</v>
      </c>
      <c r="N809" s="797">
        <f>'Приложение 2'!E811</f>
        <v>1690338</v>
      </c>
      <c r="O809" s="797">
        <v>0</v>
      </c>
      <c r="P809" s="797">
        <v>0</v>
      </c>
      <c r="Q809" s="797">
        <v>0</v>
      </c>
      <c r="R809" s="797">
        <f t="shared" si="189"/>
        <v>1690338</v>
      </c>
      <c r="S809" s="797">
        <f t="shared" si="190"/>
        <v>938.65948467347846</v>
      </c>
      <c r="T809" s="797">
        <v>4180</v>
      </c>
      <c r="U809" s="132" t="s">
        <v>590</v>
      </c>
      <c r="V809" s="144">
        <f t="shared" si="191"/>
        <v>3241.3405153265217</v>
      </c>
      <c r="W809" s="119"/>
    </row>
    <row r="810" spans="1:23" ht="9" customHeight="1">
      <c r="A810" s="803">
        <v>105</v>
      </c>
      <c r="B810" s="614" t="s">
        <v>727</v>
      </c>
      <c r="C810" s="615" t="s">
        <v>1192</v>
      </c>
      <c r="D810" s="615" t="s">
        <v>111</v>
      </c>
      <c r="E810" s="620">
        <v>1961</v>
      </c>
      <c r="F810" s="141"/>
      <c r="G810" s="617" t="s">
        <v>88</v>
      </c>
      <c r="H810" s="618">
        <v>4</v>
      </c>
      <c r="I810" s="618">
        <v>3</v>
      </c>
      <c r="J810" s="619">
        <v>2165.4</v>
      </c>
      <c r="K810" s="619">
        <v>1875.4</v>
      </c>
      <c r="L810" s="619">
        <v>1875.4</v>
      </c>
      <c r="M810" s="617">
        <v>92</v>
      </c>
      <c r="N810" s="797">
        <f>'Приложение 2'!E812</f>
        <v>2952642</v>
      </c>
      <c r="O810" s="797">
        <v>0</v>
      </c>
      <c r="P810" s="797">
        <v>0</v>
      </c>
      <c r="Q810" s="797">
        <v>0</v>
      </c>
      <c r="R810" s="797">
        <f t="shared" si="189"/>
        <v>2952642</v>
      </c>
      <c r="S810" s="797">
        <f t="shared" si="190"/>
        <v>1574.406526607657</v>
      </c>
      <c r="T810" s="797">
        <v>4503.95</v>
      </c>
      <c r="U810" s="132" t="s">
        <v>590</v>
      </c>
      <c r="V810" s="144">
        <f t="shared" si="191"/>
        <v>2929.543473392343</v>
      </c>
      <c r="W810" s="119"/>
    </row>
    <row r="811" spans="1:23" ht="9" customHeight="1">
      <c r="A811" s="803">
        <v>106</v>
      </c>
      <c r="B811" s="614" t="s">
        <v>728</v>
      </c>
      <c r="C811" s="615" t="s">
        <v>1192</v>
      </c>
      <c r="D811" s="615" t="s">
        <v>110</v>
      </c>
      <c r="E811" s="620">
        <v>1971</v>
      </c>
      <c r="F811" s="141"/>
      <c r="G811" s="617" t="s">
        <v>90</v>
      </c>
      <c r="H811" s="618">
        <v>5</v>
      </c>
      <c r="I811" s="618">
        <v>8</v>
      </c>
      <c r="J811" s="619">
        <v>6144.7</v>
      </c>
      <c r="K811" s="619">
        <v>5519.9</v>
      </c>
      <c r="L811" s="619">
        <v>116</v>
      </c>
      <c r="M811" s="618">
        <v>6</v>
      </c>
      <c r="N811" s="797">
        <f>'Приложение 2'!E813</f>
        <v>5197706</v>
      </c>
      <c r="O811" s="797">
        <v>0</v>
      </c>
      <c r="P811" s="797">
        <v>0</v>
      </c>
      <c r="Q811" s="797">
        <v>0</v>
      </c>
      <c r="R811" s="797">
        <f t="shared" si="189"/>
        <v>5197706</v>
      </c>
      <c r="S811" s="797">
        <f t="shared" si="190"/>
        <v>941.6304643200059</v>
      </c>
      <c r="T811" s="797">
        <v>4180</v>
      </c>
      <c r="U811" s="132" t="s">
        <v>590</v>
      </c>
      <c r="V811" s="144">
        <f t="shared" si="191"/>
        <v>3238.369535679994</v>
      </c>
      <c r="W811" s="119"/>
    </row>
    <row r="812" spans="1:23" ht="9" customHeight="1">
      <c r="A812" s="803">
        <v>107</v>
      </c>
      <c r="B812" s="614" t="s">
        <v>729</v>
      </c>
      <c r="C812" s="615" t="s">
        <v>1192</v>
      </c>
      <c r="D812" s="615" t="s">
        <v>111</v>
      </c>
      <c r="E812" s="620">
        <v>1959</v>
      </c>
      <c r="F812" s="141"/>
      <c r="G812" s="617" t="s">
        <v>88</v>
      </c>
      <c r="H812" s="618">
        <v>4</v>
      </c>
      <c r="I812" s="618">
        <v>2</v>
      </c>
      <c r="J812" s="619">
        <v>1394</v>
      </c>
      <c r="K812" s="619">
        <v>1292.4000000000001</v>
      </c>
      <c r="L812" s="619">
        <v>638</v>
      </c>
      <c r="M812" s="618">
        <v>49</v>
      </c>
      <c r="N812" s="797">
        <f>'Приложение 2'!E814</f>
        <v>1911294</v>
      </c>
      <c r="O812" s="797">
        <v>0</v>
      </c>
      <c r="P812" s="797">
        <v>0</v>
      </c>
      <c r="Q812" s="797">
        <v>0</v>
      </c>
      <c r="R812" s="797">
        <f t="shared" si="189"/>
        <v>1911294</v>
      </c>
      <c r="S812" s="797">
        <f t="shared" si="190"/>
        <v>1478.8718662952645</v>
      </c>
      <c r="T812" s="797">
        <v>4503.95</v>
      </c>
      <c r="U812" s="132" t="s">
        <v>590</v>
      </c>
      <c r="V812" s="144">
        <f t="shared" si="191"/>
        <v>3025.0781337047356</v>
      </c>
      <c r="W812" s="119"/>
    </row>
    <row r="813" spans="1:23" ht="9" customHeight="1">
      <c r="A813" s="803">
        <v>108</v>
      </c>
      <c r="B813" s="614" t="s">
        <v>730</v>
      </c>
      <c r="C813" s="615" t="s">
        <v>1192</v>
      </c>
      <c r="D813" s="615" t="s">
        <v>111</v>
      </c>
      <c r="E813" s="620">
        <v>1962</v>
      </c>
      <c r="F813" s="141"/>
      <c r="G813" s="617" t="s">
        <v>88</v>
      </c>
      <c r="H813" s="618">
        <v>5</v>
      </c>
      <c r="I813" s="618">
        <v>2</v>
      </c>
      <c r="J813" s="619">
        <v>1673.7</v>
      </c>
      <c r="K813" s="619">
        <v>1312.2</v>
      </c>
      <c r="L813" s="619">
        <v>287</v>
      </c>
      <c r="M813" s="618">
        <v>14</v>
      </c>
      <c r="N813" s="797">
        <f>'Приложение 2'!E815</f>
        <v>1875720</v>
      </c>
      <c r="O813" s="797">
        <v>0</v>
      </c>
      <c r="P813" s="797">
        <v>0</v>
      </c>
      <c r="Q813" s="797">
        <v>0</v>
      </c>
      <c r="R813" s="797">
        <f t="shared" si="189"/>
        <v>1875720</v>
      </c>
      <c r="S813" s="797">
        <f t="shared" si="190"/>
        <v>1429.4467306812985</v>
      </c>
      <c r="T813" s="797">
        <v>4503.95</v>
      </c>
      <c r="U813" s="132" t="s">
        <v>590</v>
      </c>
      <c r="V813" s="144">
        <f t="shared" si="191"/>
        <v>3074.5032693187013</v>
      </c>
      <c r="W813" s="119"/>
    </row>
    <row r="814" spans="1:23" ht="9" customHeight="1">
      <c r="A814" s="803">
        <v>109</v>
      </c>
      <c r="B814" s="614" t="s">
        <v>731</v>
      </c>
      <c r="C814" s="615" t="s">
        <v>1192</v>
      </c>
      <c r="D814" s="615" t="s">
        <v>110</v>
      </c>
      <c r="E814" s="620">
        <v>1985</v>
      </c>
      <c r="F814" s="141"/>
      <c r="G814" s="617" t="s">
        <v>88</v>
      </c>
      <c r="H814" s="618">
        <v>5</v>
      </c>
      <c r="I814" s="618">
        <v>1</v>
      </c>
      <c r="J814" s="619">
        <v>3962.3</v>
      </c>
      <c r="K814" s="619">
        <v>2222.3000000000002</v>
      </c>
      <c r="L814" s="619">
        <v>2222.3000000000002</v>
      </c>
      <c r="M814" s="617">
        <v>246</v>
      </c>
      <c r="N814" s="797">
        <f>'Приложение 2'!E816</f>
        <v>3394012</v>
      </c>
      <c r="O814" s="797">
        <v>0</v>
      </c>
      <c r="P814" s="797">
        <v>0</v>
      </c>
      <c r="Q814" s="797">
        <v>0</v>
      </c>
      <c r="R814" s="797">
        <f t="shared" si="189"/>
        <v>3394012</v>
      </c>
      <c r="S814" s="797">
        <f t="shared" si="190"/>
        <v>1527.2519461818836</v>
      </c>
      <c r="T814" s="797">
        <v>4180</v>
      </c>
      <c r="U814" s="132" t="s">
        <v>590</v>
      </c>
      <c r="V814" s="144">
        <f t="shared" si="191"/>
        <v>2652.7480538181162</v>
      </c>
      <c r="W814" s="119"/>
    </row>
    <row r="815" spans="1:23" ht="9" customHeight="1">
      <c r="A815" s="803">
        <v>110</v>
      </c>
      <c r="B815" s="614" t="s">
        <v>732</v>
      </c>
      <c r="C815" s="615" t="s">
        <v>1192</v>
      </c>
      <c r="D815" s="615" t="s">
        <v>111</v>
      </c>
      <c r="E815" s="620">
        <v>1947</v>
      </c>
      <c r="F815" s="141"/>
      <c r="G815" s="617" t="s">
        <v>88</v>
      </c>
      <c r="H815" s="618">
        <v>4</v>
      </c>
      <c r="I815" s="618">
        <v>6</v>
      </c>
      <c r="J815" s="619">
        <v>4305.8</v>
      </c>
      <c r="K815" s="619">
        <f>3057.1+730.1</f>
        <v>3787.2</v>
      </c>
      <c r="L815" s="619">
        <v>136</v>
      </c>
      <c r="M815" s="618">
        <v>166</v>
      </c>
      <c r="N815" s="797">
        <f>'Приложение 2'!E817</f>
        <v>5675670</v>
      </c>
      <c r="O815" s="797">
        <v>0</v>
      </c>
      <c r="P815" s="797">
        <v>0</v>
      </c>
      <c r="Q815" s="797">
        <v>0</v>
      </c>
      <c r="R815" s="797">
        <f t="shared" si="189"/>
        <v>5675670</v>
      </c>
      <c r="S815" s="797">
        <f t="shared" si="190"/>
        <v>1498.6454372623575</v>
      </c>
      <c r="T815" s="797">
        <v>4503.95</v>
      </c>
      <c r="U815" s="132" t="s">
        <v>590</v>
      </c>
      <c r="V815" s="144">
        <f t="shared" si="191"/>
        <v>3005.3045627376423</v>
      </c>
      <c r="W815" s="119"/>
    </row>
    <row r="816" spans="1:23" ht="9" customHeight="1">
      <c r="A816" s="803">
        <v>111</v>
      </c>
      <c r="B816" s="614" t="s">
        <v>733</v>
      </c>
      <c r="C816" s="615" t="s">
        <v>1192</v>
      </c>
      <c r="D816" s="615" t="s">
        <v>110</v>
      </c>
      <c r="E816" s="620">
        <v>1977</v>
      </c>
      <c r="F816" s="141"/>
      <c r="G816" s="617" t="s">
        <v>90</v>
      </c>
      <c r="H816" s="618">
        <v>5</v>
      </c>
      <c r="I816" s="618">
        <v>14</v>
      </c>
      <c r="J816" s="619">
        <v>11099.2</v>
      </c>
      <c r="K816" s="619">
        <v>10213</v>
      </c>
      <c r="L816" s="619">
        <v>10213</v>
      </c>
      <c r="M816" s="617">
        <v>499</v>
      </c>
      <c r="N816" s="797">
        <f>'Приложение 2'!E818</f>
        <v>8835100</v>
      </c>
      <c r="O816" s="797">
        <v>0</v>
      </c>
      <c r="P816" s="797">
        <v>0</v>
      </c>
      <c r="Q816" s="797">
        <v>0</v>
      </c>
      <c r="R816" s="797">
        <f t="shared" si="189"/>
        <v>8835100</v>
      </c>
      <c r="S816" s="797">
        <f t="shared" si="190"/>
        <v>865.08371683148926</v>
      </c>
      <c r="T816" s="797">
        <v>4180</v>
      </c>
      <c r="U816" s="132" t="s">
        <v>590</v>
      </c>
      <c r="V816" s="144">
        <f t="shared" si="191"/>
        <v>3314.9162831685107</v>
      </c>
      <c r="W816" s="119"/>
    </row>
    <row r="817" spans="1:23" ht="9" customHeight="1">
      <c r="A817" s="803">
        <v>112</v>
      </c>
      <c r="B817" s="614" t="s">
        <v>734</v>
      </c>
      <c r="C817" s="615" t="s">
        <v>1192</v>
      </c>
      <c r="D817" s="615" t="s">
        <v>110</v>
      </c>
      <c r="E817" s="620">
        <v>1978</v>
      </c>
      <c r="F817" s="141"/>
      <c r="G817" s="617" t="s">
        <v>90</v>
      </c>
      <c r="H817" s="618">
        <v>5</v>
      </c>
      <c r="I817" s="618">
        <v>13</v>
      </c>
      <c r="J817" s="619">
        <v>10207.799999999999</v>
      </c>
      <c r="K817" s="619">
        <v>9363</v>
      </c>
      <c r="L817" s="619">
        <v>9363</v>
      </c>
      <c r="M817" s="617">
        <v>468</v>
      </c>
      <c r="N817" s="797">
        <f>'Приложение 2'!E819</f>
        <v>7968260</v>
      </c>
      <c r="O817" s="797">
        <v>0</v>
      </c>
      <c r="P817" s="797">
        <v>0</v>
      </c>
      <c r="Q817" s="797">
        <v>0</v>
      </c>
      <c r="R817" s="797">
        <f t="shared" si="189"/>
        <v>7968260</v>
      </c>
      <c r="S817" s="797">
        <f t="shared" si="190"/>
        <v>851.03706077112042</v>
      </c>
      <c r="T817" s="797">
        <v>4180</v>
      </c>
      <c r="U817" s="132" t="s">
        <v>590</v>
      </c>
      <c r="V817" s="144">
        <f t="shared" si="191"/>
        <v>3328.9629392288798</v>
      </c>
      <c r="W817" s="119"/>
    </row>
    <row r="818" spans="1:23" ht="9" customHeight="1">
      <c r="A818" s="803">
        <v>113</v>
      </c>
      <c r="B818" s="614" t="s">
        <v>735</v>
      </c>
      <c r="C818" s="615" t="s">
        <v>1192</v>
      </c>
      <c r="D818" s="615" t="s">
        <v>110</v>
      </c>
      <c r="E818" s="620">
        <v>1975</v>
      </c>
      <c r="F818" s="141"/>
      <c r="G818" s="617" t="s">
        <v>90</v>
      </c>
      <c r="H818" s="618">
        <v>5</v>
      </c>
      <c r="I818" s="618">
        <v>4</v>
      </c>
      <c r="J818" s="619">
        <v>3607</v>
      </c>
      <c r="K818" s="619">
        <v>3306</v>
      </c>
      <c r="L818" s="619">
        <v>3306</v>
      </c>
      <c r="M818" s="617">
        <v>172</v>
      </c>
      <c r="N818" s="797">
        <f>'Приложение 2'!E820</f>
        <v>2767220</v>
      </c>
      <c r="O818" s="797">
        <v>0</v>
      </c>
      <c r="P818" s="797">
        <v>0</v>
      </c>
      <c r="Q818" s="797">
        <v>0</v>
      </c>
      <c r="R818" s="797">
        <f t="shared" si="189"/>
        <v>2767220</v>
      </c>
      <c r="S818" s="797">
        <f t="shared" si="190"/>
        <v>837.02964307320019</v>
      </c>
      <c r="T818" s="797">
        <v>4180</v>
      </c>
      <c r="U818" s="132" t="s">
        <v>590</v>
      </c>
      <c r="V818" s="144">
        <f t="shared" si="191"/>
        <v>3342.9703569267999</v>
      </c>
      <c r="W818" s="119"/>
    </row>
    <row r="819" spans="1:23" ht="9" customHeight="1">
      <c r="A819" s="803">
        <v>114</v>
      </c>
      <c r="B819" s="614" t="s">
        <v>736</v>
      </c>
      <c r="C819" s="615" t="s">
        <v>1192</v>
      </c>
      <c r="D819" s="615" t="s">
        <v>110</v>
      </c>
      <c r="E819" s="620">
        <v>1976</v>
      </c>
      <c r="F819" s="141"/>
      <c r="G819" s="617" t="s">
        <v>90</v>
      </c>
      <c r="H819" s="618">
        <v>5</v>
      </c>
      <c r="I819" s="618">
        <v>8</v>
      </c>
      <c r="J819" s="619">
        <v>6115.9</v>
      </c>
      <c r="K819" s="619">
        <v>5609</v>
      </c>
      <c r="L819" s="619">
        <v>5609</v>
      </c>
      <c r="M819" s="617">
        <v>283</v>
      </c>
      <c r="N819" s="797">
        <f>'Приложение 2'!E821</f>
        <v>4877642</v>
      </c>
      <c r="O819" s="797">
        <v>0</v>
      </c>
      <c r="P819" s="797">
        <v>0</v>
      </c>
      <c r="Q819" s="797">
        <v>0</v>
      </c>
      <c r="R819" s="797">
        <f t="shared" si="189"/>
        <v>4877642</v>
      </c>
      <c r="S819" s="797">
        <f t="shared" si="190"/>
        <v>869.60991264039933</v>
      </c>
      <c r="T819" s="797">
        <v>4180</v>
      </c>
      <c r="U819" s="132" t="s">
        <v>590</v>
      </c>
      <c r="V819" s="144">
        <f t="shared" si="191"/>
        <v>3310.3900873596008</v>
      </c>
      <c r="W819" s="119"/>
    </row>
    <row r="820" spans="1:23" ht="9" customHeight="1">
      <c r="A820" s="803">
        <v>115</v>
      </c>
      <c r="B820" s="614" t="s">
        <v>737</v>
      </c>
      <c r="C820" s="615" t="s">
        <v>1192</v>
      </c>
      <c r="D820" s="615" t="s">
        <v>110</v>
      </c>
      <c r="E820" s="620">
        <v>1983</v>
      </c>
      <c r="F820" s="141"/>
      <c r="G820" s="617" t="s">
        <v>90</v>
      </c>
      <c r="H820" s="618">
        <v>5</v>
      </c>
      <c r="I820" s="618">
        <v>3</v>
      </c>
      <c r="J820" s="619">
        <v>2350.5</v>
      </c>
      <c r="K820" s="619">
        <v>2070.6</v>
      </c>
      <c r="L820" s="619">
        <v>2070.6</v>
      </c>
      <c r="M820" s="617">
        <v>101</v>
      </c>
      <c r="N820" s="797">
        <f>'Приложение 2'!E822</f>
        <v>5204374</v>
      </c>
      <c r="O820" s="797">
        <v>0</v>
      </c>
      <c r="P820" s="797">
        <v>0</v>
      </c>
      <c r="Q820" s="797">
        <v>0</v>
      </c>
      <c r="R820" s="797">
        <f t="shared" si="189"/>
        <v>5204374</v>
      </c>
      <c r="S820" s="797">
        <f t="shared" si="190"/>
        <v>2513.4617985125087</v>
      </c>
      <c r="T820" s="797">
        <v>4180</v>
      </c>
      <c r="U820" s="132" t="s">
        <v>590</v>
      </c>
      <c r="V820" s="144">
        <f t="shared" si="191"/>
        <v>1666.5382014874913</v>
      </c>
      <c r="W820" s="119"/>
    </row>
    <row r="821" spans="1:23" ht="9" customHeight="1">
      <c r="A821" s="803">
        <v>116</v>
      </c>
      <c r="B821" s="614" t="s">
        <v>738</v>
      </c>
      <c r="C821" s="615" t="s">
        <v>1192</v>
      </c>
      <c r="D821" s="615" t="s">
        <v>111</v>
      </c>
      <c r="E821" s="620">
        <v>1982</v>
      </c>
      <c r="F821" s="141"/>
      <c r="G821" s="617" t="s">
        <v>90</v>
      </c>
      <c r="H821" s="618">
        <v>3</v>
      </c>
      <c r="I821" s="618">
        <v>3</v>
      </c>
      <c r="J821" s="619">
        <v>1493</v>
      </c>
      <c r="K821" s="619">
        <v>1300</v>
      </c>
      <c r="L821" s="619">
        <v>1300</v>
      </c>
      <c r="M821" s="617">
        <v>172</v>
      </c>
      <c r="N821" s="797">
        <f>'Приложение 2'!E823</f>
        <v>2564562</v>
      </c>
      <c r="O821" s="797">
        <v>0</v>
      </c>
      <c r="P821" s="797">
        <v>0</v>
      </c>
      <c r="Q821" s="797">
        <v>0</v>
      </c>
      <c r="R821" s="797">
        <f t="shared" si="189"/>
        <v>2564562</v>
      </c>
      <c r="S821" s="797">
        <f t="shared" si="190"/>
        <v>1972.74</v>
      </c>
      <c r="T821" s="797">
        <v>4503.95</v>
      </c>
      <c r="U821" s="132" t="s">
        <v>590</v>
      </c>
      <c r="V821" s="144">
        <f t="shared" si="191"/>
        <v>2531.21</v>
      </c>
      <c r="W821" s="119"/>
    </row>
    <row r="822" spans="1:23" ht="9" customHeight="1">
      <c r="A822" s="803">
        <v>117</v>
      </c>
      <c r="B822" s="614" t="s">
        <v>739</v>
      </c>
      <c r="C822" s="615" t="s">
        <v>1192</v>
      </c>
      <c r="D822" s="615" t="s">
        <v>111</v>
      </c>
      <c r="E822" s="620">
        <v>1981</v>
      </c>
      <c r="F822" s="141"/>
      <c r="G822" s="617" t="s">
        <v>90</v>
      </c>
      <c r="H822" s="618">
        <v>3</v>
      </c>
      <c r="I822" s="618">
        <v>3</v>
      </c>
      <c r="J822" s="619">
        <v>1522.4</v>
      </c>
      <c r="K822" s="619">
        <v>1300</v>
      </c>
      <c r="L822" s="619">
        <v>1300</v>
      </c>
      <c r="M822" s="618">
        <v>68</v>
      </c>
      <c r="N822" s="797">
        <f>'Приложение 2'!E824</f>
        <v>2564562</v>
      </c>
      <c r="O822" s="797">
        <v>0</v>
      </c>
      <c r="P822" s="797">
        <v>0</v>
      </c>
      <c r="Q822" s="797">
        <v>0</v>
      </c>
      <c r="R822" s="797">
        <f t="shared" si="189"/>
        <v>2564562</v>
      </c>
      <c r="S822" s="797">
        <f t="shared" si="190"/>
        <v>1972.74</v>
      </c>
      <c r="T822" s="797">
        <v>4503.95</v>
      </c>
      <c r="U822" s="132" t="s">
        <v>590</v>
      </c>
      <c r="V822" s="144">
        <f t="shared" si="191"/>
        <v>2531.21</v>
      </c>
      <c r="W822" s="119"/>
    </row>
    <row r="823" spans="1:23" ht="9" customHeight="1">
      <c r="A823" s="803">
        <v>118</v>
      </c>
      <c r="B823" s="614" t="s">
        <v>740</v>
      </c>
      <c r="C823" s="615" t="s">
        <v>1192</v>
      </c>
      <c r="D823" s="615" t="s">
        <v>111</v>
      </c>
      <c r="E823" s="620">
        <v>1982</v>
      </c>
      <c r="F823" s="141"/>
      <c r="G823" s="617" t="s">
        <v>90</v>
      </c>
      <c r="H823" s="618">
        <v>3</v>
      </c>
      <c r="I823" s="618">
        <v>3</v>
      </c>
      <c r="J823" s="619">
        <v>1497.7</v>
      </c>
      <c r="K823" s="619">
        <v>1304.7</v>
      </c>
      <c r="L823" s="619">
        <v>1304.7</v>
      </c>
      <c r="M823" s="617">
        <v>63</v>
      </c>
      <c r="N823" s="797">
        <f>'Приложение 2'!E825</f>
        <v>2564562</v>
      </c>
      <c r="O823" s="797">
        <v>0</v>
      </c>
      <c r="P823" s="797">
        <v>0</v>
      </c>
      <c r="Q823" s="797">
        <v>0</v>
      </c>
      <c r="R823" s="797">
        <f t="shared" si="189"/>
        <v>2564562</v>
      </c>
      <c r="S823" s="797">
        <f t="shared" si="190"/>
        <v>1965.6334789606806</v>
      </c>
      <c r="T823" s="797">
        <v>4503.95</v>
      </c>
      <c r="U823" s="132" t="s">
        <v>590</v>
      </c>
      <c r="V823" s="144">
        <f t="shared" si="191"/>
        <v>2538.316521039319</v>
      </c>
      <c r="W823" s="119"/>
    </row>
    <row r="824" spans="1:23" ht="9" customHeight="1">
      <c r="A824" s="803">
        <v>119</v>
      </c>
      <c r="B824" s="614" t="s">
        <v>741</v>
      </c>
      <c r="C824" s="615" t="s">
        <v>1192</v>
      </c>
      <c r="D824" s="615" t="s">
        <v>111</v>
      </c>
      <c r="E824" s="620">
        <v>1981</v>
      </c>
      <c r="F824" s="141"/>
      <c r="G824" s="617" t="s">
        <v>90</v>
      </c>
      <c r="H824" s="618">
        <v>3</v>
      </c>
      <c r="I824" s="618">
        <v>3</v>
      </c>
      <c r="J824" s="619">
        <v>1525.4</v>
      </c>
      <c r="K824" s="619">
        <v>1303</v>
      </c>
      <c r="L824" s="619">
        <v>1303</v>
      </c>
      <c r="M824" s="617">
        <v>68</v>
      </c>
      <c r="N824" s="797">
        <f>'Приложение 2'!E826</f>
        <v>2564562</v>
      </c>
      <c r="O824" s="797">
        <v>0</v>
      </c>
      <c r="P824" s="797">
        <v>0</v>
      </c>
      <c r="Q824" s="797">
        <v>0</v>
      </c>
      <c r="R824" s="797">
        <f t="shared" si="189"/>
        <v>2564562</v>
      </c>
      <c r="S824" s="797">
        <f t="shared" si="190"/>
        <v>1968.1980046047584</v>
      </c>
      <c r="T824" s="797">
        <v>4503.95</v>
      </c>
      <c r="U824" s="132" t="s">
        <v>590</v>
      </c>
      <c r="V824" s="144">
        <f t="shared" si="191"/>
        <v>2535.7519953952415</v>
      </c>
      <c r="W824" s="119"/>
    </row>
    <row r="825" spans="1:23" ht="9" customHeight="1">
      <c r="A825" s="803">
        <v>120</v>
      </c>
      <c r="B825" s="614" t="s">
        <v>742</v>
      </c>
      <c r="C825" s="615" t="s">
        <v>1192</v>
      </c>
      <c r="D825" s="615" t="s">
        <v>111</v>
      </c>
      <c r="E825" s="620">
        <v>1984</v>
      </c>
      <c r="F825" s="141"/>
      <c r="G825" s="617" t="s">
        <v>90</v>
      </c>
      <c r="H825" s="618">
        <v>3</v>
      </c>
      <c r="I825" s="618">
        <v>3</v>
      </c>
      <c r="J825" s="619">
        <v>1503.2</v>
      </c>
      <c r="K825" s="619">
        <v>1300</v>
      </c>
      <c r="L825" s="619">
        <v>1300</v>
      </c>
      <c r="M825" s="617">
        <v>61</v>
      </c>
      <c r="N825" s="797">
        <f>'Приложение 2'!E827</f>
        <v>1222452</v>
      </c>
      <c r="O825" s="797">
        <v>0</v>
      </c>
      <c r="P825" s="797">
        <v>0</v>
      </c>
      <c r="Q825" s="797">
        <v>0</v>
      </c>
      <c r="R825" s="797">
        <f t="shared" si="189"/>
        <v>1222452</v>
      </c>
      <c r="S825" s="797">
        <f t="shared" si="190"/>
        <v>940.34769230769234</v>
      </c>
      <c r="T825" s="797">
        <v>4503.95</v>
      </c>
      <c r="U825" s="132" t="s">
        <v>590</v>
      </c>
      <c r="V825" s="144">
        <f t="shared" si="191"/>
        <v>3563.6023076923075</v>
      </c>
    </row>
    <row r="826" spans="1:23" ht="9" customHeight="1">
      <c r="A826" s="803">
        <v>121</v>
      </c>
      <c r="B826" s="614" t="s">
        <v>743</v>
      </c>
      <c r="C826" s="615" t="s">
        <v>1192</v>
      </c>
      <c r="D826" s="615" t="s">
        <v>111</v>
      </c>
      <c r="E826" s="620">
        <v>1981</v>
      </c>
      <c r="F826" s="141"/>
      <c r="G826" s="617" t="s">
        <v>90</v>
      </c>
      <c r="H826" s="618">
        <v>3</v>
      </c>
      <c r="I826" s="618">
        <v>3</v>
      </c>
      <c r="J826" s="619">
        <v>1524.4</v>
      </c>
      <c r="K826" s="619">
        <v>1303</v>
      </c>
      <c r="L826" s="619">
        <v>1303</v>
      </c>
      <c r="M826" s="617">
        <v>61</v>
      </c>
      <c r="N826" s="797">
        <f>'Приложение 2'!E828</f>
        <v>2564562</v>
      </c>
      <c r="O826" s="797">
        <v>0</v>
      </c>
      <c r="P826" s="797">
        <v>0</v>
      </c>
      <c r="Q826" s="797">
        <v>0</v>
      </c>
      <c r="R826" s="797">
        <f t="shared" si="189"/>
        <v>2564562</v>
      </c>
      <c r="S826" s="797">
        <f t="shared" si="190"/>
        <v>1968.1980046047584</v>
      </c>
      <c r="T826" s="797">
        <v>4503.95</v>
      </c>
      <c r="U826" s="132" t="s">
        <v>590</v>
      </c>
      <c r="V826" s="144">
        <f t="shared" si="191"/>
        <v>2535.7519953952415</v>
      </c>
    </row>
    <row r="827" spans="1:23" ht="9" customHeight="1">
      <c r="A827" s="803">
        <v>122</v>
      </c>
      <c r="B827" s="621" t="s">
        <v>744</v>
      </c>
      <c r="C827" s="622" t="s">
        <v>1192</v>
      </c>
      <c r="D827" s="622" t="s">
        <v>110</v>
      </c>
      <c r="E827" s="623">
        <v>1987</v>
      </c>
      <c r="F827" s="542"/>
      <c r="G827" s="624" t="s">
        <v>90</v>
      </c>
      <c r="H827" s="625">
        <v>5</v>
      </c>
      <c r="I827" s="625">
        <v>3</v>
      </c>
      <c r="J827" s="626">
        <v>2533.8000000000002</v>
      </c>
      <c r="K827" s="626">
        <v>2162.9</v>
      </c>
      <c r="L827" s="626">
        <v>2162.9</v>
      </c>
      <c r="M827" s="624">
        <v>33</v>
      </c>
      <c r="N827" s="797">
        <f>'Приложение 2'!E829</f>
        <v>2050410</v>
      </c>
      <c r="O827" s="164">
        <v>0</v>
      </c>
      <c r="P827" s="164">
        <v>0</v>
      </c>
      <c r="Q827" s="164">
        <v>0</v>
      </c>
      <c r="R827" s="164">
        <f t="shared" si="189"/>
        <v>2050410</v>
      </c>
      <c r="S827" s="164">
        <f t="shared" si="190"/>
        <v>947.99112302926619</v>
      </c>
      <c r="T827" s="164">
        <v>4180</v>
      </c>
      <c r="U827" s="165" t="s">
        <v>590</v>
      </c>
      <c r="V827" s="144">
        <f t="shared" si="191"/>
        <v>3232.0088769707336</v>
      </c>
    </row>
    <row r="828" spans="1:23" ht="9" customHeight="1">
      <c r="A828" s="803">
        <v>123</v>
      </c>
      <c r="B828" s="531" t="s">
        <v>1066</v>
      </c>
      <c r="C828" s="532" t="s">
        <v>1192</v>
      </c>
      <c r="D828" s="533" t="s">
        <v>110</v>
      </c>
      <c r="E828" s="534">
        <v>1981</v>
      </c>
      <c r="F828" s="141"/>
      <c r="G828" s="535" t="s">
        <v>90</v>
      </c>
      <c r="H828" s="536">
        <v>5</v>
      </c>
      <c r="I828" s="536">
        <v>8</v>
      </c>
      <c r="J828" s="537">
        <v>6693</v>
      </c>
      <c r="K828" s="537">
        <v>5815.6</v>
      </c>
      <c r="L828" s="537">
        <v>5815.6</v>
      </c>
      <c r="M828" s="536">
        <v>187</v>
      </c>
      <c r="N828" s="797">
        <f>'Приложение 2'!E830</f>
        <v>5464426</v>
      </c>
      <c r="O828" s="797">
        <v>0</v>
      </c>
      <c r="P828" s="797">
        <v>0</v>
      </c>
      <c r="Q828" s="797">
        <v>0</v>
      </c>
      <c r="R828" s="797">
        <f t="shared" si="189"/>
        <v>5464426</v>
      </c>
      <c r="S828" s="797">
        <f t="shared" si="190"/>
        <v>939.61517298301112</v>
      </c>
      <c r="T828" s="797">
        <v>4180</v>
      </c>
      <c r="U828" s="132" t="s">
        <v>590</v>
      </c>
      <c r="V828" s="144"/>
      <c r="W828" s="123" t="s">
        <v>1107</v>
      </c>
    </row>
    <row r="829" spans="1:23" ht="9" customHeight="1">
      <c r="A829" s="803">
        <v>124</v>
      </c>
      <c r="B829" s="531" t="s">
        <v>1067</v>
      </c>
      <c r="C829" s="532" t="s">
        <v>1008</v>
      </c>
      <c r="D829" s="533" t="s">
        <v>110</v>
      </c>
      <c r="E829" s="534">
        <v>1973</v>
      </c>
      <c r="F829" s="141"/>
      <c r="G829" s="535" t="s">
        <v>90</v>
      </c>
      <c r="H829" s="536">
        <v>5</v>
      </c>
      <c r="I829" s="536">
        <v>4</v>
      </c>
      <c r="J829" s="537">
        <v>3580.5</v>
      </c>
      <c r="K829" s="537">
        <v>3307.5</v>
      </c>
      <c r="L829" s="537">
        <v>496</v>
      </c>
      <c r="M829" s="536">
        <v>138</v>
      </c>
      <c r="N829" s="797">
        <f>'Приложение 2'!E831</f>
        <v>8883812.7100000009</v>
      </c>
      <c r="O829" s="797">
        <v>0</v>
      </c>
      <c r="P829" s="797">
        <v>0</v>
      </c>
      <c r="Q829" s="797">
        <v>0</v>
      </c>
      <c r="R829" s="797">
        <f t="shared" si="189"/>
        <v>8883812.7100000009</v>
      </c>
      <c r="S829" s="797">
        <f t="shared" si="190"/>
        <v>2685.9600030234319</v>
      </c>
      <c r="T829" s="797">
        <f>4984.65+322.91</f>
        <v>5307.5599999999995</v>
      </c>
      <c r="U829" s="132" t="s">
        <v>590</v>
      </c>
      <c r="V829" s="144"/>
      <c r="W829" s="123" t="s">
        <v>1107</v>
      </c>
    </row>
    <row r="830" spans="1:23" ht="9" customHeight="1">
      <c r="A830" s="803">
        <v>125</v>
      </c>
      <c r="B830" s="621" t="s">
        <v>1068</v>
      </c>
      <c r="C830" s="622" t="s">
        <v>1192</v>
      </c>
      <c r="D830" s="622" t="s">
        <v>110</v>
      </c>
      <c r="E830" s="623">
        <v>1981</v>
      </c>
      <c r="F830" s="542"/>
      <c r="G830" s="624" t="s">
        <v>88</v>
      </c>
      <c r="H830" s="625">
        <v>9</v>
      </c>
      <c r="I830" s="625">
        <v>3</v>
      </c>
      <c r="J830" s="626">
        <v>6705.9</v>
      </c>
      <c r="K830" s="626">
        <v>5511.9</v>
      </c>
      <c r="L830" s="626">
        <v>5511.9</v>
      </c>
      <c r="M830" s="625">
        <v>212</v>
      </c>
      <c r="N830" s="797">
        <f>'Приложение 2'!E832</f>
        <v>5404414</v>
      </c>
      <c r="O830" s="164">
        <v>0</v>
      </c>
      <c r="P830" s="164">
        <v>0</v>
      </c>
      <c r="Q830" s="164">
        <v>0</v>
      </c>
      <c r="R830" s="164">
        <f t="shared" si="189"/>
        <v>5404414</v>
      </c>
      <c r="S830" s="164">
        <f t="shared" si="190"/>
        <v>980.49928336871142</v>
      </c>
      <c r="T830" s="164">
        <v>4180</v>
      </c>
      <c r="U830" s="165" t="s">
        <v>590</v>
      </c>
      <c r="V830" s="144"/>
      <c r="W830" s="123" t="s">
        <v>1107</v>
      </c>
    </row>
    <row r="831" spans="1:23" ht="9" customHeight="1">
      <c r="A831" s="803">
        <v>126</v>
      </c>
      <c r="B831" s="614" t="s">
        <v>1087</v>
      </c>
      <c r="C831" s="207"/>
      <c r="D831" s="207"/>
      <c r="E831" s="212">
        <v>1982</v>
      </c>
      <c r="F831" s="141"/>
      <c r="G831" s="535" t="s">
        <v>90</v>
      </c>
      <c r="H831" s="209">
        <v>9</v>
      </c>
      <c r="I831" s="209">
        <v>4</v>
      </c>
      <c r="J831" s="211">
        <v>9070.4</v>
      </c>
      <c r="K831" s="211">
        <v>8181.4000000000005</v>
      </c>
      <c r="L831" s="211">
        <v>8181.4000000000005</v>
      </c>
      <c r="M831" s="210">
        <v>324</v>
      </c>
      <c r="N831" s="797">
        <f>'Приложение 2'!E833</f>
        <v>7854387.2000000002</v>
      </c>
      <c r="O831" s="797">
        <v>0</v>
      </c>
      <c r="P831" s="797">
        <v>0</v>
      </c>
      <c r="Q831" s="797">
        <v>0</v>
      </c>
      <c r="R831" s="797">
        <f t="shared" si="189"/>
        <v>7854387.2000000002</v>
      </c>
      <c r="S831" s="164">
        <f t="shared" si="190"/>
        <v>960.0297259637714</v>
      </c>
      <c r="T831" s="797">
        <f>3090099.49*'[2]Приложение 2'!G833/'[2]Приложение 1'!K830</f>
        <v>1510.7925245068081</v>
      </c>
      <c r="U831" s="132" t="s">
        <v>590</v>
      </c>
      <c r="V831" s="144"/>
    </row>
    <row r="832" spans="1:23" ht="9" customHeight="1">
      <c r="A832" s="627">
        <v>127</v>
      </c>
      <c r="B832" s="621" t="s">
        <v>1088</v>
      </c>
      <c r="C832" s="628"/>
      <c r="D832" s="628"/>
      <c r="E832" s="629">
        <v>1988</v>
      </c>
      <c r="F832" s="542"/>
      <c r="G832" s="543" t="s">
        <v>90</v>
      </c>
      <c r="H832" s="630">
        <v>9</v>
      </c>
      <c r="I832" s="630">
        <v>5</v>
      </c>
      <c r="J832" s="631">
        <v>10916.89</v>
      </c>
      <c r="K832" s="631">
        <v>9736.89</v>
      </c>
      <c r="L832" s="631">
        <v>9736.89</v>
      </c>
      <c r="M832" s="632">
        <v>395</v>
      </c>
      <c r="N832" s="797">
        <f>'Приложение 2'!E834</f>
        <v>9817984</v>
      </c>
      <c r="O832" s="164">
        <v>0</v>
      </c>
      <c r="P832" s="164">
        <v>0</v>
      </c>
      <c r="Q832" s="164">
        <v>0</v>
      </c>
      <c r="R832" s="164">
        <f t="shared" si="189"/>
        <v>9817984</v>
      </c>
      <c r="S832" s="164">
        <f t="shared" si="190"/>
        <v>1008.3285320055994</v>
      </c>
      <c r="T832" s="164">
        <f>3090099.49*'[2]Приложение 2'!G834/'[2]Приложение 1'!K831</f>
        <v>1586.8000408754749</v>
      </c>
      <c r="U832" s="165" t="s">
        <v>590</v>
      </c>
      <c r="V832" s="144"/>
    </row>
    <row r="833" spans="1:23" s="556" customFormat="1" ht="9" customHeight="1">
      <c r="A833" s="803">
        <v>128</v>
      </c>
      <c r="B833" s="621" t="s">
        <v>1110</v>
      </c>
      <c r="C833" s="207"/>
      <c r="D833" s="207"/>
      <c r="E833" s="1037" t="s">
        <v>1114</v>
      </c>
      <c r="F833" s="141"/>
      <c r="G833" s="203" t="s">
        <v>88</v>
      </c>
      <c r="H833" s="209">
        <v>5</v>
      </c>
      <c r="I833" s="209">
        <v>14</v>
      </c>
      <c r="J833" s="211">
        <v>10341.299999999999</v>
      </c>
      <c r="K833" s="211">
        <v>9167.8000000000011</v>
      </c>
      <c r="L833" s="211">
        <v>8962.1</v>
      </c>
      <c r="M833" s="210">
        <v>482</v>
      </c>
      <c r="N833" s="797">
        <f>'Приложение 2'!E835</f>
        <v>10322064</v>
      </c>
      <c r="O833" s="164">
        <v>0</v>
      </c>
      <c r="P833" s="164">
        <v>0</v>
      </c>
      <c r="Q833" s="164">
        <v>0</v>
      </c>
      <c r="R833" s="164">
        <f t="shared" si="189"/>
        <v>10322064</v>
      </c>
      <c r="S833" s="164">
        <f t="shared" si="190"/>
        <v>1125.9041427605314</v>
      </c>
      <c r="T833" s="797">
        <v>4180</v>
      </c>
      <c r="U833" s="132" t="s">
        <v>590</v>
      </c>
      <c r="V833" s="555"/>
      <c r="W833" s="634"/>
    </row>
    <row r="834" spans="1:23" s="556" customFormat="1" ht="9" customHeight="1">
      <c r="A834" s="803">
        <v>129</v>
      </c>
      <c r="B834" s="621" t="s">
        <v>1111</v>
      </c>
      <c r="C834" s="207"/>
      <c r="D834" s="207"/>
      <c r="E834" s="212">
        <v>1998</v>
      </c>
      <c r="F834" s="141"/>
      <c r="G834" s="203" t="s">
        <v>90</v>
      </c>
      <c r="H834" s="209">
        <v>5</v>
      </c>
      <c r="I834" s="209">
        <v>6</v>
      </c>
      <c r="J834" s="211">
        <v>4570.7</v>
      </c>
      <c r="K834" s="211">
        <v>4199.2</v>
      </c>
      <c r="L834" s="211">
        <v>4199.2</v>
      </c>
      <c r="M834" s="210">
        <v>220</v>
      </c>
      <c r="N834" s="797">
        <f>'Приложение 2'!E836</f>
        <v>4037474</v>
      </c>
      <c r="O834" s="164">
        <v>0</v>
      </c>
      <c r="P834" s="164">
        <v>0</v>
      </c>
      <c r="Q834" s="164">
        <v>0</v>
      </c>
      <c r="R834" s="164">
        <f t="shared" ref="R834:R836" si="192">N834</f>
        <v>4037474</v>
      </c>
      <c r="S834" s="164">
        <f t="shared" ref="S834:S836" si="193">N834/K834</f>
        <v>961.48647361402175</v>
      </c>
      <c r="T834" s="797">
        <v>4180</v>
      </c>
      <c r="U834" s="165" t="s">
        <v>590</v>
      </c>
      <c r="V834" s="555"/>
      <c r="W834" s="634"/>
    </row>
    <row r="835" spans="1:23" s="556" customFormat="1" ht="9" customHeight="1">
      <c r="A835" s="627">
        <v>130</v>
      </c>
      <c r="B835" s="621" t="s">
        <v>1112</v>
      </c>
      <c r="C835" s="207"/>
      <c r="D835" s="207"/>
      <c r="E835" s="212">
        <v>1975</v>
      </c>
      <c r="F835" s="141"/>
      <c r="G835" s="203" t="s">
        <v>90</v>
      </c>
      <c r="H835" s="419">
        <v>5</v>
      </c>
      <c r="I835" s="419">
        <v>3</v>
      </c>
      <c r="J835" s="211">
        <v>3914.7</v>
      </c>
      <c r="K835" s="211">
        <v>2812.7</v>
      </c>
      <c r="L835" s="211">
        <v>2812.7</v>
      </c>
      <c r="M835" s="210">
        <v>164</v>
      </c>
      <c r="N835" s="797">
        <f>'Приложение 2'!E837</f>
        <v>2440488</v>
      </c>
      <c r="O835" s="164">
        <v>0</v>
      </c>
      <c r="P835" s="164">
        <v>0</v>
      </c>
      <c r="Q835" s="164">
        <v>0</v>
      </c>
      <c r="R835" s="164">
        <f t="shared" si="192"/>
        <v>2440488</v>
      </c>
      <c r="S835" s="164">
        <f t="shared" si="193"/>
        <v>867.66736587620437</v>
      </c>
      <c r="T835" s="797">
        <v>4180</v>
      </c>
      <c r="U835" s="132" t="s">
        <v>590</v>
      </c>
      <c r="V835" s="555"/>
      <c r="W835" s="634"/>
    </row>
    <row r="836" spans="1:23" s="556" customFormat="1" ht="9" customHeight="1">
      <c r="A836" s="803">
        <v>131</v>
      </c>
      <c r="B836" s="621" t="s">
        <v>1113</v>
      </c>
      <c r="C836" s="207"/>
      <c r="D836" s="207"/>
      <c r="E836" s="212">
        <v>1962</v>
      </c>
      <c r="F836" s="141"/>
      <c r="G836" s="203" t="s">
        <v>88</v>
      </c>
      <c r="H836" s="209">
        <v>5</v>
      </c>
      <c r="I836" s="209">
        <v>4</v>
      </c>
      <c r="J836" s="211">
        <v>3438.5</v>
      </c>
      <c r="K836" s="211">
        <v>3204.7</v>
      </c>
      <c r="L836" s="1038">
        <v>2963.5</v>
      </c>
      <c r="M836" s="210">
        <v>135</v>
      </c>
      <c r="N836" s="797">
        <f>'Приложение 2'!E838</f>
        <v>3654420</v>
      </c>
      <c r="O836" s="164">
        <v>0</v>
      </c>
      <c r="P836" s="164">
        <v>0</v>
      </c>
      <c r="Q836" s="164">
        <v>0</v>
      </c>
      <c r="R836" s="164">
        <f t="shared" si="192"/>
        <v>3654420</v>
      </c>
      <c r="S836" s="164">
        <f t="shared" si="193"/>
        <v>1140.3313882734733</v>
      </c>
      <c r="T836" s="797">
        <v>4503.95</v>
      </c>
      <c r="U836" s="165" t="s">
        <v>590</v>
      </c>
      <c r="V836" s="555"/>
      <c r="W836" s="634"/>
    </row>
    <row r="837" spans="1:23" s="556" customFormat="1" ht="9" customHeight="1">
      <c r="A837" s="794">
        <v>132</v>
      </c>
      <c r="B837" s="206" t="s">
        <v>1162</v>
      </c>
      <c r="C837" s="557"/>
      <c r="D837" s="557"/>
      <c r="E837" s="212">
        <v>1955</v>
      </c>
      <c r="F837" s="203"/>
      <c r="G837" s="203" t="s">
        <v>88</v>
      </c>
      <c r="H837" s="209">
        <v>4</v>
      </c>
      <c r="I837" s="559">
        <v>4</v>
      </c>
      <c r="J837" s="560">
        <v>4974.1000000000004</v>
      </c>
      <c r="K837" s="560">
        <v>4613.3</v>
      </c>
      <c r="L837" s="560">
        <v>4613.3</v>
      </c>
      <c r="M837" s="561">
        <v>101</v>
      </c>
      <c r="N837" s="797">
        <f>'Приложение 2'!E839</f>
        <v>5271420</v>
      </c>
      <c r="O837" s="164">
        <v>0</v>
      </c>
      <c r="P837" s="164">
        <v>0</v>
      </c>
      <c r="Q837" s="164">
        <v>0</v>
      </c>
      <c r="R837" s="164">
        <f t="shared" ref="R837" si="194">N837</f>
        <v>5271420</v>
      </c>
      <c r="S837" s="164">
        <f t="shared" ref="S837" si="195">N837/K837</f>
        <v>1142.6571001235557</v>
      </c>
      <c r="T837" s="797">
        <v>4504.95</v>
      </c>
      <c r="U837" s="132" t="s">
        <v>590</v>
      </c>
      <c r="V837" s="555"/>
      <c r="W837" s="634"/>
    </row>
    <row r="838" spans="1:23" ht="22.5" customHeight="1">
      <c r="A838" s="840" t="s">
        <v>109</v>
      </c>
      <c r="B838" s="841"/>
      <c r="C838" s="796"/>
      <c r="D838" s="796"/>
      <c r="E838" s="801" t="s">
        <v>391</v>
      </c>
      <c r="F838" s="801" t="s">
        <v>391</v>
      </c>
      <c r="G838" s="801" t="s">
        <v>391</v>
      </c>
      <c r="H838" s="801" t="s">
        <v>391</v>
      </c>
      <c r="I838" s="801" t="s">
        <v>391</v>
      </c>
      <c r="J838" s="560">
        <f>SUM(J706:J837)</f>
        <v>596091.2699999999</v>
      </c>
      <c r="K838" s="560">
        <f t="shared" ref="K838:R838" si="196">SUM(K706:K837)</f>
        <v>510810.73</v>
      </c>
      <c r="L838" s="560">
        <f t="shared" si="196"/>
        <v>355133.02999999997</v>
      </c>
      <c r="M838" s="560">
        <f t="shared" si="196"/>
        <v>22516</v>
      </c>
      <c r="N838" s="560">
        <f t="shared" si="196"/>
        <v>521876480.58999997</v>
      </c>
      <c r="O838" s="560">
        <f t="shared" si="196"/>
        <v>0</v>
      </c>
      <c r="P838" s="560">
        <f t="shared" si="196"/>
        <v>0</v>
      </c>
      <c r="Q838" s="560">
        <f t="shared" si="196"/>
        <v>0</v>
      </c>
      <c r="R838" s="560">
        <f t="shared" si="196"/>
        <v>521876480.58999997</v>
      </c>
      <c r="S838" s="162">
        <f>N838/K838</f>
        <v>1021.6631130477623</v>
      </c>
      <c r="T838" s="158"/>
      <c r="U838" s="177"/>
      <c r="V838" s="144">
        <f t="shared" ref="V838:V900" si="197">T838-S838</f>
        <v>-1021.6631130477623</v>
      </c>
    </row>
    <row r="839" spans="1:23" s="159" customFormat="1" ht="9" customHeight="1">
      <c r="A839" s="868" t="s">
        <v>221</v>
      </c>
      <c r="B839" s="869"/>
      <c r="C839" s="869"/>
      <c r="D839" s="869"/>
      <c r="E839" s="869"/>
      <c r="F839" s="869"/>
      <c r="G839" s="869"/>
      <c r="H839" s="869"/>
      <c r="I839" s="869"/>
      <c r="J839" s="869"/>
      <c r="K839" s="869"/>
      <c r="L839" s="869"/>
      <c r="M839" s="869"/>
      <c r="N839" s="869"/>
      <c r="O839" s="869"/>
      <c r="P839" s="869"/>
      <c r="Q839" s="869"/>
      <c r="R839" s="869"/>
      <c r="S839" s="869"/>
      <c r="T839" s="869"/>
      <c r="U839" s="870"/>
      <c r="V839" s="144">
        <f t="shared" si="197"/>
        <v>0</v>
      </c>
      <c r="W839" s="521"/>
    </row>
    <row r="840" spans="1:23" s="159" customFormat="1" ht="9" customHeight="1">
      <c r="A840" s="803">
        <v>128</v>
      </c>
      <c r="B840" s="635" t="s">
        <v>755</v>
      </c>
      <c r="C840" s="636" t="s">
        <v>1192</v>
      </c>
      <c r="D840" s="636" t="s">
        <v>111</v>
      </c>
      <c r="E840" s="637">
        <v>1965</v>
      </c>
      <c r="F840" s="141"/>
      <c r="G840" s="638" t="s">
        <v>88</v>
      </c>
      <c r="H840" s="639">
        <v>3</v>
      </c>
      <c r="I840" s="639">
        <v>2</v>
      </c>
      <c r="J840" s="640">
        <v>1051.7</v>
      </c>
      <c r="K840" s="640">
        <v>977.9</v>
      </c>
      <c r="L840" s="640">
        <v>977.9</v>
      </c>
      <c r="M840" s="638">
        <v>39</v>
      </c>
      <c r="N840" s="797">
        <f>'Приложение 2'!E842</f>
        <v>1911617.4</v>
      </c>
      <c r="O840" s="797">
        <v>0</v>
      </c>
      <c r="P840" s="797">
        <v>0</v>
      </c>
      <c r="Q840" s="797">
        <v>0</v>
      </c>
      <c r="R840" s="797">
        <f t="shared" ref="R840:R846" si="198">N840</f>
        <v>1911617.4</v>
      </c>
      <c r="S840" s="797">
        <f t="shared" ref="S840:S846" si="199">N840/K840</f>
        <v>1954.8188976377953</v>
      </c>
      <c r="T840" s="797">
        <v>4503.95</v>
      </c>
      <c r="U840" s="132" t="s">
        <v>590</v>
      </c>
      <c r="V840" s="144">
        <f t="shared" si="197"/>
        <v>2549.1311023622047</v>
      </c>
      <c r="W840" s="521"/>
    </row>
    <row r="841" spans="1:23" s="159" customFormat="1" ht="9" customHeight="1">
      <c r="A841" s="803">
        <v>129</v>
      </c>
      <c r="B841" s="635" t="s">
        <v>756</v>
      </c>
      <c r="C841" s="636" t="s">
        <v>1192</v>
      </c>
      <c r="D841" s="636" t="s">
        <v>110</v>
      </c>
      <c r="E841" s="637" t="s">
        <v>746</v>
      </c>
      <c r="F841" s="141"/>
      <c r="G841" s="638" t="s">
        <v>88</v>
      </c>
      <c r="H841" s="639">
        <v>5</v>
      </c>
      <c r="I841" s="639">
        <v>4</v>
      </c>
      <c r="J841" s="640">
        <v>3101.9</v>
      </c>
      <c r="K841" s="640">
        <v>2743.8</v>
      </c>
      <c r="L841" s="640">
        <v>2743.8</v>
      </c>
      <c r="M841" s="639">
        <v>151</v>
      </c>
      <c r="N841" s="797">
        <f>'Приложение 2'!E843</f>
        <v>2812895.8</v>
      </c>
      <c r="O841" s="797">
        <v>0</v>
      </c>
      <c r="P841" s="797">
        <v>0</v>
      </c>
      <c r="Q841" s="797">
        <v>0</v>
      </c>
      <c r="R841" s="797">
        <f t="shared" si="198"/>
        <v>2812895.8</v>
      </c>
      <c r="S841" s="797">
        <f t="shared" si="199"/>
        <v>1025.1825205918797</v>
      </c>
      <c r="T841" s="797">
        <v>4180</v>
      </c>
      <c r="U841" s="132" t="s">
        <v>590</v>
      </c>
      <c r="V841" s="144">
        <f t="shared" si="197"/>
        <v>3154.8174794081206</v>
      </c>
      <c r="W841" s="521"/>
    </row>
    <row r="842" spans="1:23" s="159" customFormat="1" ht="9" customHeight="1">
      <c r="A842" s="803">
        <v>130</v>
      </c>
      <c r="B842" s="635" t="s">
        <v>757</v>
      </c>
      <c r="C842" s="636" t="s">
        <v>1192</v>
      </c>
      <c r="D842" s="636" t="s">
        <v>110</v>
      </c>
      <c r="E842" s="637" t="s">
        <v>608</v>
      </c>
      <c r="F842" s="141"/>
      <c r="G842" s="638" t="s">
        <v>88</v>
      </c>
      <c r="H842" s="639">
        <v>5</v>
      </c>
      <c r="I842" s="639">
        <v>9</v>
      </c>
      <c r="J842" s="640">
        <v>6617.5</v>
      </c>
      <c r="K842" s="640">
        <v>5959.5</v>
      </c>
      <c r="L842" s="640">
        <v>346</v>
      </c>
      <c r="M842" s="639">
        <v>271</v>
      </c>
      <c r="N842" s="797">
        <f>'Приложение 2'!E844</f>
        <v>6842701.5999999996</v>
      </c>
      <c r="O842" s="797">
        <v>0</v>
      </c>
      <c r="P842" s="797">
        <v>0</v>
      </c>
      <c r="Q842" s="797">
        <v>0</v>
      </c>
      <c r="R842" s="797">
        <f t="shared" si="198"/>
        <v>6842701.5999999996</v>
      </c>
      <c r="S842" s="797">
        <f t="shared" si="199"/>
        <v>1148.2006208574544</v>
      </c>
      <c r="T842" s="797">
        <v>4180</v>
      </c>
      <c r="U842" s="132" t="s">
        <v>590</v>
      </c>
      <c r="V842" s="144">
        <f t="shared" si="197"/>
        <v>3031.7993791425456</v>
      </c>
      <c r="W842" s="521"/>
    </row>
    <row r="843" spans="1:23" s="159" customFormat="1" ht="9" customHeight="1">
      <c r="A843" s="803">
        <v>131</v>
      </c>
      <c r="B843" s="635" t="s">
        <v>758</v>
      </c>
      <c r="C843" s="636" t="s">
        <v>1192</v>
      </c>
      <c r="D843" s="636" t="s">
        <v>110</v>
      </c>
      <c r="E843" s="637" t="s">
        <v>299</v>
      </c>
      <c r="F843" s="141"/>
      <c r="G843" s="638" t="s">
        <v>88</v>
      </c>
      <c r="H843" s="639">
        <v>5</v>
      </c>
      <c r="I843" s="639">
        <v>8</v>
      </c>
      <c r="J843" s="640">
        <v>5815.1</v>
      </c>
      <c r="K843" s="640">
        <v>5145.8</v>
      </c>
      <c r="L843" s="640">
        <v>278</v>
      </c>
      <c r="M843" s="639">
        <v>226</v>
      </c>
      <c r="N843" s="797">
        <f>'Приложение 2'!E845</f>
        <v>6110888.5999999996</v>
      </c>
      <c r="O843" s="797">
        <v>0</v>
      </c>
      <c r="P843" s="797">
        <v>0</v>
      </c>
      <c r="Q843" s="797">
        <v>0</v>
      </c>
      <c r="R843" s="797">
        <f t="shared" si="198"/>
        <v>6110888.5999999996</v>
      </c>
      <c r="S843" s="797">
        <f t="shared" si="199"/>
        <v>1187.5487970772278</v>
      </c>
      <c r="T843" s="797">
        <v>4180</v>
      </c>
      <c r="U843" s="132" t="s">
        <v>590</v>
      </c>
      <c r="V843" s="144">
        <f t="shared" si="197"/>
        <v>2992.4512029227722</v>
      </c>
      <c r="W843" s="521"/>
    </row>
    <row r="844" spans="1:23" s="159" customFormat="1" ht="9" customHeight="1">
      <c r="A844" s="803">
        <v>132</v>
      </c>
      <c r="B844" s="635" t="s">
        <v>759</v>
      </c>
      <c r="C844" s="636" t="s">
        <v>1192</v>
      </c>
      <c r="D844" s="636" t="s">
        <v>111</v>
      </c>
      <c r="E844" s="637" t="s">
        <v>107</v>
      </c>
      <c r="F844" s="141"/>
      <c r="G844" s="638" t="s">
        <v>88</v>
      </c>
      <c r="H844" s="639">
        <v>3</v>
      </c>
      <c r="I844" s="639">
        <v>3</v>
      </c>
      <c r="J844" s="640">
        <v>1675.8</v>
      </c>
      <c r="K844" s="640">
        <v>1529.4</v>
      </c>
      <c r="L844" s="640">
        <v>1529.4</v>
      </c>
      <c r="M844" s="639">
        <v>81</v>
      </c>
      <c r="N844" s="797">
        <f>'Приложение 2'!E846</f>
        <v>3069389.4</v>
      </c>
      <c r="O844" s="797">
        <v>0</v>
      </c>
      <c r="P844" s="797">
        <v>0</v>
      </c>
      <c r="Q844" s="797">
        <v>0</v>
      </c>
      <c r="R844" s="797">
        <f t="shared" si="198"/>
        <v>3069389.4</v>
      </c>
      <c r="S844" s="797">
        <f t="shared" si="199"/>
        <v>2006.9238917222438</v>
      </c>
      <c r="T844" s="797">
        <v>4503.95</v>
      </c>
      <c r="U844" s="132" t="s">
        <v>590</v>
      </c>
      <c r="V844" s="144">
        <f t="shared" si="197"/>
        <v>2497.0261082777561</v>
      </c>
      <c r="W844" s="521"/>
    </row>
    <row r="845" spans="1:23" s="159" customFormat="1" ht="9" customHeight="1">
      <c r="A845" s="803">
        <v>133</v>
      </c>
      <c r="B845" s="635" t="s">
        <v>760</v>
      </c>
      <c r="C845" s="636" t="s">
        <v>1192</v>
      </c>
      <c r="D845" s="636" t="s">
        <v>111</v>
      </c>
      <c r="E845" s="637" t="s">
        <v>748</v>
      </c>
      <c r="F845" s="141"/>
      <c r="G845" s="638" t="s">
        <v>88</v>
      </c>
      <c r="H845" s="639">
        <v>3</v>
      </c>
      <c r="I845" s="639">
        <v>3</v>
      </c>
      <c r="J845" s="640">
        <v>1646</v>
      </c>
      <c r="K845" s="640">
        <v>1518.2</v>
      </c>
      <c r="L845" s="640">
        <v>1518.2</v>
      </c>
      <c r="M845" s="639">
        <v>67</v>
      </c>
      <c r="N845" s="797">
        <f>'Приложение 2'!E847</f>
        <v>3069712.8</v>
      </c>
      <c r="O845" s="797">
        <v>0</v>
      </c>
      <c r="P845" s="797">
        <v>0</v>
      </c>
      <c r="Q845" s="797">
        <v>0</v>
      </c>
      <c r="R845" s="797">
        <f t="shared" si="198"/>
        <v>3069712.8</v>
      </c>
      <c r="S845" s="797">
        <f t="shared" si="199"/>
        <v>2021.9423000922143</v>
      </c>
      <c r="T845" s="797">
        <v>4503.95</v>
      </c>
      <c r="U845" s="132" t="s">
        <v>590</v>
      </c>
      <c r="V845" s="144">
        <f t="shared" si="197"/>
        <v>2482.0076999077855</v>
      </c>
      <c r="W845" s="521"/>
    </row>
    <row r="846" spans="1:23" s="159" customFormat="1" ht="9" customHeight="1">
      <c r="A846" s="803">
        <v>134</v>
      </c>
      <c r="B846" s="635" t="s">
        <v>761</v>
      </c>
      <c r="C846" s="636" t="s">
        <v>1192</v>
      </c>
      <c r="D846" s="636" t="s">
        <v>111</v>
      </c>
      <c r="E846" s="637" t="s">
        <v>745</v>
      </c>
      <c r="F846" s="141"/>
      <c r="G846" s="638" t="s">
        <v>88</v>
      </c>
      <c r="H846" s="639">
        <v>4</v>
      </c>
      <c r="I846" s="639">
        <v>1</v>
      </c>
      <c r="J846" s="640">
        <v>2764.4</v>
      </c>
      <c r="K846" s="640">
        <v>1790.8</v>
      </c>
      <c r="L846" s="640">
        <v>1134</v>
      </c>
      <c r="M846" s="639">
        <v>159</v>
      </c>
      <c r="N846" s="797">
        <f>'Приложение 2'!E848</f>
        <v>3654420</v>
      </c>
      <c r="O846" s="797">
        <v>0</v>
      </c>
      <c r="P846" s="797">
        <v>0</v>
      </c>
      <c r="Q846" s="797">
        <v>0</v>
      </c>
      <c r="R846" s="797">
        <f t="shared" si="198"/>
        <v>3654420</v>
      </c>
      <c r="S846" s="797">
        <f t="shared" si="199"/>
        <v>2040.6633906633908</v>
      </c>
      <c r="T846" s="797">
        <v>4503.95</v>
      </c>
      <c r="U846" s="132" t="s">
        <v>590</v>
      </c>
      <c r="V846" s="144">
        <f t="shared" si="197"/>
        <v>2463.2866093366092</v>
      </c>
      <c r="W846" s="521"/>
    </row>
    <row r="847" spans="1:23" s="159" customFormat="1" ht="20.25" customHeight="1">
      <c r="A847" s="829" t="s">
        <v>222</v>
      </c>
      <c r="B847" s="830"/>
      <c r="C847" s="784"/>
      <c r="D847" s="784"/>
      <c r="E847" s="147" t="s">
        <v>391</v>
      </c>
      <c r="F847" s="141" t="s">
        <v>391</v>
      </c>
      <c r="G847" s="141" t="s">
        <v>391</v>
      </c>
      <c r="H847" s="141" t="s">
        <v>391</v>
      </c>
      <c r="I847" s="141" t="s">
        <v>391</v>
      </c>
      <c r="J847" s="160">
        <f t="shared" ref="J847:R847" si="200">SUM(J840:J846)</f>
        <v>22672.400000000001</v>
      </c>
      <c r="K847" s="160">
        <f t="shared" si="200"/>
        <v>19665.399999999998</v>
      </c>
      <c r="L847" s="160">
        <f t="shared" si="200"/>
        <v>8527.2999999999993</v>
      </c>
      <c r="M847" s="639">
        <f t="shared" si="200"/>
        <v>994</v>
      </c>
      <c r="N847" s="160">
        <f t="shared" si="200"/>
        <v>27471625.599999998</v>
      </c>
      <c r="O847" s="160">
        <f t="shared" si="200"/>
        <v>0</v>
      </c>
      <c r="P847" s="160">
        <f t="shared" si="200"/>
        <v>0</v>
      </c>
      <c r="Q847" s="160">
        <f t="shared" si="200"/>
        <v>0</v>
      </c>
      <c r="R847" s="160">
        <f t="shared" si="200"/>
        <v>27471625.599999998</v>
      </c>
      <c r="S847" s="797">
        <f>N847/K847</f>
        <v>1396.9522918425255</v>
      </c>
      <c r="T847" s="797"/>
      <c r="U847" s="132"/>
      <c r="V847" s="144">
        <f t="shared" si="197"/>
        <v>-1396.9522918425255</v>
      </c>
      <c r="W847" s="521"/>
    </row>
    <row r="848" spans="1:23" s="159" customFormat="1" ht="9" customHeight="1">
      <c r="A848" s="837" t="s">
        <v>232</v>
      </c>
      <c r="B848" s="838"/>
      <c r="C848" s="838"/>
      <c r="D848" s="838"/>
      <c r="E848" s="838"/>
      <c r="F848" s="838"/>
      <c r="G848" s="838"/>
      <c r="H848" s="838"/>
      <c r="I848" s="838"/>
      <c r="J848" s="838"/>
      <c r="K848" s="838"/>
      <c r="L848" s="838"/>
      <c r="M848" s="838"/>
      <c r="N848" s="838"/>
      <c r="O848" s="838"/>
      <c r="P848" s="838"/>
      <c r="Q848" s="838"/>
      <c r="R848" s="838"/>
      <c r="S848" s="838"/>
      <c r="T848" s="838"/>
      <c r="U848" s="839"/>
      <c r="V848" s="144">
        <f t="shared" si="197"/>
        <v>0</v>
      </c>
      <c r="W848" s="521"/>
    </row>
    <row r="849" spans="1:23" s="159" customFormat="1" ht="9" customHeight="1">
      <c r="A849" s="794">
        <v>135</v>
      </c>
      <c r="B849" s="641" t="s">
        <v>777</v>
      </c>
      <c r="C849" s="642" t="s">
        <v>1192</v>
      </c>
      <c r="D849" s="642" t="s">
        <v>110</v>
      </c>
      <c r="E849" s="643" t="s">
        <v>618</v>
      </c>
      <c r="F849" s="794"/>
      <c r="G849" s="644" t="s">
        <v>90</v>
      </c>
      <c r="H849" s="645">
        <v>5</v>
      </c>
      <c r="I849" s="645">
        <v>6</v>
      </c>
      <c r="J849" s="646">
        <v>4499.6000000000004</v>
      </c>
      <c r="K849" s="646">
        <v>4065.4</v>
      </c>
      <c r="L849" s="646">
        <v>418</v>
      </c>
      <c r="M849" s="645">
        <v>40</v>
      </c>
      <c r="N849" s="797">
        <f>'Приложение 2'!E851</f>
        <v>3990798</v>
      </c>
      <c r="O849" s="797">
        <v>0</v>
      </c>
      <c r="P849" s="797">
        <v>0</v>
      </c>
      <c r="Q849" s="797">
        <v>0</v>
      </c>
      <c r="R849" s="797">
        <f t="shared" ref="R849:R860" si="201">N849</f>
        <v>3990798</v>
      </c>
      <c r="S849" s="797">
        <f t="shared" ref="S849:S860" si="202">N849/K849</f>
        <v>981.64953018153199</v>
      </c>
      <c r="T849" s="797">
        <v>4180</v>
      </c>
      <c r="U849" s="132" t="s">
        <v>590</v>
      </c>
      <c r="V849" s="144">
        <f t="shared" si="197"/>
        <v>3198.3504698184679</v>
      </c>
      <c r="W849" s="521"/>
    </row>
    <row r="850" spans="1:23" s="159" customFormat="1" ht="9" customHeight="1">
      <c r="A850" s="794">
        <v>136</v>
      </c>
      <c r="B850" s="641" t="s">
        <v>778</v>
      </c>
      <c r="C850" s="642" t="s">
        <v>1192</v>
      </c>
      <c r="D850" s="642" t="s">
        <v>110</v>
      </c>
      <c r="E850" s="643" t="s">
        <v>593</v>
      </c>
      <c r="F850" s="794"/>
      <c r="G850" s="644" t="s">
        <v>88</v>
      </c>
      <c r="H850" s="645">
        <v>3</v>
      </c>
      <c r="I850" s="645">
        <v>3</v>
      </c>
      <c r="J850" s="646">
        <v>1692.6</v>
      </c>
      <c r="K850" s="646">
        <v>1546</v>
      </c>
      <c r="L850" s="646">
        <v>561</v>
      </c>
      <c r="M850" s="645">
        <v>51</v>
      </c>
      <c r="N850" s="797">
        <f>'Приложение 2'!E852</f>
        <v>2683870</v>
      </c>
      <c r="O850" s="797">
        <v>0</v>
      </c>
      <c r="P850" s="797">
        <v>0</v>
      </c>
      <c r="Q850" s="797">
        <v>0</v>
      </c>
      <c r="R850" s="797">
        <f t="shared" si="201"/>
        <v>2683870</v>
      </c>
      <c r="S850" s="797">
        <f t="shared" si="202"/>
        <v>1736.0090556274256</v>
      </c>
      <c r="T850" s="797">
        <v>4180</v>
      </c>
      <c r="U850" s="132" t="s">
        <v>590</v>
      </c>
      <c r="V850" s="144">
        <f t="shared" si="197"/>
        <v>2443.9909443725746</v>
      </c>
      <c r="W850" s="521"/>
    </row>
    <row r="851" spans="1:23" s="159" customFormat="1" ht="9" customHeight="1">
      <c r="A851" s="794">
        <v>137</v>
      </c>
      <c r="B851" s="641" t="s">
        <v>779</v>
      </c>
      <c r="C851" s="642" t="s">
        <v>1192</v>
      </c>
      <c r="D851" s="642" t="s">
        <v>110</v>
      </c>
      <c r="E851" s="643" t="s">
        <v>605</v>
      </c>
      <c r="F851" s="794"/>
      <c r="G851" s="644" t="s">
        <v>88</v>
      </c>
      <c r="H851" s="645">
        <v>5</v>
      </c>
      <c r="I851" s="645">
        <v>10</v>
      </c>
      <c r="J851" s="646">
        <v>7131.7</v>
      </c>
      <c r="K851" s="646">
        <v>6406.5</v>
      </c>
      <c r="L851" s="646">
        <v>369</v>
      </c>
      <c r="M851" s="645">
        <v>31</v>
      </c>
      <c r="N851" s="797">
        <f>'Приложение 2'!E853</f>
        <v>6688004</v>
      </c>
      <c r="O851" s="797">
        <v>0</v>
      </c>
      <c r="P851" s="797">
        <v>0</v>
      </c>
      <c r="Q851" s="797">
        <v>0</v>
      </c>
      <c r="R851" s="797">
        <f t="shared" si="201"/>
        <v>6688004</v>
      </c>
      <c r="S851" s="797">
        <f t="shared" si="202"/>
        <v>1043.9403730586123</v>
      </c>
      <c r="T851" s="797">
        <v>4180</v>
      </c>
      <c r="U851" s="132" t="s">
        <v>590</v>
      </c>
      <c r="V851" s="144">
        <f t="shared" si="197"/>
        <v>3136.0596269413877</v>
      </c>
      <c r="W851" s="521"/>
    </row>
    <row r="852" spans="1:23" s="159" customFormat="1" ht="9" customHeight="1">
      <c r="A852" s="794">
        <v>138</v>
      </c>
      <c r="B852" s="641" t="s">
        <v>780</v>
      </c>
      <c r="C852" s="642" t="s">
        <v>1192</v>
      </c>
      <c r="D852" s="642" t="s">
        <v>110</v>
      </c>
      <c r="E852" s="643" t="s">
        <v>618</v>
      </c>
      <c r="F852" s="794"/>
      <c r="G852" s="644" t="s">
        <v>90</v>
      </c>
      <c r="H852" s="645">
        <v>5</v>
      </c>
      <c r="I852" s="645">
        <v>6</v>
      </c>
      <c r="J852" s="646">
        <v>4069.5</v>
      </c>
      <c r="K852" s="646">
        <v>4277</v>
      </c>
      <c r="L852" s="646">
        <v>504</v>
      </c>
      <c r="M852" s="645">
        <v>216</v>
      </c>
      <c r="N852" s="797">
        <f>'Приложение 2'!E854</f>
        <v>4044142</v>
      </c>
      <c r="O852" s="797">
        <v>0</v>
      </c>
      <c r="P852" s="797">
        <v>0</v>
      </c>
      <c r="Q852" s="797">
        <v>0</v>
      </c>
      <c r="R852" s="797">
        <f t="shared" si="201"/>
        <v>4044142</v>
      </c>
      <c r="S852" s="797">
        <f t="shared" si="202"/>
        <v>945.55576338555056</v>
      </c>
      <c r="T852" s="797">
        <v>4180</v>
      </c>
      <c r="U852" s="132" t="s">
        <v>590</v>
      </c>
      <c r="V852" s="144">
        <f t="shared" si="197"/>
        <v>3234.4442366144494</v>
      </c>
      <c r="W852" s="521"/>
    </row>
    <row r="853" spans="1:23" s="159" customFormat="1" ht="9" customHeight="1">
      <c r="A853" s="794">
        <v>139</v>
      </c>
      <c r="B853" s="641" t="s">
        <v>781</v>
      </c>
      <c r="C853" s="642" t="s">
        <v>1192</v>
      </c>
      <c r="D853" s="642" t="s">
        <v>110</v>
      </c>
      <c r="E853" s="643" t="s">
        <v>614</v>
      </c>
      <c r="F853" s="794"/>
      <c r="G853" s="644" t="s">
        <v>88</v>
      </c>
      <c r="H853" s="645">
        <v>5</v>
      </c>
      <c r="I853" s="645">
        <v>4</v>
      </c>
      <c r="J853" s="646">
        <v>2914.4</v>
      </c>
      <c r="K853" s="646">
        <v>2490.1</v>
      </c>
      <c r="L853" s="646">
        <v>2451</v>
      </c>
      <c r="M853" s="645">
        <v>108</v>
      </c>
      <c r="N853" s="797">
        <f>'Приложение 2'!E855</f>
        <v>2737214</v>
      </c>
      <c r="O853" s="797">
        <v>0</v>
      </c>
      <c r="P853" s="797">
        <v>0</v>
      </c>
      <c r="Q853" s="797">
        <v>0</v>
      </c>
      <c r="R853" s="797">
        <f t="shared" si="201"/>
        <v>2737214</v>
      </c>
      <c r="S853" s="797">
        <f t="shared" si="202"/>
        <v>1099.2385847957914</v>
      </c>
      <c r="T853" s="797">
        <v>4180</v>
      </c>
      <c r="U853" s="132" t="s">
        <v>590</v>
      </c>
      <c r="V853" s="144">
        <f t="shared" si="197"/>
        <v>3080.7614152042088</v>
      </c>
      <c r="W853" s="521"/>
    </row>
    <row r="854" spans="1:23" s="159" customFormat="1" ht="9" customHeight="1">
      <c r="A854" s="794">
        <v>140</v>
      </c>
      <c r="B854" s="641" t="s">
        <v>782</v>
      </c>
      <c r="C854" s="642" t="s">
        <v>1192</v>
      </c>
      <c r="D854" s="642" t="s">
        <v>110</v>
      </c>
      <c r="E854" s="643" t="s">
        <v>605</v>
      </c>
      <c r="F854" s="794"/>
      <c r="G854" s="644" t="s">
        <v>90</v>
      </c>
      <c r="H854" s="645">
        <v>5</v>
      </c>
      <c r="I854" s="645">
        <v>7</v>
      </c>
      <c r="J854" s="646">
        <v>6039.6</v>
      </c>
      <c r="K854" s="646">
        <v>5272</v>
      </c>
      <c r="L854" s="646">
        <v>477</v>
      </c>
      <c r="M854" s="645">
        <v>40</v>
      </c>
      <c r="N854" s="797">
        <f>'Приложение 2'!E856</f>
        <v>5241048</v>
      </c>
      <c r="O854" s="797">
        <v>0</v>
      </c>
      <c r="P854" s="797">
        <v>0</v>
      </c>
      <c r="Q854" s="797">
        <v>0</v>
      </c>
      <c r="R854" s="797">
        <f t="shared" si="201"/>
        <v>5241048</v>
      </c>
      <c r="S854" s="797">
        <f t="shared" si="202"/>
        <v>994.12898330804251</v>
      </c>
      <c r="T854" s="797">
        <v>4180</v>
      </c>
      <c r="U854" s="132" t="s">
        <v>590</v>
      </c>
      <c r="V854" s="144">
        <f t="shared" si="197"/>
        <v>3185.8710166919573</v>
      </c>
      <c r="W854" s="521"/>
    </row>
    <row r="855" spans="1:23" s="159" customFormat="1" ht="9" customHeight="1">
      <c r="A855" s="794">
        <v>141</v>
      </c>
      <c r="B855" s="641" t="s">
        <v>783</v>
      </c>
      <c r="C855" s="642" t="s">
        <v>1192</v>
      </c>
      <c r="D855" s="642" t="s">
        <v>110</v>
      </c>
      <c r="E855" s="643" t="s">
        <v>600</v>
      </c>
      <c r="F855" s="794"/>
      <c r="G855" s="644" t="s">
        <v>88</v>
      </c>
      <c r="H855" s="645">
        <v>2</v>
      </c>
      <c r="I855" s="645">
        <v>3</v>
      </c>
      <c r="J855" s="646">
        <v>945.1</v>
      </c>
      <c r="K855" s="646">
        <v>858.2</v>
      </c>
      <c r="L855" s="646">
        <v>858.2</v>
      </c>
      <c r="M855" s="645">
        <v>118</v>
      </c>
      <c r="N855" s="797">
        <f>'Приложение 2'!E857</f>
        <v>2213776</v>
      </c>
      <c r="O855" s="797">
        <v>0</v>
      </c>
      <c r="P855" s="797">
        <v>0</v>
      </c>
      <c r="Q855" s="797">
        <v>0</v>
      </c>
      <c r="R855" s="797">
        <f t="shared" si="201"/>
        <v>2213776</v>
      </c>
      <c r="S855" s="797">
        <f t="shared" si="202"/>
        <v>2579.5572127709156</v>
      </c>
      <c r="T855" s="797">
        <v>4180</v>
      </c>
      <c r="U855" s="132" t="s">
        <v>590</v>
      </c>
      <c r="V855" s="144">
        <f t="shared" si="197"/>
        <v>1600.4427872290844</v>
      </c>
      <c r="W855" s="521"/>
    </row>
    <row r="856" spans="1:23" s="159" customFormat="1" ht="9" customHeight="1">
      <c r="A856" s="794">
        <v>142</v>
      </c>
      <c r="B856" s="641" t="s">
        <v>784</v>
      </c>
      <c r="C856" s="642" t="s">
        <v>1192</v>
      </c>
      <c r="D856" s="642" t="s">
        <v>110</v>
      </c>
      <c r="E856" s="643" t="s">
        <v>594</v>
      </c>
      <c r="F856" s="794"/>
      <c r="G856" s="644" t="s">
        <v>88</v>
      </c>
      <c r="H856" s="645">
        <v>3</v>
      </c>
      <c r="I856" s="645">
        <v>3</v>
      </c>
      <c r="J856" s="646">
        <v>1982.1</v>
      </c>
      <c r="K856" s="646">
        <v>1831.8</v>
      </c>
      <c r="L856" s="646">
        <v>388</v>
      </c>
      <c r="M856" s="645">
        <v>22</v>
      </c>
      <c r="N856" s="797">
        <f>'Приложение 2'!E858</f>
        <v>2193772</v>
      </c>
      <c r="O856" s="797">
        <v>0</v>
      </c>
      <c r="P856" s="797">
        <v>0</v>
      </c>
      <c r="Q856" s="797">
        <v>0</v>
      </c>
      <c r="R856" s="797">
        <f t="shared" si="201"/>
        <v>2193772</v>
      </c>
      <c r="S856" s="797">
        <f t="shared" si="202"/>
        <v>1197.6045419805655</v>
      </c>
      <c r="T856" s="797">
        <v>4180</v>
      </c>
      <c r="U856" s="132" t="s">
        <v>590</v>
      </c>
      <c r="V856" s="144">
        <f t="shared" si="197"/>
        <v>2982.3954580194345</v>
      </c>
      <c r="W856" s="521"/>
    </row>
    <row r="857" spans="1:23" s="159" customFormat="1" ht="9" customHeight="1">
      <c r="A857" s="794">
        <v>143</v>
      </c>
      <c r="B857" s="641" t="s">
        <v>785</v>
      </c>
      <c r="C857" s="642" t="s">
        <v>1192</v>
      </c>
      <c r="D857" s="642" t="s">
        <v>110</v>
      </c>
      <c r="E857" s="643" t="s">
        <v>600</v>
      </c>
      <c r="F857" s="794"/>
      <c r="G857" s="644" t="s">
        <v>90</v>
      </c>
      <c r="H857" s="645">
        <v>5</v>
      </c>
      <c r="I857" s="645">
        <v>8</v>
      </c>
      <c r="J857" s="646">
        <v>6505.2</v>
      </c>
      <c r="K857" s="646">
        <v>5704.3</v>
      </c>
      <c r="L857" s="646">
        <v>1305</v>
      </c>
      <c r="M857" s="645">
        <v>68</v>
      </c>
      <c r="N857" s="797">
        <f>'Приложение 2'!E859</f>
        <v>5874508</v>
      </c>
      <c r="O857" s="797">
        <v>0</v>
      </c>
      <c r="P857" s="797">
        <v>0</v>
      </c>
      <c r="Q857" s="797">
        <v>0</v>
      </c>
      <c r="R857" s="797">
        <f t="shared" si="201"/>
        <v>5874508</v>
      </c>
      <c r="S857" s="797">
        <f t="shared" si="202"/>
        <v>1029.8385428536367</v>
      </c>
      <c r="T857" s="797">
        <v>4180</v>
      </c>
      <c r="U857" s="132" t="s">
        <v>590</v>
      </c>
      <c r="V857" s="144">
        <f t="shared" si="197"/>
        <v>3150.1614571463633</v>
      </c>
      <c r="W857" s="521"/>
    </row>
    <row r="858" spans="1:23" s="159" customFormat="1" ht="9" customHeight="1">
      <c r="A858" s="794">
        <v>144</v>
      </c>
      <c r="B858" s="641" t="s">
        <v>786</v>
      </c>
      <c r="C858" s="642" t="s">
        <v>1192</v>
      </c>
      <c r="D858" s="642" t="s">
        <v>110</v>
      </c>
      <c r="E858" s="643" t="s">
        <v>593</v>
      </c>
      <c r="F858" s="794"/>
      <c r="G858" s="644" t="s">
        <v>90</v>
      </c>
      <c r="H858" s="645">
        <v>5</v>
      </c>
      <c r="I858" s="645">
        <v>8</v>
      </c>
      <c r="J858" s="646">
        <v>6503.8</v>
      </c>
      <c r="K858" s="646">
        <v>5532.6</v>
      </c>
      <c r="L858" s="646">
        <v>645</v>
      </c>
      <c r="M858" s="645">
        <v>45</v>
      </c>
      <c r="N858" s="797">
        <f>'Приложение 2'!E860</f>
        <v>6084550</v>
      </c>
      <c r="O858" s="797">
        <v>0</v>
      </c>
      <c r="P858" s="797">
        <v>0</v>
      </c>
      <c r="Q858" s="797">
        <v>0</v>
      </c>
      <c r="R858" s="797">
        <f t="shared" si="201"/>
        <v>6084550</v>
      </c>
      <c r="S858" s="797">
        <f t="shared" si="202"/>
        <v>1099.7632216317825</v>
      </c>
      <c r="T858" s="797">
        <v>4180</v>
      </c>
      <c r="U858" s="132" t="s">
        <v>590</v>
      </c>
      <c r="V858" s="144">
        <f t="shared" si="197"/>
        <v>3080.2367783682175</v>
      </c>
      <c r="W858" s="521"/>
    </row>
    <row r="859" spans="1:23" s="159" customFormat="1" ht="9" customHeight="1">
      <c r="A859" s="794">
        <v>145</v>
      </c>
      <c r="B859" s="641" t="s">
        <v>787</v>
      </c>
      <c r="C859" s="642" t="s">
        <v>1192</v>
      </c>
      <c r="D859" s="642" t="s">
        <v>110</v>
      </c>
      <c r="E859" s="643" t="s">
        <v>600</v>
      </c>
      <c r="F859" s="794"/>
      <c r="G859" s="644" t="s">
        <v>88</v>
      </c>
      <c r="H859" s="645">
        <v>5</v>
      </c>
      <c r="I859" s="645">
        <v>1</v>
      </c>
      <c r="J859" s="646">
        <v>2968.9</v>
      </c>
      <c r="K859" s="646">
        <v>2443.3000000000002</v>
      </c>
      <c r="L859" s="646">
        <v>1567</v>
      </c>
      <c r="M859" s="645">
        <v>74</v>
      </c>
      <c r="N859" s="797">
        <f>'Приложение 2'!E861</f>
        <v>2747216</v>
      </c>
      <c r="O859" s="797">
        <v>0</v>
      </c>
      <c r="P859" s="797">
        <v>0</v>
      </c>
      <c r="Q859" s="797">
        <v>0</v>
      </c>
      <c r="R859" s="797">
        <f t="shared" si="201"/>
        <v>2747216</v>
      </c>
      <c r="S859" s="797">
        <f t="shared" si="202"/>
        <v>1124.3875086972537</v>
      </c>
      <c r="T859" s="797">
        <v>4180</v>
      </c>
      <c r="U859" s="132" t="s">
        <v>590</v>
      </c>
      <c r="V859" s="144">
        <f t="shared" si="197"/>
        <v>3055.6124913027461</v>
      </c>
      <c r="W859" s="521"/>
    </row>
    <row r="860" spans="1:23" s="159" customFormat="1" ht="9" customHeight="1">
      <c r="A860" s="794">
        <v>146</v>
      </c>
      <c r="B860" s="582" t="s">
        <v>762</v>
      </c>
      <c r="C860" s="583" t="s">
        <v>1192</v>
      </c>
      <c r="D860" s="583" t="s">
        <v>111</v>
      </c>
      <c r="E860" s="584" t="s">
        <v>775</v>
      </c>
      <c r="F860" s="794"/>
      <c r="G860" s="585" t="s">
        <v>88</v>
      </c>
      <c r="H860" s="586">
        <v>2</v>
      </c>
      <c r="I860" s="586">
        <v>1</v>
      </c>
      <c r="J860" s="587">
        <v>232.5</v>
      </c>
      <c r="K860" s="587">
        <v>210.2</v>
      </c>
      <c r="L860" s="587">
        <v>210.2</v>
      </c>
      <c r="M860" s="586">
        <v>7</v>
      </c>
      <c r="N860" s="797">
        <f>'Приложение 2'!E862</f>
        <v>721182</v>
      </c>
      <c r="O860" s="797">
        <v>0</v>
      </c>
      <c r="P860" s="797">
        <v>0</v>
      </c>
      <c r="Q860" s="797">
        <v>0</v>
      </c>
      <c r="R860" s="797">
        <f t="shared" si="201"/>
        <v>721182</v>
      </c>
      <c r="S860" s="797">
        <f t="shared" si="202"/>
        <v>3430.9324452902001</v>
      </c>
      <c r="T860" s="797">
        <v>4503.95</v>
      </c>
      <c r="U860" s="132" t="s">
        <v>590</v>
      </c>
      <c r="V860" s="144"/>
      <c r="W860" s="521"/>
    </row>
    <row r="861" spans="1:23" s="159" customFormat="1" ht="22.5" customHeight="1">
      <c r="A861" s="829" t="s">
        <v>231</v>
      </c>
      <c r="B861" s="830"/>
      <c r="C861" s="784"/>
      <c r="D861" s="784"/>
      <c r="E861" s="147" t="s">
        <v>391</v>
      </c>
      <c r="F861" s="141" t="s">
        <v>391</v>
      </c>
      <c r="G861" s="141" t="s">
        <v>391</v>
      </c>
      <c r="H861" s="141" t="s">
        <v>391</v>
      </c>
      <c r="I861" s="141" t="s">
        <v>391</v>
      </c>
      <c r="J861" s="797">
        <f>SUM(J849:J860)</f>
        <v>45485</v>
      </c>
      <c r="K861" s="797">
        <f t="shared" ref="K861:R861" si="203">SUM(K849:K860)</f>
        <v>40637.4</v>
      </c>
      <c r="L861" s="797">
        <f t="shared" si="203"/>
        <v>9753.4000000000015</v>
      </c>
      <c r="M861" s="130">
        <f t="shared" si="203"/>
        <v>820</v>
      </c>
      <c r="N861" s="797">
        <f t="shared" si="203"/>
        <v>45220080</v>
      </c>
      <c r="O861" s="797">
        <f t="shared" si="203"/>
        <v>0</v>
      </c>
      <c r="P861" s="797">
        <f t="shared" si="203"/>
        <v>0</v>
      </c>
      <c r="Q861" s="797">
        <f t="shared" si="203"/>
        <v>0</v>
      </c>
      <c r="R861" s="797">
        <f t="shared" si="203"/>
        <v>45220080</v>
      </c>
      <c r="S861" s="797">
        <f>N861/K861</f>
        <v>1112.7700098923651</v>
      </c>
      <c r="T861" s="794"/>
      <c r="U861" s="132"/>
      <c r="V861" s="144">
        <f t="shared" si="197"/>
        <v>-1112.7700098923651</v>
      </c>
      <c r="W861" s="521"/>
    </row>
    <row r="862" spans="1:23" s="159" customFormat="1" ht="9" customHeight="1">
      <c r="A862" s="837" t="s">
        <v>242</v>
      </c>
      <c r="B862" s="838"/>
      <c r="C862" s="838"/>
      <c r="D862" s="838"/>
      <c r="E862" s="838"/>
      <c r="F862" s="838"/>
      <c r="G862" s="838"/>
      <c r="H862" s="838"/>
      <c r="I862" s="838"/>
      <c r="J862" s="838"/>
      <c r="K862" s="838"/>
      <c r="L862" s="838"/>
      <c r="M862" s="838"/>
      <c r="N862" s="838"/>
      <c r="O862" s="838"/>
      <c r="P862" s="838"/>
      <c r="Q862" s="838"/>
      <c r="R862" s="838"/>
      <c r="S862" s="838"/>
      <c r="T862" s="838"/>
      <c r="U862" s="839"/>
      <c r="V862" s="144">
        <f t="shared" si="197"/>
        <v>0</v>
      </c>
      <c r="W862" s="521"/>
    </row>
    <row r="863" spans="1:23" s="159" customFormat="1" ht="9" customHeight="1">
      <c r="A863" s="801">
        <v>147</v>
      </c>
      <c r="B863" s="647" t="s">
        <v>1019</v>
      </c>
      <c r="C863" s="648" t="s">
        <v>1192</v>
      </c>
      <c r="D863" s="648" t="s">
        <v>111</v>
      </c>
      <c r="E863" s="649" t="s">
        <v>597</v>
      </c>
      <c r="F863" s="650"/>
      <c r="G863" s="651" t="s">
        <v>88</v>
      </c>
      <c r="H863" s="652">
        <v>3</v>
      </c>
      <c r="I863" s="652">
        <v>2</v>
      </c>
      <c r="J863" s="653">
        <v>919.3</v>
      </c>
      <c r="K863" s="653">
        <v>895.2</v>
      </c>
      <c r="L863" s="653">
        <v>895.2</v>
      </c>
      <c r="M863" s="652">
        <v>80</v>
      </c>
      <c r="N863" s="797">
        <f>'Приложение 2'!E865</f>
        <v>1681680</v>
      </c>
      <c r="O863" s="797">
        <v>0</v>
      </c>
      <c r="P863" s="797">
        <v>0</v>
      </c>
      <c r="Q863" s="797">
        <v>0</v>
      </c>
      <c r="R863" s="797">
        <f t="shared" ref="R863:R865" si="204">N863</f>
        <v>1681680</v>
      </c>
      <c r="S863" s="797">
        <f t="shared" ref="S863:S865" si="205">N863/K863</f>
        <v>1878.5522788203752</v>
      </c>
      <c r="T863" s="797">
        <v>4503.95</v>
      </c>
      <c r="U863" s="132" t="s">
        <v>590</v>
      </c>
      <c r="V863" s="144">
        <f t="shared" si="197"/>
        <v>2625.3977211796246</v>
      </c>
      <c r="W863" s="521"/>
    </row>
    <row r="864" spans="1:23" s="159" customFormat="1" ht="9" customHeight="1">
      <c r="A864" s="801">
        <v>148</v>
      </c>
      <c r="B864" s="647" t="s">
        <v>1020</v>
      </c>
      <c r="C864" s="648" t="s">
        <v>1192</v>
      </c>
      <c r="D864" s="648" t="s">
        <v>110</v>
      </c>
      <c r="E864" s="649" t="s">
        <v>616</v>
      </c>
      <c r="F864" s="650"/>
      <c r="G864" s="651" t="s">
        <v>88</v>
      </c>
      <c r="H864" s="652">
        <v>5</v>
      </c>
      <c r="I864" s="652">
        <v>1</v>
      </c>
      <c r="J864" s="653">
        <v>4632.1000000000004</v>
      </c>
      <c r="K864" s="653">
        <v>3823.3</v>
      </c>
      <c r="L864" s="653">
        <v>3462</v>
      </c>
      <c r="M864" s="652">
        <v>48</v>
      </c>
      <c r="N864" s="797">
        <f>'Приложение 2'!E866</f>
        <v>3027272</v>
      </c>
      <c r="O864" s="797">
        <v>0</v>
      </c>
      <c r="P864" s="797">
        <v>0</v>
      </c>
      <c r="Q864" s="797">
        <v>0</v>
      </c>
      <c r="R864" s="797">
        <f t="shared" si="204"/>
        <v>3027272</v>
      </c>
      <c r="S864" s="797">
        <f t="shared" si="205"/>
        <v>791.79556927261785</v>
      </c>
      <c r="T864" s="797">
        <v>4180</v>
      </c>
      <c r="U864" s="132" t="s">
        <v>590</v>
      </c>
      <c r="V864" s="144">
        <f>T864-S864</f>
        <v>3388.2044307273823</v>
      </c>
      <c r="W864" s="521"/>
    </row>
    <row r="865" spans="1:23" s="159" customFormat="1" ht="9" customHeight="1">
      <c r="A865" s="801">
        <v>149</v>
      </c>
      <c r="B865" s="596" t="s">
        <v>1069</v>
      </c>
      <c r="C865" s="597" t="s">
        <v>1192</v>
      </c>
      <c r="D865" s="597" t="s">
        <v>110</v>
      </c>
      <c r="E865" s="598" t="s">
        <v>299</v>
      </c>
      <c r="F865" s="599" t="s">
        <v>1201</v>
      </c>
      <c r="G865" s="599" t="s">
        <v>88</v>
      </c>
      <c r="H865" s="600">
        <v>5</v>
      </c>
      <c r="I865" s="600">
        <v>4</v>
      </c>
      <c r="J865" s="601">
        <v>3422.3</v>
      </c>
      <c r="K865" s="601">
        <v>2764.1</v>
      </c>
      <c r="L865" s="601">
        <v>2764.1</v>
      </c>
      <c r="M865" s="600">
        <v>693</v>
      </c>
      <c r="N865" s="797">
        <f>'Приложение 2'!E867</f>
        <v>2787224</v>
      </c>
      <c r="O865" s="797">
        <v>0</v>
      </c>
      <c r="P865" s="797">
        <v>0</v>
      </c>
      <c r="Q865" s="797">
        <v>0</v>
      </c>
      <c r="R865" s="797">
        <f t="shared" si="204"/>
        <v>2787224</v>
      </c>
      <c r="S865" s="797">
        <f t="shared" si="205"/>
        <v>1008.3658333634818</v>
      </c>
      <c r="T865" s="797">
        <v>4180</v>
      </c>
      <c r="U865" s="132" t="s">
        <v>590</v>
      </c>
      <c r="V865" s="144"/>
      <c r="W865" s="521" t="s">
        <v>1107</v>
      </c>
    </row>
    <row r="866" spans="1:23" s="159" customFormat="1" ht="20.25" customHeight="1">
      <c r="A866" s="829" t="s">
        <v>426</v>
      </c>
      <c r="B866" s="830"/>
      <c r="C866" s="784"/>
      <c r="D866" s="784"/>
      <c r="E866" s="794" t="s">
        <v>391</v>
      </c>
      <c r="F866" s="794" t="s">
        <v>391</v>
      </c>
      <c r="G866" s="794" t="s">
        <v>391</v>
      </c>
      <c r="H866" s="794" t="s">
        <v>391</v>
      </c>
      <c r="I866" s="794" t="s">
        <v>391</v>
      </c>
      <c r="J866" s="162">
        <f>SUM(J863:J865)</f>
        <v>8973.7000000000007</v>
      </c>
      <c r="K866" s="162">
        <f t="shared" ref="K866:R866" si="206">SUM(K863:K865)</f>
        <v>7482.6</v>
      </c>
      <c r="L866" s="162">
        <f t="shared" si="206"/>
        <v>7121.2999999999993</v>
      </c>
      <c r="M866" s="133">
        <f t="shared" si="206"/>
        <v>821</v>
      </c>
      <c r="N866" s="162">
        <f t="shared" si="206"/>
        <v>7496176</v>
      </c>
      <c r="O866" s="162">
        <f t="shared" si="206"/>
        <v>0</v>
      </c>
      <c r="P866" s="162">
        <f t="shared" si="206"/>
        <v>0</v>
      </c>
      <c r="Q866" s="162">
        <f t="shared" si="206"/>
        <v>0</v>
      </c>
      <c r="R866" s="162">
        <f t="shared" si="206"/>
        <v>7496176</v>
      </c>
      <c r="S866" s="797">
        <f>N866/K866</f>
        <v>1001.8143426081842</v>
      </c>
      <c r="T866" s="797"/>
      <c r="U866" s="132"/>
      <c r="V866" s="144">
        <f t="shared" si="197"/>
        <v>-1001.8143426081842</v>
      </c>
      <c r="W866" s="521"/>
    </row>
    <row r="867" spans="1:23" s="159" customFormat="1" ht="9" customHeight="1">
      <c r="A867" s="837" t="s">
        <v>251</v>
      </c>
      <c r="B867" s="838"/>
      <c r="C867" s="838"/>
      <c r="D867" s="838"/>
      <c r="E867" s="838"/>
      <c r="F867" s="838"/>
      <c r="G867" s="838"/>
      <c r="H867" s="838"/>
      <c r="I867" s="838"/>
      <c r="J867" s="838"/>
      <c r="K867" s="838"/>
      <c r="L867" s="838"/>
      <c r="M867" s="838"/>
      <c r="N867" s="838"/>
      <c r="O867" s="838"/>
      <c r="P867" s="838"/>
      <c r="Q867" s="838"/>
      <c r="R867" s="838"/>
      <c r="S867" s="838"/>
      <c r="T867" s="838"/>
      <c r="U867" s="839"/>
      <c r="V867" s="144">
        <f t="shared" si="197"/>
        <v>0</v>
      </c>
      <c r="W867" s="521"/>
    </row>
    <row r="868" spans="1:23" s="159" customFormat="1" ht="9.75" customHeight="1">
      <c r="A868" s="794">
        <v>150</v>
      </c>
      <c r="B868" s="654" t="s">
        <v>798</v>
      </c>
      <c r="C868" s="609" t="s">
        <v>1192</v>
      </c>
      <c r="D868" s="609" t="s">
        <v>111</v>
      </c>
      <c r="E868" s="609" t="s">
        <v>219</v>
      </c>
      <c r="F868" s="794"/>
      <c r="G868" s="609" t="s">
        <v>88</v>
      </c>
      <c r="H868" s="610">
        <v>2</v>
      </c>
      <c r="I868" s="610">
        <v>2</v>
      </c>
      <c r="J868" s="611">
        <v>636.20000000000005</v>
      </c>
      <c r="K868" s="611">
        <v>622.20000000000005</v>
      </c>
      <c r="L868" s="611">
        <v>156</v>
      </c>
      <c r="M868" s="609">
        <v>21</v>
      </c>
      <c r="N868" s="797">
        <f>'Приложение 2'!E870</f>
        <v>1781934</v>
      </c>
      <c r="O868" s="797">
        <v>0</v>
      </c>
      <c r="P868" s="797">
        <v>0</v>
      </c>
      <c r="Q868" s="797">
        <v>0</v>
      </c>
      <c r="R868" s="797">
        <f t="shared" ref="R868:R872" si="207">N868</f>
        <v>1781934</v>
      </c>
      <c r="S868" s="797">
        <f t="shared" ref="S868:S872" si="208">N868/K868</f>
        <v>2863.9247830279651</v>
      </c>
      <c r="T868" s="797">
        <v>4503.95</v>
      </c>
      <c r="U868" s="132" t="s">
        <v>590</v>
      </c>
      <c r="V868" s="144">
        <f t="shared" si="197"/>
        <v>1640.0252169720347</v>
      </c>
      <c r="W868" s="521"/>
    </row>
    <row r="869" spans="1:23" s="159" customFormat="1" ht="9.75" customHeight="1">
      <c r="A869" s="794">
        <v>151</v>
      </c>
      <c r="B869" s="654" t="s">
        <v>799</v>
      </c>
      <c r="C869" s="609" t="s">
        <v>1192</v>
      </c>
      <c r="D869" s="609" t="s">
        <v>111</v>
      </c>
      <c r="E869" s="609" t="s">
        <v>89</v>
      </c>
      <c r="F869" s="794"/>
      <c r="G869" s="609" t="s">
        <v>88</v>
      </c>
      <c r="H869" s="610">
        <v>2</v>
      </c>
      <c r="I869" s="610">
        <v>2</v>
      </c>
      <c r="J869" s="611">
        <v>646.1</v>
      </c>
      <c r="K869" s="611">
        <v>610.79999999999995</v>
      </c>
      <c r="L869" s="611">
        <v>542</v>
      </c>
      <c r="M869" s="609">
        <v>29</v>
      </c>
      <c r="N869" s="797">
        <f>'Приложение 2'!E871</f>
        <v>336012.6</v>
      </c>
      <c r="O869" s="797">
        <v>0</v>
      </c>
      <c r="P869" s="797">
        <v>0</v>
      </c>
      <c r="Q869" s="797">
        <v>0</v>
      </c>
      <c r="R869" s="797">
        <f t="shared" si="207"/>
        <v>336012.6</v>
      </c>
      <c r="S869" s="797">
        <f t="shared" si="208"/>
        <v>550.11886051080546</v>
      </c>
      <c r="T869" s="797">
        <v>4503.95</v>
      </c>
      <c r="U869" s="132" t="s">
        <v>590</v>
      </c>
      <c r="V869" s="144">
        <f t="shared" si="197"/>
        <v>3953.8311394891944</v>
      </c>
      <c r="W869" s="521"/>
    </row>
    <row r="870" spans="1:23" s="159" customFormat="1" ht="9.75" customHeight="1">
      <c r="A870" s="794">
        <v>152</v>
      </c>
      <c r="B870" s="654" t="s">
        <v>800</v>
      </c>
      <c r="C870" s="609" t="s">
        <v>1192</v>
      </c>
      <c r="D870" s="609" t="s">
        <v>111</v>
      </c>
      <c r="E870" s="609" t="s">
        <v>609</v>
      </c>
      <c r="F870" s="794"/>
      <c r="G870" s="609" t="s">
        <v>88</v>
      </c>
      <c r="H870" s="610">
        <v>2</v>
      </c>
      <c r="I870" s="610">
        <v>1</v>
      </c>
      <c r="J870" s="611">
        <v>914.3</v>
      </c>
      <c r="K870" s="611">
        <v>635.4</v>
      </c>
      <c r="L870" s="611">
        <v>635.4</v>
      </c>
      <c r="M870" s="609">
        <v>52</v>
      </c>
      <c r="N870" s="797">
        <f>'Приложение 2'!E872</f>
        <v>1969506</v>
      </c>
      <c r="O870" s="797">
        <v>0</v>
      </c>
      <c r="P870" s="797">
        <v>0</v>
      </c>
      <c r="Q870" s="797">
        <v>0</v>
      </c>
      <c r="R870" s="797">
        <f t="shared" si="207"/>
        <v>1969506</v>
      </c>
      <c r="S870" s="797">
        <f t="shared" si="208"/>
        <v>3099.6317280453259</v>
      </c>
      <c r="T870" s="797">
        <v>4503.95</v>
      </c>
      <c r="U870" s="132" t="s">
        <v>590</v>
      </c>
      <c r="V870" s="144">
        <f t="shared" si="197"/>
        <v>1404.3182719546739</v>
      </c>
      <c r="W870" s="521"/>
    </row>
    <row r="871" spans="1:23" s="159" customFormat="1" ht="9.75" customHeight="1">
      <c r="A871" s="794">
        <v>153</v>
      </c>
      <c r="B871" s="654" t="s">
        <v>801</v>
      </c>
      <c r="C871" s="609" t="s">
        <v>1192</v>
      </c>
      <c r="D871" s="609" t="s">
        <v>111</v>
      </c>
      <c r="E871" s="609" t="s">
        <v>619</v>
      </c>
      <c r="F871" s="794"/>
      <c r="G871" s="609" t="s">
        <v>252</v>
      </c>
      <c r="H871" s="610">
        <v>3</v>
      </c>
      <c r="I871" s="610">
        <v>2</v>
      </c>
      <c r="J871" s="611">
        <v>1080</v>
      </c>
      <c r="K871" s="611">
        <v>623.5</v>
      </c>
      <c r="L871" s="611">
        <v>623.5</v>
      </c>
      <c r="M871" s="609">
        <v>20</v>
      </c>
      <c r="N871" s="797">
        <f>'Приложение 2'!E873</f>
        <v>2108568</v>
      </c>
      <c r="O871" s="797">
        <v>0</v>
      </c>
      <c r="P871" s="797">
        <v>0</v>
      </c>
      <c r="Q871" s="797">
        <v>0</v>
      </c>
      <c r="R871" s="797">
        <f t="shared" si="207"/>
        <v>2108568</v>
      </c>
      <c r="S871" s="797">
        <f t="shared" si="208"/>
        <v>3381.8251804330393</v>
      </c>
      <c r="T871" s="797">
        <v>4503.95</v>
      </c>
      <c r="U871" s="132" t="s">
        <v>590</v>
      </c>
      <c r="V871" s="144">
        <f t="shared" si="197"/>
        <v>1122.1248195669605</v>
      </c>
      <c r="W871" s="521"/>
    </row>
    <row r="872" spans="1:23" s="159" customFormat="1" ht="9.75" customHeight="1">
      <c r="A872" s="794">
        <v>154</v>
      </c>
      <c r="B872" s="654" t="s">
        <v>802</v>
      </c>
      <c r="C872" s="609" t="s">
        <v>1192</v>
      </c>
      <c r="D872" s="609" t="s">
        <v>111</v>
      </c>
      <c r="E872" s="609" t="s">
        <v>803</v>
      </c>
      <c r="F872" s="794"/>
      <c r="G872" s="609" t="s">
        <v>88</v>
      </c>
      <c r="H872" s="610">
        <v>2</v>
      </c>
      <c r="I872" s="610">
        <v>1</v>
      </c>
      <c r="J872" s="611">
        <v>578.29999999999995</v>
      </c>
      <c r="K872" s="611">
        <v>530.1</v>
      </c>
      <c r="L872" s="611">
        <v>324</v>
      </c>
      <c r="M872" s="609">
        <v>15</v>
      </c>
      <c r="N872" s="797">
        <f>'Приложение 2'!E874</f>
        <v>1465002</v>
      </c>
      <c r="O872" s="797">
        <v>0</v>
      </c>
      <c r="P872" s="797">
        <v>0</v>
      </c>
      <c r="Q872" s="797">
        <v>0</v>
      </c>
      <c r="R872" s="797">
        <f t="shared" si="207"/>
        <v>1465002</v>
      </c>
      <c r="S872" s="797">
        <f t="shared" si="208"/>
        <v>2763.6332767402378</v>
      </c>
      <c r="T872" s="797">
        <v>4503.95</v>
      </c>
      <c r="U872" s="132" t="s">
        <v>590</v>
      </c>
      <c r="V872" s="144">
        <f t="shared" si="197"/>
        <v>1740.3167232597621</v>
      </c>
      <c r="W872" s="521"/>
    </row>
    <row r="873" spans="1:23" s="159" customFormat="1" ht="21" customHeight="1">
      <c r="A873" s="829" t="s">
        <v>250</v>
      </c>
      <c r="B873" s="830"/>
      <c r="C873" s="163"/>
      <c r="D873" s="163"/>
      <c r="E873" s="799" t="s">
        <v>391</v>
      </c>
      <c r="F873" s="799" t="s">
        <v>391</v>
      </c>
      <c r="G873" s="799" t="s">
        <v>391</v>
      </c>
      <c r="H873" s="799" t="s">
        <v>391</v>
      </c>
      <c r="I873" s="799" t="s">
        <v>391</v>
      </c>
      <c r="J873" s="164">
        <f t="shared" ref="J873:R873" si="209">SUM(J868:J872)</f>
        <v>3854.9000000000005</v>
      </c>
      <c r="K873" s="164">
        <f t="shared" si="209"/>
        <v>3022</v>
      </c>
      <c r="L873" s="164">
        <f t="shared" si="209"/>
        <v>2280.9</v>
      </c>
      <c r="M873" s="609">
        <f t="shared" si="209"/>
        <v>137</v>
      </c>
      <c r="N873" s="164">
        <f t="shared" si="209"/>
        <v>7661022.5999999996</v>
      </c>
      <c r="O873" s="164">
        <f t="shared" si="209"/>
        <v>0</v>
      </c>
      <c r="P873" s="164">
        <f t="shared" si="209"/>
        <v>0</v>
      </c>
      <c r="Q873" s="164">
        <f t="shared" si="209"/>
        <v>0</v>
      </c>
      <c r="R873" s="164">
        <f t="shared" si="209"/>
        <v>7661022.5999999996</v>
      </c>
      <c r="S873" s="797">
        <f>N873/K873</f>
        <v>2535.0835870284577</v>
      </c>
      <c r="T873" s="164"/>
      <c r="U873" s="165"/>
      <c r="V873" s="144">
        <f t="shared" si="197"/>
        <v>-2535.0835870284577</v>
      </c>
      <c r="W873" s="521"/>
    </row>
    <row r="874" spans="1:23" s="159" customFormat="1" ht="9" customHeight="1">
      <c r="A874" s="833" t="s">
        <v>259</v>
      </c>
      <c r="B874" s="834"/>
      <c r="C874" s="834"/>
      <c r="D874" s="834"/>
      <c r="E874" s="834"/>
      <c r="F874" s="834"/>
      <c r="G874" s="834"/>
      <c r="H874" s="834"/>
      <c r="I874" s="834"/>
      <c r="J874" s="834"/>
      <c r="K874" s="834"/>
      <c r="L874" s="834"/>
      <c r="M874" s="834"/>
      <c r="N874" s="834"/>
      <c r="O874" s="834"/>
      <c r="P874" s="834"/>
      <c r="Q874" s="834"/>
      <c r="R874" s="834"/>
      <c r="S874" s="834"/>
      <c r="T874" s="834"/>
      <c r="U874" s="835"/>
      <c r="V874" s="144">
        <f t="shared" si="197"/>
        <v>0</v>
      </c>
      <c r="W874" s="521"/>
    </row>
    <row r="875" spans="1:23" s="159" customFormat="1" ht="9" customHeight="1">
      <c r="A875" s="166">
        <v>155</v>
      </c>
      <c r="B875" s="608" t="s">
        <v>807</v>
      </c>
      <c r="C875" s="609" t="s">
        <v>1192</v>
      </c>
      <c r="D875" s="609" t="s">
        <v>111</v>
      </c>
      <c r="E875" s="609" t="s">
        <v>219</v>
      </c>
      <c r="F875" s="166"/>
      <c r="G875" s="609" t="s">
        <v>88</v>
      </c>
      <c r="H875" s="610">
        <v>2</v>
      </c>
      <c r="I875" s="610">
        <v>2</v>
      </c>
      <c r="J875" s="611">
        <v>782.35</v>
      </c>
      <c r="K875" s="611">
        <v>702.8</v>
      </c>
      <c r="L875" s="611">
        <v>442</v>
      </c>
      <c r="M875" s="610">
        <v>26</v>
      </c>
      <c r="N875" s="797">
        <f>'Приложение 2'!E877</f>
        <v>2076616.08</v>
      </c>
      <c r="O875" s="797">
        <v>0</v>
      </c>
      <c r="P875" s="797">
        <v>0</v>
      </c>
      <c r="Q875" s="797">
        <v>0</v>
      </c>
      <c r="R875" s="168">
        <f t="shared" ref="R875:R876" si="210">N875</f>
        <v>2076616.08</v>
      </c>
      <c r="S875" s="797">
        <f>N875/K875</f>
        <v>2954.775298804781</v>
      </c>
      <c r="T875" s="797">
        <v>4503.95</v>
      </c>
      <c r="U875" s="132" t="s">
        <v>590</v>
      </c>
      <c r="V875" s="144">
        <f t="shared" si="197"/>
        <v>1549.1747011952189</v>
      </c>
      <c r="W875" s="521"/>
    </row>
    <row r="876" spans="1:23" s="159" customFormat="1" ht="9" customHeight="1">
      <c r="A876" s="166">
        <v>156</v>
      </c>
      <c r="B876" s="608" t="s">
        <v>808</v>
      </c>
      <c r="C876" s="609" t="s">
        <v>1192</v>
      </c>
      <c r="D876" s="609" t="s">
        <v>111</v>
      </c>
      <c r="E876" s="609" t="s">
        <v>610</v>
      </c>
      <c r="F876" s="166"/>
      <c r="G876" s="609" t="s">
        <v>88</v>
      </c>
      <c r="H876" s="610">
        <v>4</v>
      </c>
      <c r="I876" s="610">
        <v>2</v>
      </c>
      <c r="J876" s="611">
        <v>1950.1</v>
      </c>
      <c r="K876" s="611">
        <v>1798.2</v>
      </c>
      <c r="L876" s="611">
        <v>333</v>
      </c>
      <c r="M876" s="610">
        <v>125</v>
      </c>
      <c r="N876" s="797">
        <f>'Приложение 2'!E878</f>
        <v>3104640</v>
      </c>
      <c r="O876" s="797">
        <v>0</v>
      </c>
      <c r="P876" s="797">
        <v>0</v>
      </c>
      <c r="Q876" s="797">
        <v>0</v>
      </c>
      <c r="R876" s="168">
        <f t="shared" si="210"/>
        <v>3104640</v>
      </c>
      <c r="S876" s="797">
        <f>N876/K876</f>
        <v>1726.5265265265266</v>
      </c>
      <c r="T876" s="797">
        <v>4503.95</v>
      </c>
      <c r="U876" s="132" t="s">
        <v>590</v>
      </c>
      <c r="V876" s="144">
        <f t="shared" si="197"/>
        <v>2777.4234734734732</v>
      </c>
      <c r="W876" s="521"/>
    </row>
    <row r="877" spans="1:23" s="159" customFormat="1" ht="20.25" customHeight="1">
      <c r="A877" s="831" t="s">
        <v>261</v>
      </c>
      <c r="B877" s="832"/>
      <c r="C877" s="787"/>
      <c r="D877" s="787"/>
      <c r="E877" s="794" t="s">
        <v>391</v>
      </c>
      <c r="F877" s="794" t="s">
        <v>391</v>
      </c>
      <c r="G877" s="794" t="s">
        <v>391</v>
      </c>
      <c r="H877" s="794" t="s">
        <v>391</v>
      </c>
      <c r="I877" s="794" t="s">
        <v>391</v>
      </c>
      <c r="J877" s="167">
        <f t="shared" ref="J877:R877" si="211">SUM(J875:J876)</f>
        <v>2732.45</v>
      </c>
      <c r="K877" s="167">
        <f t="shared" si="211"/>
        <v>2501</v>
      </c>
      <c r="L877" s="167">
        <f t="shared" si="211"/>
        <v>775</v>
      </c>
      <c r="M877" s="130">
        <f t="shared" si="211"/>
        <v>151</v>
      </c>
      <c r="N877" s="167">
        <f t="shared" si="211"/>
        <v>5181256.08</v>
      </c>
      <c r="O877" s="167">
        <f t="shared" si="211"/>
        <v>0</v>
      </c>
      <c r="P877" s="167">
        <f t="shared" si="211"/>
        <v>0</v>
      </c>
      <c r="Q877" s="167">
        <f t="shared" si="211"/>
        <v>0</v>
      </c>
      <c r="R877" s="167">
        <f t="shared" si="211"/>
        <v>5181256.08</v>
      </c>
      <c r="S877" s="797">
        <f>N877/K877</f>
        <v>2071.6737624950019</v>
      </c>
      <c r="T877" s="166"/>
      <c r="U877" s="168"/>
      <c r="V877" s="144">
        <f t="shared" si="197"/>
        <v>-2071.6737624950019</v>
      </c>
      <c r="W877" s="521"/>
    </row>
    <row r="878" spans="1:23" ht="12" customHeight="1">
      <c r="A878" s="821" t="s">
        <v>395</v>
      </c>
      <c r="B878" s="821"/>
      <c r="C878" s="821"/>
      <c r="D878" s="821"/>
      <c r="E878" s="821"/>
      <c r="F878" s="821"/>
      <c r="G878" s="821"/>
      <c r="H878" s="821"/>
      <c r="I878" s="821"/>
      <c r="J878" s="821"/>
      <c r="K878" s="821"/>
      <c r="L878" s="821"/>
      <c r="M878" s="821"/>
      <c r="N878" s="821"/>
      <c r="O878" s="821"/>
      <c r="P878" s="821"/>
      <c r="Q878" s="821"/>
      <c r="R878" s="821"/>
      <c r="S878" s="821"/>
      <c r="T878" s="821"/>
      <c r="U878" s="821"/>
      <c r="V878" s="144">
        <f t="shared" si="197"/>
        <v>0</v>
      </c>
      <c r="W878" s="119"/>
    </row>
    <row r="879" spans="1:23" ht="9" customHeight="1">
      <c r="A879" s="794">
        <v>157</v>
      </c>
      <c r="B879" s="785" t="s">
        <v>829</v>
      </c>
      <c r="C879" s="794" t="s">
        <v>1192</v>
      </c>
      <c r="D879" s="794" t="s">
        <v>110</v>
      </c>
      <c r="E879" s="794" t="s">
        <v>841</v>
      </c>
      <c r="F879" s="794"/>
      <c r="G879" s="794" t="s">
        <v>90</v>
      </c>
      <c r="H879" s="130">
        <v>3</v>
      </c>
      <c r="I879" s="130">
        <v>3</v>
      </c>
      <c r="J879" s="797">
        <v>1058.2</v>
      </c>
      <c r="K879" s="797">
        <v>961.6</v>
      </c>
      <c r="L879" s="797">
        <v>810.98</v>
      </c>
      <c r="M879" s="130">
        <v>37</v>
      </c>
      <c r="N879" s="797">
        <f>'Приложение 2'!E881</f>
        <v>1500300</v>
      </c>
      <c r="O879" s="797">
        <v>0</v>
      </c>
      <c r="P879" s="797">
        <v>0</v>
      </c>
      <c r="Q879" s="797">
        <v>0</v>
      </c>
      <c r="R879" s="797">
        <f t="shared" ref="R879:R891" si="212">N879-Q879</f>
        <v>1500300</v>
      </c>
      <c r="S879" s="797">
        <f t="shared" ref="S879:S891" si="213">N879/K879</f>
        <v>1560.2121464226288</v>
      </c>
      <c r="T879" s="797">
        <v>4180</v>
      </c>
      <c r="U879" s="132" t="s">
        <v>590</v>
      </c>
      <c r="V879" s="144">
        <f t="shared" si="197"/>
        <v>2619.7878535773712</v>
      </c>
      <c r="W879" s="119"/>
    </row>
    <row r="880" spans="1:23" ht="9" customHeight="1">
      <c r="A880" s="794">
        <v>158</v>
      </c>
      <c r="B880" s="785" t="s">
        <v>830</v>
      </c>
      <c r="C880" s="794" t="s">
        <v>1192</v>
      </c>
      <c r="D880" s="794" t="s">
        <v>110</v>
      </c>
      <c r="E880" s="794" t="s">
        <v>842</v>
      </c>
      <c r="F880" s="794"/>
      <c r="G880" s="794" t="s">
        <v>90</v>
      </c>
      <c r="H880" s="130">
        <v>3</v>
      </c>
      <c r="I880" s="130">
        <v>2</v>
      </c>
      <c r="J880" s="797">
        <v>989.7</v>
      </c>
      <c r="K880" s="797">
        <v>964.1</v>
      </c>
      <c r="L880" s="797">
        <v>964.1</v>
      </c>
      <c r="M880" s="130">
        <v>55</v>
      </c>
      <c r="N880" s="797">
        <f>'Приложение 2'!E882</f>
        <v>1500300</v>
      </c>
      <c r="O880" s="797">
        <v>0</v>
      </c>
      <c r="P880" s="797">
        <v>0</v>
      </c>
      <c r="Q880" s="797">
        <v>0</v>
      </c>
      <c r="R880" s="797">
        <f t="shared" si="212"/>
        <v>1500300</v>
      </c>
      <c r="S880" s="797">
        <f t="shared" si="213"/>
        <v>1556.1663727829064</v>
      </c>
      <c r="T880" s="797">
        <v>4180</v>
      </c>
      <c r="U880" s="132" t="s">
        <v>590</v>
      </c>
      <c r="V880" s="144">
        <f t="shared" si="197"/>
        <v>2623.8336272170936</v>
      </c>
      <c r="W880" s="119"/>
    </row>
    <row r="881" spans="1:23" ht="9" customHeight="1">
      <c r="A881" s="794">
        <v>159</v>
      </c>
      <c r="B881" s="785" t="s">
        <v>831</v>
      </c>
      <c r="C881" s="794" t="s">
        <v>1192</v>
      </c>
      <c r="D881" s="794" t="s">
        <v>110</v>
      </c>
      <c r="E881" s="794" t="s">
        <v>788</v>
      </c>
      <c r="F881" s="794"/>
      <c r="G881" s="794" t="s">
        <v>88</v>
      </c>
      <c r="H881" s="130">
        <v>3</v>
      </c>
      <c r="I881" s="130">
        <v>3</v>
      </c>
      <c r="J881" s="797">
        <v>1058.2</v>
      </c>
      <c r="K881" s="797">
        <v>961.6</v>
      </c>
      <c r="L881" s="797">
        <v>838.93</v>
      </c>
      <c r="M881" s="130">
        <v>52</v>
      </c>
      <c r="N881" s="797">
        <f>'Приложение 2'!E883</f>
        <v>1500300</v>
      </c>
      <c r="O881" s="797">
        <v>0</v>
      </c>
      <c r="P881" s="797">
        <v>0</v>
      </c>
      <c r="Q881" s="797">
        <v>0</v>
      </c>
      <c r="R881" s="797">
        <f t="shared" si="212"/>
        <v>1500300</v>
      </c>
      <c r="S881" s="797">
        <f t="shared" si="213"/>
        <v>1560.2121464226288</v>
      </c>
      <c r="T881" s="797">
        <v>4180</v>
      </c>
      <c r="U881" s="132" t="s">
        <v>590</v>
      </c>
      <c r="V881" s="144">
        <f t="shared" si="197"/>
        <v>2619.7878535773712</v>
      </c>
      <c r="W881" s="119"/>
    </row>
    <row r="882" spans="1:23" ht="9" customHeight="1">
      <c r="A882" s="794">
        <v>160</v>
      </c>
      <c r="B882" s="785" t="s">
        <v>832</v>
      </c>
      <c r="C882" s="794" t="s">
        <v>1192</v>
      </c>
      <c r="D882" s="794" t="s">
        <v>111</v>
      </c>
      <c r="E882" s="794" t="s">
        <v>613</v>
      </c>
      <c r="F882" s="794"/>
      <c r="G882" s="794" t="s">
        <v>88</v>
      </c>
      <c r="H882" s="130">
        <v>4</v>
      </c>
      <c r="I882" s="130">
        <v>4</v>
      </c>
      <c r="J882" s="797">
        <v>2763.4</v>
      </c>
      <c r="K882" s="797">
        <v>1676.6</v>
      </c>
      <c r="L882" s="797">
        <v>1634.1</v>
      </c>
      <c r="M882" s="130">
        <v>124</v>
      </c>
      <c r="N882" s="797">
        <f>'Приложение 2'!E884</f>
        <v>3596208</v>
      </c>
      <c r="O882" s="797">
        <v>0</v>
      </c>
      <c r="P882" s="797">
        <v>0</v>
      </c>
      <c r="Q882" s="797">
        <v>0</v>
      </c>
      <c r="R882" s="797">
        <f t="shared" si="212"/>
        <v>3596208</v>
      </c>
      <c r="S882" s="797">
        <f t="shared" si="213"/>
        <v>2144.9409519265182</v>
      </c>
      <c r="T882" s="797">
        <v>4503.95</v>
      </c>
      <c r="U882" s="132" t="s">
        <v>590</v>
      </c>
      <c r="V882" s="144">
        <f t="shared" si="197"/>
        <v>2359.0090480734816</v>
      </c>
      <c r="W882" s="119"/>
    </row>
    <row r="883" spans="1:23" ht="9" customHeight="1">
      <c r="A883" s="794">
        <v>161</v>
      </c>
      <c r="B883" s="785" t="s">
        <v>833</v>
      </c>
      <c r="C883" s="794" t="s">
        <v>1192</v>
      </c>
      <c r="D883" s="794" t="s">
        <v>110</v>
      </c>
      <c r="E883" s="794" t="s">
        <v>746</v>
      </c>
      <c r="F883" s="794"/>
      <c r="G883" s="794" t="s">
        <v>88</v>
      </c>
      <c r="H883" s="130">
        <v>3</v>
      </c>
      <c r="I883" s="130">
        <v>2</v>
      </c>
      <c r="J883" s="797">
        <v>1441.2</v>
      </c>
      <c r="K883" s="797">
        <v>1295.5999999999999</v>
      </c>
      <c r="L883" s="797">
        <v>1126.8</v>
      </c>
      <c r="M883" s="130">
        <v>68</v>
      </c>
      <c r="N883" s="797">
        <f>'Приложение 2'!E885</f>
        <v>2572514.4</v>
      </c>
      <c r="O883" s="797">
        <v>0</v>
      </c>
      <c r="P883" s="797">
        <v>0</v>
      </c>
      <c r="Q883" s="797">
        <v>0</v>
      </c>
      <c r="R883" s="797">
        <f t="shared" si="212"/>
        <v>2572514.4</v>
      </c>
      <c r="S883" s="797">
        <f t="shared" si="213"/>
        <v>1985.5776474220438</v>
      </c>
      <c r="T883" s="797">
        <v>4180</v>
      </c>
      <c r="U883" s="132" t="s">
        <v>590</v>
      </c>
      <c r="V883" s="144">
        <f t="shared" si="197"/>
        <v>2194.4223525779562</v>
      </c>
      <c r="W883" s="119"/>
    </row>
    <row r="884" spans="1:23" ht="9" customHeight="1">
      <c r="A884" s="794">
        <v>162</v>
      </c>
      <c r="B884" s="785" t="s">
        <v>834</v>
      </c>
      <c r="C884" s="794" t="s">
        <v>1192</v>
      </c>
      <c r="D884" s="794" t="s">
        <v>111</v>
      </c>
      <c r="E884" s="794" t="s">
        <v>617</v>
      </c>
      <c r="F884" s="794"/>
      <c r="G884" s="794" t="s">
        <v>88</v>
      </c>
      <c r="H884" s="130">
        <v>3</v>
      </c>
      <c r="I884" s="130">
        <v>3</v>
      </c>
      <c r="J884" s="797">
        <v>1710</v>
      </c>
      <c r="K884" s="797">
        <v>1545</v>
      </c>
      <c r="L884" s="797">
        <v>1357.96</v>
      </c>
      <c r="M884" s="794">
        <v>75</v>
      </c>
      <c r="N884" s="797">
        <f>'Приложение 2'!E886</f>
        <v>3104640</v>
      </c>
      <c r="O884" s="797">
        <v>0</v>
      </c>
      <c r="P884" s="797">
        <v>0</v>
      </c>
      <c r="Q884" s="797">
        <v>0</v>
      </c>
      <c r="R884" s="797">
        <f t="shared" si="212"/>
        <v>3104640</v>
      </c>
      <c r="S884" s="797">
        <f t="shared" si="213"/>
        <v>2009.4757281553398</v>
      </c>
      <c r="T884" s="797">
        <v>4503.95</v>
      </c>
      <c r="U884" s="132" t="s">
        <v>590</v>
      </c>
      <c r="V884" s="144">
        <f t="shared" si="197"/>
        <v>2494.4742718446601</v>
      </c>
      <c r="W884" s="119"/>
    </row>
    <row r="885" spans="1:23" ht="9" customHeight="1">
      <c r="A885" s="794">
        <v>163</v>
      </c>
      <c r="B885" s="785" t="s">
        <v>835</v>
      </c>
      <c r="C885" s="794" t="s">
        <v>1192</v>
      </c>
      <c r="D885" s="794" t="s">
        <v>111</v>
      </c>
      <c r="E885" s="794" t="s">
        <v>617</v>
      </c>
      <c r="F885" s="794"/>
      <c r="G885" s="794" t="s">
        <v>88</v>
      </c>
      <c r="H885" s="130">
        <v>3</v>
      </c>
      <c r="I885" s="130">
        <v>3</v>
      </c>
      <c r="J885" s="797">
        <v>1711.6</v>
      </c>
      <c r="K885" s="797">
        <v>1546.6</v>
      </c>
      <c r="L885" s="797">
        <v>1345.68</v>
      </c>
      <c r="M885" s="794">
        <v>74</v>
      </c>
      <c r="N885" s="797">
        <f>'Приложение 2'!E887</f>
        <v>3104640</v>
      </c>
      <c r="O885" s="797">
        <v>0</v>
      </c>
      <c r="P885" s="797">
        <v>0</v>
      </c>
      <c r="Q885" s="797">
        <v>0</v>
      </c>
      <c r="R885" s="797">
        <f t="shared" si="212"/>
        <v>3104640</v>
      </c>
      <c r="S885" s="797">
        <f t="shared" si="213"/>
        <v>2007.3968705547654</v>
      </c>
      <c r="T885" s="797">
        <v>4503.95</v>
      </c>
      <c r="U885" s="132" t="s">
        <v>590</v>
      </c>
      <c r="V885" s="144">
        <f t="shared" si="197"/>
        <v>2496.5531294452344</v>
      </c>
      <c r="W885" s="119"/>
    </row>
    <row r="886" spans="1:23" ht="9" customHeight="1">
      <c r="A886" s="794">
        <v>164</v>
      </c>
      <c r="B886" s="785" t="s">
        <v>836</v>
      </c>
      <c r="C886" s="794" t="s">
        <v>1192</v>
      </c>
      <c r="D886" s="794" t="s">
        <v>111</v>
      </c>
      <c r="E886" s="794" t="s">
        <v>797</v>
      </c>
      <c r="F886" s="794"/>
      <c r="G886" s="794" t="s">
        <v>88</v>
      </c>
      <c r="H886" s="130">
        <v>1</v>
      </c>
      <c r="I886" s="130">
        <v>1</v>
      </c>
      <c r="J886" s="797">
        <v>223.1</v>
      </c>
      <c r="K886" s="797">
        <v>208.8</v>
      </c>
      <c r="L886" s="797">
        <v>208.8</v>
      </c>
      <c r="M886" s="130">
        <v>7</v>
      </c>
      <c r="N886" s="797">
        <f>'Приложение 2'!E888</f>
        <v>740586</v>
      </c>
      <c r="O886" s="797">
        <v>0</v>
      </c>
      <c r="P886" s="797">
        <v>0</v>
      </c>
      <c r="Q886" s="797">
        <v>0</v>
      </c>
      <c r="R886" s="797">
        <f t="shared" si="212"/>
        <v>740586</v>
      </c>
      <c r="S886" s="797">
        <f t="shared" si="213"/>
        <v>3546.867816091954</v>
      </c>
      <c r="T886" s="797">
        <v>4503.95</v>
      </c>
      <c r="U886" s="132" t="s">
        <v>590</v>
      </c>
      <c r="V886" s="144">
        <f t="shared" si="197"/>
        <v>957.08218390804586</v>
      </c>
      <c r="W886" s="119"/>
    </row>
    <row r="887" spans="1:23" ht="9" customHeight="1">
      <c r="A887" s="794">
        <v>165</v>
      </c>
      <c r="B887" s="785" t="s">
        <v>837</v>
      </c>
      <c r="C887" s="794" t="s">
        <v>1192</v>
      </c>
      <c r="D887" s="794" t="s">
        <v>110</v>
      </c>
      <c r="E887" s="794" t="s">
        <v>753</v>
      </c>
      <c r="F887" s="794"/>
      <c r="G887" s="794" t="s">
        <v>88</v>
      </c>
      <c r="H887" s="130">
        <v>3</v>
      </c>
      <c r="I887" s="130">
        <v>4</v>
      </c>
      <c r="J887" s="797">
        <v>3284.6</v>
      </c>
      <c r="K887" s="797">
        <v>2138.4</v>
      </c>
      <c r="L887" s="797">
        <v>2071.1999999999998</v>
      </c>
      <c r="M887" s="130">
        <v>110</v>
      </c>
      <c r="N887" s="797">
        <f>'Приложение 2'!E889</f>
        <v>3485030.2</v>
      </c>
      <c r="O887" s="797">
        <v>0</v>
      </c>
      <c r="P887" s="797">
        <v>0</v>
      </c>
      <c r="Q887" s="797">
        <v>0</v>
      </c>
      <c r="R887" s="797">
        <f t="shared" si="212"/>
        <v>3485030.2</v>
      </c>
      <c r="S887" s="797">
        <f t="shared" si="213"/>
        <v>1629.7372802095024</v>
      </c>
      <c r="T887" s="797">
        <v>4180</v>
      </c>
      <c r="U887" s="132" t="s">
        <v>590</v>
      </c>
      <c r="V887" s="144">
        <f t="shared" si="197"/>
        <v>2550.2627197904976</v>
      </c>
      <c r="W887" s="119"/>
    </row>
    <row r="888" spans="1:23" ht="9" customHeight="1">
      <c r="A888" s="794">
        <v>166</v>
      </c>
      <c r="B888" s="785" t="s">
        <v>838</v>
      </c>
      <c r="C888" s="794" t="s">
        <v>1192</v>
      </c>
      <c r="D888" s="794" t="s">
        <v>110</v>
      </c>
      <c r="E888" s="794" t="s">
        <v>608</v>
      </c>
      <c r="F888" s="794"/>
      <c r="G888" s="794" t="s">
        <v>90</v>
      </c>
      <c r="H888" s="130">
        <v>2</v>
      </c>
      <c r="I888" s="130">
        <v>1</v>
      </c>
      <c r="J888" s="797">
        <v>636.4</v>
      </c>
      <c r="K888" s="797">
        <v>400.2</v>
      </c>
      <c r="L888" s="797">
        <v>294.2</v>
      </c>
      <c r="M888" s="130">
        <v>26</v>
      </c>
      <c r="N888" s="797">
        <f>'Приложение 2'!E890</f>
        <v>733480</v>
      </c>
      <c r="O888" s="797">
        <v>0</v>
      </c>
      <c r="P888" s="797">
        <v>0</v>
      </c>
      <c r="Q888" s="797">
        <v>0</v>
      </c>
      <c r="R888" s="797">
        <f t="shared" si="212"/>
        <v>733480</v>
      </c>
      <c r="S888" s="797">
        <f t="shared" si="213"/>
        <v>1832.7836081959022</v>
      </c>
      <c r="T888" s="797">
        <v>4180</v>
      </c>
      <c r="U888" s="132" t="s">
        <v>590</v>
      </c>
      <c r="V888" s="144">
        <f t="shared" si="197"/>
        <v>2347.2163918040978</v>
      </c>
      <c r="W888" s="119"/>
    </row>
    <row r="889" spans="1:23" ht="9" customHeight="1">
      <c r="A889" s="794">
        <v>167</v>
      </c>
      <c r="B889" s="785" t="s">
        <v>824</v>
      </c>
      <c r="C889" s="794" t="s">
        <v>1192</v>
      </c>
      <c r="D889" s="794" t="s">
        <v>110</v>
      </c>
      <c r="E889" s="794" t="s">
        <v>601</v>
      </c>
      <c r="F889" s="794"/>
      <c r="G889" s="794" t="s">
        <v>88</v>
      </c>
      <c r="H889" s="130">
        <v>2</v>
      </c>
      <c r="I889" s="130">
        <v>1</v>
      </c>
      <c r="J889" s="797">
        <v>637.9</v>
      </c>
      <c r="K889" s="797">
        <v>375.9</v>
      </c>
      <c r="L889" s="797">
        <v>288.8</v>
      </c>
      <c r="M889" s="794">
        <v>22</v>
      </c>
      <c r="N889" s="797">
        <f>'Приложение 2'!E891</f>
        <v>988697.7</v>
      </c>
      <c r="O889" s="797">
        <v>0</v>
      </c>
      <c r="P889" s="797">
        <v>0</v>
      </c>
      <c r="Q889" s="797">
        <v>0</v>
      </c>
      <c r="R889" s="797">
        <f t="shared" si="212"/>
        <v>988697.7</v>
      </c>
      <c r="S889" s="797">
        <f t="shared" si="213"/>
        <v>2630.2146847565841</v>
      </c>
      <c r="T889" s="797">
        <v>4180</v>
      </c>
      <c r="U889" s="132" t="s">
        <v>590</v>
      </c>
      <c r="V889" s="144">
        <f t="shared" si="197"/>
        <v>1549.7853152434159</v>
      </c>
      <c r="W889" s="119"/>
    </row>
    <row r="890" spans="1:23" ht="9" customHeight="1">
      <c r="A890" s="794">
        <v>168</v>
      </c>
      <c r="B890" s="785" t="s">
        <v>839</v>
      </c>
      <c r="C890" s="794" t="s">
        <v>1192</v>
      </c>
      <c r="D890" s="794" t="s">
        <v>110</v>
      </c>
      <c r="E890" s="794" t="s">
        <v>592</v>
      </c>
      <c r="F890" s="794"/>
      <c r="G890" s="794" t="s">
        <v>90</v>
      </c>
      <c r="H890" s="130">
        <v>2</v>
      </c>
      <c r="I890" s="130">
        <v>2</v>
      </c>
      <c r="J890" s="797">
        <v>1257.5999999999999</v>
      </c>
      <c r="K890" s="797">
        <v>732.9</v>
      </c>
      <c r="L890" s="797">
        <v>595.9</v>
      </c>
      <c r="M890" s="130">
        <v>37</v>
      </c>
      <c r="N890" s="797">
        <f>'Приложение 2'!E892</f>
        <v>1646996</v>
      </c>
      <c r="O890" s="797">
        <v>0</v>
      </c>
      <c r="P890" s="797">
        <v>0</v>
      </c>
      <c r="Q890" s="797">
        <v>0</v>
      </c>
      <c r="R890" s="797">
        <f t="shared" si="212"/>
        <v>1646996</v>
      </c>
      <c r="S890" s="797">
        <f t="shared" si="213"/>
        <v>2247.2315459134943</v>
      </c>
      <c r="T890" s="797">
        <v>4180</v>
      </c>
      <c r="U890" s="132" t="s">
        <v>590</v>
      </c>
      <c r="V890" s="144">
        <f t="shared" si="197"/>
        <v>1932.7684540865057</v>
      </c>
      <c r="W890" s="119"/>
    </row>
    <row r="891" spans="1:23" ht="9" customHeight="1">
      <c r="A891" s="794">
        <v>169</v>
      </c>
      <c r="B891" s="785" t="s">
        <v>840</v>
      </c>
      <c r="C891" s="794" t="s">
        <v>1198</v>
      </c>
      <c r="D891" s="794" t="s">
        <v>111</v>
      </c>
      <c r="E891" s="794" t="s">
        <v>613</v>
      </c>
      <c r="F891" s="794"/>
      <c r="G891" s="794" t="s">
        <v>88</v>
      </c>
      <c r="H891" s="130">
        <v>2</v>
      </c>
      <c r="I891" s="130">
        <v>2</v>
      </c>
      <c r="J891" s="797">
        <v>538</v>
      </c>
      <c r="K891" s="797">
        <v>476.9</v>
      </c>
      <c r="L891" s="797">
        <v>302.60000000000002</v>
      </c>
      <c r="M891" s="130">
        <v>33</v>
      </c>
      <c r="N891" s="797">
        <f>'Приложение 2'!E893</f>
        <v>1252320.33</v>
      </c>
      <c r="O891" s="797">
        <v>0</v>
      </c>
      <c r="P891" s="797">
        <v>0</v>
      </c>
      <c r="Q891" s="797">
        <v>0</v>
      </c>
      <c r="R891" s="797">
        <f t="shared" si="212"/>
        <v>1252320.33</v>
      </c>
      <c r="S891" s="797">
        <f t="shared" si="213"/>
        <v>2625.9600125812544</v>
      </c>
      <c r="T891" s="797">
        <v>5307.56</v>
      </c>
      <c r="U891" s="132" t="s">
        <v>590</v>
      </c>
      <c r="V891" s="144">
        <f t="shared" si="197"/>
        <v>2681.599987418746</v>
      </c>
      <c r="W891" s="119"/>
    </row>
    <row r="892" spans="1:23" ht="22.5" customHeight="1">
      <c r="A892" s="822" t="s">
        <v>271</v>
      </c>
      <c r="B892" s="822"/>
      <c r="C892" s="785"/>
      <c r="D892" s="785"/>
      <c r="E892" s="141" t="s">
        <v>391</v>
      </c>
      <c r="F892" s="141" t="s">
        <v>391</v>
      </c>
      <c r="G892" s="141" t="s">
        <v>391</v>
      </c>
      <c r="H892" s="141" t="s">
        <v>391</v>
      </c>
      <c r="I892" s="141" t="s">
        <v>391</v>
      </c>
      <c r="J892" s="797">
        <f t="shared" ref="J892:R892" si="214">SUM(J879:J891)</f>
        <v>17309.900000000001</v>
      </c>
      <c r="K892" s="797">
        <f t="shared" si="214"/>
        <v>13284.199999999999</v>
      </c>
      <c r="L892" s="797">
        <f t="shared" si="214"/>
        <v>11840.05</v>
      </c>
      <c r="M892" s="130">
        <f t="shared" si="214"/>
        <v>720</v>
      </c>
      <c r="N892" s="797">
        <f t="shared" si="214"/>
        <v>25726012.629999995</v>
      </c>
      <c r="O892" s="797">
        <f t="shared" si="214"/>
        <v>0</v>
      </c>
      <c r="P892" s="797">
        <f t="shared" si="214"/>
        <v>0</v>
      </c>
      <c r="Q892" s="797">
        <f t="shared" si="214"/>
        <v>0</v>
      </c>
      <c r="R892" s="797">
        <f t="shared" si="214"/>
        <v>25726012.629999995</v>
      </c>
      <c r="S892" s="797">
        <f>N892/K892</f>
        <v>1936.5872713449057</v>
      </c>
      <c r="T892" s="794"/>
      <c r="U892" s="132"/>
      <c r="V892" s="144">
        <f t="shared" si="197"/>
        <v>-1936.5872713449057</v>
      </c>
      <c r="W892" s="119"/>
    </row>
    <row r="893" spans="1:23" ht="12.75" customHeight="1">
      <c r="A893" s="833" t="s">
        <v>445</v>
      </c>
      <c r="B893" s="834"/>
      <c r="C893" s="834"/>
      <c r="D893" s="834"/>
      <c r="E893" s="834"/>
      <c r="F893" s="834"/>
      <c r="G893" s="834"/>
      <c r="H893" s="834"/>
      <c r="I893" s="834"/>
      <c r="J893" s="834"/>
      <c r="K893" s="834"/>
      <c r="L893" s="834"/>
      <c r="M893" s="834"/>
      <c r="N893" s="834"/>
      <c r="O893" s="834"/>
      <c r="P893" s="834"/>
      <c r="Q893" s="834"/>
      <c r="R893" s="834"/>
      <c r="S893" s="834"/>
      <c r="T893" s="834"/>
      <c r="U893" s="835"/>
      <c r="V893" s="144">
        <f t="shared" si="197"/>
        <v>0</v>
      </c>
      <c r="W893" s="119"/>
    </row>
    <row r="894" spans="1:23" ht="9" customHeight="1">
      <c r="A894" s="166">
        <v>170</v>
      </c>
      <c r="B894" s="785" t="s">
        <v>847</v>
      </c>
      <c r="C894" s="794" t="s">
        <v>1192</v>
      </c>
      <c r="D894" s="794" t="s">
        <v>111</v>
      </c>
      <c r="E894" s="794" t="s">
        <v>299</v>
      </c>
      <c r="F894" s="166"/>
      <c r="G894" s="794" t="s">
        <v>90</v>
      </c>
      <c r="H894" s="130">
        <v>3</v>
      </c>
      <c r="I894" s="130">
        <v>3</v>
      </c>
      <c r="J894" s="797">
        <v>1476.6</v>
      </c>
      <c r="K894" s="797">
        <v>1332.3</v>
      </c>
      <c r="L894" s="797">
        <v>101</v>
      </c>
      <c r="M894" s="130">
        <v>7</v>
      </c>
      <c r="N894" s="797">
        <f>'Приложение 2'!E896</f>
        <v>2037420</v>
      </c>
      <c r="O894" s="167">
        <v>0</v>
      </c>
      <c r="P894" s="167">
        <v>0</v>
      </c>
      <c r="Q894" s="797">
        <v>0</v>
      </c>
      <c r="R894" s="167">
        <f>N894</f>
        <v>2037420</v>
      </c>
      <c r="S894" s="797">
        <f t="shared" ref="S894" si="215">N894/K894</f>
        <v>1529.2501688808827</v>
      </c>
      <c r="T894" s="797">
        <v>4503.95</v>
      </c>
      <c r="U894" s="132" t="s">
        <v>590</v>
      </c>
      <c r="V894" s="144">
        <f t="shared" si="197"/>
        <v>2974.6998311191173</v>
      </c>
    </row>
    <row r="895" spans="1:23" ht="24.75" customHeight="1">
      <c r="A895" s="831" t="s">
        <v>446</v>
      </c>
      <c r="B895" s="832"/>
      <c r="C895" s="793"/>
      <c r="D895" s="793"/>
      <c r="E895" s="166" t="s">
        <v>391</v>
      </c>
      <c r="F895" s="166" t="s">
        <v>391</v>
      </c>
      <c r="G895" s="166" t="s">
        <v>391</v>
      </c>
      <c r="H895" s="166" t="s">
        <v>391</v>
      </c>
      <c r="I895" s="166" t="s">
        <v>391</v>
      </c>
      <c r="J895" s="167">
        <f t="shared" ref="J895:R895" si="216">SUM(J894:J894)</f>
        <v>1476.6</v>
      </c>
      <c r="K895" s="167">
        <f t="shared" si="216"/>
        <v>1332.3</v>
      </c>
      <c r="L895" s="167">
        <f t="shared" si="216"/>
        <v>101</v>
      </c>
      <c r="M895" s="130">
        <f t="shared" si="216"/>
        <v>7</v>
      </c>
      <c r="N895" s="167">
        <f t="shared" si="216"/>
        <v>2037420</v>
      </c>
      <c r="O895" s="167">
        <f t="shared" si="216"/>
        <v>0</v>
      </c>
      <c r="P895" s="167">
        <f t="shared" si="216"/>
        <v>0</v>
      </c>
      <c r="Q895" s="167">
        <f t="shared" si="216"/>
        <v>0</v>
      </c>
      <c r="R895" s="167">
        <f t="shared" si="216"/>
        <v>2037420</v>
      </c>
      <c r="S895" s="797">
        <f>N895/K895</f>
        <v>1529.2501688808827</v>
      </c>
      <c r="T895" s="797"/>
      <c r="U895" s="166"/>
      <c r="V895" s="144">
        <f t="shared" si="197"/>
        <v>-1529.2501688808827</v>
      </c>
    </row>
    <row r="896" spans="1:23" s="171" customFormat="1" ht="12" customHeight="1">
      <c r="A896" s="823" t="s">
        <v>397</v>
      </c>
      <c r="B896" s="823"/>
      <c r="C896" s="823"/>
      <c r="D896" s="823"/>
      <c r="E896" s="823"/>
      <c r="F896" s="823"/>
      <c r="G896" s="823"/>
      <c r="H896" s="823"/>
      <c r="I896" s="823"/>
      <c r="J896" s="823"/>
      <c r="K896" s="823"/>
      <c r="L896" s="823"/>
      <c r="M896" s="823"/>
      <c r="N896" s="823"/>
      <c r="O896" s="823"/>
      <c r="P896" s="823"/>
      <c r="Q896" s="823"/>
      <c r="R896" s="823"/>
      <c r="S896" s="823"/>
      <c r="T896" s="823"/>
      <c r="U896" s="823"/>
      <c r="V896" s="144">
        <f t="shared" si="197"/>
        <v>0</v>
      </c>
      <c r="W896" s="123"/>
    </row>
    <row r="897" spans="1:23" s="171" customFormat="1" ht="9" customHeight="1">
      <c r="A897" s="166">
        <v>171</v>
      </c>
      <c r="B897" s="785" t="s">
        <v>848</v>
      </c>
      <c r="C897" s="794" t="s">
        <v>1192</v>
      </c>
      <c r="D897" s="794" t="s">
        <v>110</v>
      </c>
      <c r="E897" s="794" t="s">
        <v>614</v>
      </c>
      <c r="F897" s="166"/>
      <c r="G897" s="794" t="s">
        <v>90</v>
      </c>
      <c r="H897" s="130">
        <v>2</v>
      </c>
      <c r="I897" s="130">
        <v>2</v>
      </c>
      <c r="J897" s="797">
        <v>1004.4</v>
      </c>
      <c r="K897" s="797">
        <v>887.8</v>
      </c>
      <c r="L897" s="797">
        <v>159</v>
      </c>
      <c r="M897" s="130">
        <v>8</v>
      </c>
      <c r="N897" s="797">
        <f>'Приложение 2'!E899</f>
        <v>1400280</v>
      </c>
      <c r="O897" s="167">
        <v>0</v>
      </c>
      <c r="P897" s="167">
        <v>0</v>
      </c>
      <c r="Q897" s="167">
        <v>0</v>
      </c>
      <c r="R897" s="167">
        <f>N897</f>
        <v>1400280</v>
      </c>
      <c r="S897" s="797">
        <f t="shared" ref="S897:S898" si="217">N897/K897</f>
        <v>1577.2471277314712</v>
      </c>
      <c r="T897" s="797">
        <v>4180</v>
      </c>
      <c r="U897" s="132" t="s">
        <v>590</v>
      </c>
      <c r="V897" s="144">
        <f t="shared" si="197"/>
        <v>2602.7528722685288</v>
      </c>
      <c r="W897" s="123"/>
    </row>
    <row r="898" spans="1:23" s="171" customFormat="1" ht="9" customHeight="1">
      <c r="A898" s="166">
        <v>172</v>
      </c>
      <c r="B898" s="785" t="s">
        <v>849</v>
      </c>
      <c r="C898" s="794" t="s">
        <v>1192</v>
      </c>
      <c r="D898" s="794" t="s">
        <v>110</v>
      </c>
      <c r="E898" s="794" t="s">
        <v>600</v>
      </c>
      <c r="F898" s="166"/>
      <c r="G898" s="794" t="s">
        <v>90</v>
      </c>
      <c r="H898" s="130">
        <v>2</v>
      </c>
      <c r="I898" s="130">
        <v>2</v>
      </c>
      <c r="J898" s="797">
        <v>647.4</v>
      </c>
      <c r="K898" s="797">
        <v>581.79999999999995</v>
      </c>
      <c r="L898" s="797">
        <v>127</v>
      </c>
      <c r="M898" s="130">
        <v>8</v>
      </c>
      <c r="N898" s="797">
        <f>'Приложение 2'!E900</f>
        <v>1400280</v>
      </c>
      <c r="O898" s="167">
        <v>0</v>
      </c>
      <c r="P898" s="167">
        <v>0</v>
      </c>
      <c r="Q898" s="167">
        <v>0</v>
      </c>
      <c r="R898" s="167">
        <f>N898</f>
        <v>1400280</v>
      </c>
      <c r="S898" s="797">
        <f t="shared" si="217"/>
        <v>2406.8064627019598</v>
      </c>
      <c r="T898" s="797">
        <v>4180</v>
      </c>
      <c r="U898" s="132" t="s">
        <v>590</v>
      </c>
      <c r="V898" s="144">
        <f t="shared" si="197"/>
        <v>1773.1935372980402</v>
      </c>
      <c r="W898" s="123"/>
    </row>
    <row r="899" spans="1:23" ht="21.75" customHeight="1">
      <c r="A899" s="865" t="s">
        <v>398</v>
      </c>
      <c r="B899" s="865"/>
      <c r="C899" s="172"/>
      <c r="D899" s="172"/>
      <c r="E899" s="172" t="s">
        <v>391</v>
      </c>
      <c r="F899" s="172" t="s">
        <v>391</v>
      </c>
      <c r="G899" s="172" t="s">
        <v>391</v>
      </c>
      <c r="H899" s="172" t="s">
        <v>391</v>
      </c>
      <c r="I899" s="172" t="s">
        <v>391</v>
      </c>
      <c r="J899" s="173">
        <f t="shared" ref="J899:R899" si="218">SUM(J897:J898)</f>
        <v>1651.8</v>
      </c>
      <c r="K899" s="173">
        <f t="shared" si="218"/>
        <v>1469.6</v>
      </c>
      <c r="L899" s="173">
        <f t="shared" si="218"/>
        <v>286</v>
      </c>
      <c r="M899" s="130">
        <f t="shared" si="218"/>
        <v>16</v>
      </c>
      <c r="N899" s="173">
        <f t="shared" si="218"/>
        <v>2800560</v>
      </c>
      <c r="O899" s="173">
        <f t="shared" si="218"/>
        <v>0</v>
      </c>
      <c r="P899" s="173">
        <f t="shared" si="218"/>
        <v>0</v>
      </c>
      <c r="Q899" s="173">
        <f t="shared" si="218"/>
        <v>0</v>
      </c>
      <c r="R899" s="173">
        <f t="shared" si="218"/>
        <v>2800560</v>
      </c>
      <c r="S899" s="162">
        <f>N899/K899</f>
        <v>1905.6614044637997</v>
      </c>
      <c r="T899" s="162"/>
      <c r="U899" s="172"/>
      <c r="V899" s="144">
        <f t="shared" si="197"/>
        <v>-1905.6614044637997</v>
      </c>
    </row>
    <row r="900" spans="1:23" ht="12.75" customHeight="1">
      <c r="A900" s="837" t="s">
        <v>442</v>
      </c>
      <c r="B900" s="838"/>
      <c r="C900" s="838"/>
      <c r="D900" s="838"/>
      <c r="E900" s="838"/>
      <c r="F900" s="838"/>
      <c r="G900" s="838"/>
      <c r="H900" s="838"/>
      <c r="I900" s="838"/>
      <c r="J900" s="838"/>
      <c r="K900" s="838"/>
      <c r="L900" s="838"/>
      <c r="M900" s="838"/>
      <c r="N900" s="838"/>
      <c r="O900" s="838"/>
      <c r="P900" s="838"/>
      <c r="Q900" s="838"/>
      <c r="R900" s="838"/>
      <c r="S900" s="838"/>
      <c r="T900" s="838"/>
      <c r="U900" s="839"/>
      <c r="V900" s="144">
        <f t="shared" si="197"/>
        <v>0</v>
      </c>
    </row>
    <row r="901" spans="1:23" ht="11.25" customHeight="1">
      <c r="A901" s="794">
        <v>173</v>
      </c>
      <c r="B901" s="785" t="s">
        <v>850</v>
      </c>
      <c r="C901" s="794" t="s">
        <v>1198</v>
      </c>
      <c r="D901" s="794" t="s">
        <v>111</v>
      </c>
      <c r="E901" s="794" t="s">
        <v>746</v>
      </c>
      <c r="F901" s="794"/>
      <c r="G901" s="794" t="s">
        <v>88</v>
      </c>
      <c r="H901" s="130">
        <v>3</v>
      </c>
      <c r="I901" s="130">
        <v>3</v>
      </c>
      <c r="J901" s="797">
        <v>2049.8000000000002</v>
      </c>
      <c r="K901" s="797">
        <v>1538.2</v>
      </c>
      <c r="L901" s="797">
        <v>204</v>
      </c>
      <c r="M901" s="130">
        <v>18</v>
      </c>
      <c r="N901" s="797">
        <f>'Приложение 2'!E903</f>
        <v>1157975.58</v>
      </c>
      <c r="O901" s="797">
        <v>0</v>
      </c>
      <c r="P901" s="797">
        <v>0</v>
      </c>
      <c r="Q901" s="797">
        <v>0</v>
      </c>
      <c r="R901" s="797">
        <f>N901</f>
        <v>1157975.58</v>
      </c>
      <c r="S901" s="797">
        <f t="shared" ref="S901:S902" si="219">N901/K901</f>
        <v>752.81210505785987</v>
      </c>
      <c r="T901" s="797">
        <v>5307.56</v>
      </c>
      <c r="U901" s="132" t="s">
        <v>590</v>
      </c>
      <c r="V901" s="144"/>
    </row>
    <row r="902" spans="1:23" ht="9" customHeight="1">
      <c r="A902" s="794">
        <v>174</v>
      </c>
      <c r="B902" s="785" t="s">
        <v>851</v>
      </c>
      <c r="C902" s="794" t="s">
        <v>1008</v>
      </c>
      <c r="D902" s="794" t="s">
        <v>111</v>
      </c>
      <c r="E902" s="794" t="s">
        <v>599</v>
      </c>
      <c r="F902" s="794"/>
      <c r="G902" s="794" t="s">
        <v>88</v>
      </c>
      <c r="H902" s="130">
        <v>3</v>
      </c>
      <c r="I902" s="130">
        <v>3</v>
      </c>
      <c r="J902" s="797">
        <v>1670.6</v>
      </c>
      <c r="K902" s="797">
        <v>1223.42</v>
      </c>
      <c r="L902" s="797">
        <v>319</v>
      </c>
      <c r="M902" s="130">
        <v>14</v>
      </c>
      <c r="N902" s="797">
        <f>'[2]Приложение 2'!E903</f>
        <v>269152.40000000002</v>
      </c>
      <c r="O902" s="797">
        <v>0</v>
      </c>
      <c r="P902" s="797">
        <v>0</v>
      </c>
      <c r="Q902" s="797">
        <v>0</v>
      </c>
      <c r="R902" s="797">
        <f>N902</f>
        <v>269152.40000000002</v>
      </c>
      <c r="S902" s="797">
        <f t="shared" si="219"/>
        <v>220</v>
      </c>
      <c r="T902" s="797">
        <v>4984.6499999999996</v>
      </c>
      <c r="U902" s="132" t="s">
        <v>590</v>
      </c>
      <c r="V902" s="144">
        <f t="shared" ref="V902:V965" si="220">T902-S902</f>
        <v>4764.6499999999996</v>
      </c>
    </row>
    <row r="903" spans="1:23" ht="29.25" customHeight="1">
      <c r="A903" s="829" t="s">
        <v>443</v>
      </c>
      <c r="B903" s="830"/>
      <c r="C903" s="784"/>
      <c r="D903" s="784"/>
      <c r="E903" s="794" t="s">
        <v>391</v>
      </c>
      <c r="F903" s="794" t="s">
        <v>391</v>
      </c>
      <c r="G903" s="794" t="s">
        <v>391</v>
      </c>
      <c r="H903" s="794" t="s">
        <v>391</v>
      </c>
      <c r="I903" s="794" t="s">
        <v>391</v>
      </c>
      <c r="J903" s="797">
        <f t="shared" ref="J903:M903" si="221">SUM(J901:J902)</f>
        <v>3720.4</v>
      </c>
      <c r="K903" s="797">
        <f t="shared" si="221"/>
        <v>2761.62</v>
      </c>
      <c r="L903" s="797">
        <f t="shared" si="221"/>
        <v>523</v>
      </c>
      <c r="M903" s="130">
        <f t="shared" si="221"/>
        <v>32</v>
      </c>
      <c r="N903" s="797">
        <f>SUM(N901:N902)</f>
        <v>1427127.98</v>
      </c>
      <c r="O903" s="797">
        <f t="shared" ref="O903:R903" si="222">SUM(O901:O902)</f>
        <v>0</v>
      </c>
      <c r="P903" s="797">
        <f t="shared" si="222"/>
        <v>0</v>
      </c>
      <c r="Q903" s="797">
        <f t="shared" si="222"/>
        <v>0</v>
      </c>
      <c r="R903" s="797">
        <f t="shared" si="222"/>
        <v>1427127.98</v>
      </c>
      <c r="S903" s="797">
        <f>N903/K903</f>
        <v>516.77203235781894</v>
      </c>
      <c r="T903" s="797"/>
      <c r="U903" s="132"/>
      <c r="V903" s="144">
        <f t="shared" si="220"/>
        <v>-516.77203235781894</v>
      </c>
    </row>
    <row r="904" spans="1:23" ht="9" customHeight="1">
      <c r="A904" s="837" t="s">
        <v>856</v>
      </c>
      <c r="B904" s="838"/>
      <c r="C904" s="838"/>
      <c r="D904" s="838"/>
      <c r="E904" s="838"/>
      <c r="F904" s="838"/>
      <c r="G904" s="838"/>
      <c r="H904" s="838"/>
      <c r="I904" s="838"/>
      <c r="J904" s="838"/>
      <c r="K904" s="838"/>
      <c r="L904" s="838"/>
      <c r="M904" s="838"/>
      <c r="N904" s="838"/>
      <c r="O904" s="838"/>
      <c r="P904" s="838"/>
      <c r="Q904" s="838"/>
      <c r="R904" s="838"/>
      <c r="S904" s="838"/>
      <c r="T904" s="838"/>
      <c r="U904" s="839"/>
      <c r="V904" s="144">
        <f t="shared" si="220"/>
        <v>0</v>
      </c>
    </row>
    <row r="905" spans="1:23" ht="9" customHeight="1">
      <c r="A905" s="794">
        <v>175</v>
      </c>
      <c r="B905" s="785" t="s">
        <v>852</v>
      </c>
      <c r="C905" s="794" t="s">
        <v>1202</v>
      </c>
      <c r="D905" s="794" t="s">
        <v>111</v>
      </c>
      <c r="E905" s="794" t="s">
        <v>614</v>
      </c>
      <c r="F905" s="794" t="s">
        <v>1203</v>
      </c>
      <c r="G905" s="794" t="s">
        <v>88</v>
      </c>
      <c r="H905" s="130">
        <v>2</v>
      </c>
      <c r="I905" s="130">
        <v>3</v>
      </c>
      <c r="J905" s="797">
        <v>939.58</v>
      </c>
      <c r="K905" s="797">
        <v>858.98</v>
      </c>
      <c r="L905" s="797">
        <v>105</v>
      </c>
      <c r="M905" s="130">
        <v>10</v>
      </c>
      <c r="N905" s="797">
        <f>'Приложение 2'!E907</f>
        <v>537687.12</v>
      </c>
      <c r="O905" s="797">
        <v>0</v>
      </c>
      <c r="P905" s="797">
        <v>0</v>
      </c>
      <c r="Q905" s="797">
        <v>0</v>
      </c>
      <c r="R905" s="797">
        <f>N905</f>
        <v>537687.12</v>
      </c>
      <c r="S905" s="797">
        <f>N905/K905</f>
        <v>625.9599990686628</v>
      </c>
      <c r="T905" s="797">
        <f>4984.65+322.91</f>
        <v>5307.5599999999995</v>
      </c>
      <c r="U905" s="132" t="s">
        <v>590</v>
      </c>
      <c r="V905" s="144">
        <f t="shared" si="220"/>
        <v>4681.6000009313366</v>
      </c>
    </row>
    <row r="906" spans="1:23" ht="9" customHeight="1">
      <c r="A906" s="794">
        <v>176</v>
      </c>
      <c r="B906" s="785" t="s">
        <v>853</v>
      </c>
      <c r="C906" s="794" t="s">
        <v>1202</v>
      </c>
      <c r="D906" s="794" t="s">
        <v>111</v>
      </c>
      <c r="E906" s="794" t="s">
        <v>605</v>
      </c>
      <c r="F906" s="794" t="s">
        <v>1203</v>
      </c>
      <c r="G906" s="794" t="s">
        <v>90</v>
      </c>
      <c r="H906" s="130">
        <v>2</v>
      </c>
      <c r="I906" s="130">
        <v>2</v>
      </c>
      <c r="J906" s="797">
        <v>672.75</v>
      </c>
      <c r="K906" s="797">
        <v>596.15</v>
      </c>
      <c r="L906" s="797">
        <v>276</v>
      </c>
      <c r="M906" s="130">
        <v>30</v>
      </c>
      <c r="N906" s="797">
        <f>'Приложение 2'!E908</f>
        <v>373166.06</v>
      </c>
      <c r="O906" s="797">
        <v>0</v>
      </c>
      <c r="P906" s="797">
        <v>0</v>
      </c>
      <c r="Q906" s="797">
        <v>0</v>
      </c>
      <c r="R906" s="797">
        <f>N906</f>
        <v>373166.06</v>
      </c>
      <c r="S906" s="797">
        <f>N906/K906</f>
        <v>625.96001006458107</v>
      </c>
      <c r="T906" s="797">
        <f t="shared" ref="T906:T908" si="223">4984.65+322.91</f>
        <v>5307.5599999999995</v>
      </c>
      <c r="U906" s="132" t="s">
        <v>590</v>
      </c>
      <c r="V906" s="144">
        <f t="shared" si="220"/>
        <v>4681.5999899354183</v>
      </c>
    </row>
    <row r="907" spans="1:23" ht="9" customHeight="1">
      <c r="A907" s="794">
        <v>177</v>
      </c>
      <c r="B907" s="785" t="s">
        <v>854</v>
      </c>
      <c r="C907" s="794" t="s">
        <v>1202</v>
      </c>
      <c r="D907" s="794" t="s">
        <v>111</v>
      </c>
      <c r="E907" s="794" t="s">
        <v>605</v>
      </c>
      <c r="F907" s="794" t="s">
        <v>1203</v>
      </c>
      <c r="G907" s="794" t="s">
        <v>90</v>
      </c>
      <c r="H907" s="130">
        <v>2</v>
      </c>
      <c r="I907" s="130">
        <v>2</v>
      </c>
      <c r="J907" s="797">
        <v>666.96</v>
      </c>
      <c r="K907" s="797">
        <v>590.36</v>
      </c>
      <c r="L907" s="797">
        <v>173</v>
      </c>
      <c r="M907" s="130">
        <v>13</v>
      </c>
      <c r="N907" s="797">
        <f>'Приложение 2'!E909</f>
        <v>369541.75</v>
      </c>
      <c r="O907" s="797">
        <v>0</v>
      </c>
      <c r="P907" s="797">
        <v>0</v>
      </c>
      <c r="Q907" s="797">
        <v>0</v>
      </c>
      <c r="R907" s="797">
        <f>N907</f>
        <v>369541.75</v>
      </c>
      <c r="S907" s="797">
        <f t="shared" ref="S907:S908" si="224">N907/K907</f>
        <v>625.96000745307947</v>
      </c>
      <c r="T907" s="797">
        <f t="shared" si="223"/>
        <v>5307.5599999999995</v>
      </c>
      <c r="U907" s="132" t="s">
        <v>590</v>
      </c>
      <c r="V907" s="144">
        <f t="shared" si="220"/>
        <v>4681.5999925469205</v>
      </c>
    </row>
    <row r="908" spans="1:23" ht="9" customHeight="1">
      <c r="A908" s="794">
        <v>178</v>
      </c>
      <c r="B908" s="785" t="s">
        <v>855</v>
      </c>
      <c r="C908" s="794" t="s">
        <v>1202</v>
      </c>
      <c r="D908" s="794" t="s">
        <v>111</v>
      </c>
      <c r="E908" s="794" t="s">
        <v>828</v>
      </c>
      <c r="F908" s="794" t="s">
        <v>1204</v>
      </c>
      <c r="G908" s="794" t="s">
        <v>90</v>
      </c>
      <c r="H908" s="130">
        <v>2</v>
      </c>
      <c r="I908" s="130">
        <v>2</v>
      </c>
      <c r="J908" s="797">
        <v>650.49</v>
      </c>
      <c r="K908" s="797">
        <v>585.69000000000005</v>
      </c>
      <c r="L908" s="797">
        <v>74</v>
      </c>
      <c r="M908" s="130">
        <v>39</v>
      </c>
      <c r="N908" s="797">
        <f>'Приложение 2'!E910</f>
        <v>366618.51</v>
      </c>
      <c r="O908" s="797">
        <v>0</v>
      </c>
      <c r="P908" s="797">
        <v>0</v>
      </c>
      <c r="Q908" s="797">
        <v>0</v>
      </c>
      <c r="R908" s="797">
        <f>N908</f>
        <v>366618.51</v>
      </c>
      <c r="S908" s="797">
        <f t="shared" si="224"/>
        <v>625.95999590226904</v>
      </c>
      <c r="T908" s="797">
        <f t="shared" si="223"/>
        <v>5307.5599999999995</v>
      </c>
      <c r="U908" s="132" t="s">
        <v>590</v>
      </c>
      <c r="V908" s="144">
        <f t="shared" si="220"/>
        <v>4681.6000040977306</v>
      </c>
    </row>
    <row r="909" spans="1:23" ht="25.5" customHeight="1">
      <c r="A909" s="829" t="s">
        <v>1205</v>
      </c>
      <c r="B909" s="830"/>
      <c r="C909" s="794"/>
      <c r="D909" s="794"/>
      <c r="E909" s="794" t="s">
        <v>391</v>
      </c>
      <c r="F909" s="794" t="s">
        <v>391</v>
      </c>
      <c r="G909" s="794" t="s">
        <v>391</v>
      </c>
      <c r="H909" s="794" t="s">
        <v>391</v>
      </c>
      <c r="I909" s="794" t="s">
        <v>391</v>
      </c>
      <c r="J909" s="797">
        <f>SUM(J905:J908)</f>
        <v>2929.7799999999997</v>
      </c>
      <c r="K909" s="797">
        <f t="shared" ref="K909:R909" si="225">SUM(K905:K908)</f>
        <v>2631.1800000000003</v>
      </c>
      <c r="L909" s="797">
        <f t="shared" si="225"/>
        <v>628</v>
      </c>
      <c r="M909" s="130">
        <f t="shared" si="225"/>
        <v>92</v>
      </c>
      <c r="N909" s="797">
        <f t="shared" si="225"/>
        <v>1647013.44</v>
      </c>
      <c r="O909" s="797">
        <f t="shared" si="225"/>
        <v>0</v>
      </c>
      <c r="P909" s="797">
        <f t="shared" si="225"/>
        <v>0</v>
      </c>
      <c r="Q909" s="797">
        <f t="shared" si="225"/>
        <v>0</v>
      </c>
      <c r="R909" s="797">
        <f t="shared" si="225"/>
        <v>1647013.44</v>
      </c>
      <c r="S909" s="797">
        <f>N909/K909</f>
        <v>625.96000273641471</v>
      </c>
      <c r="T909" s="797"/>
      <c r="U909" s="132"/>
      <c r="V909" s="144">
        <f t="shared" si="220"/>
        <v>-625.96000273641471</v>
      </c>
    </row>
    <row r="910" spans="1:23" ht="9" customHeight="1">
      <c r="A910" s="833" t="s">
        <v>435</v>
      </c>
      <c r="B910" s="834"/>
      <c r="C910" s="834"/>
      <c r="D910" s="834"/>
      <c r="E910" s="834"/>
      <c r="F910" s="834"/>
      <c r="G910" s="834"/>
      <c r="H910" s="834"/>
      <c r="I910" s="834"/>
      <c r="J910" s="834"/>
      <c r="K910" s="834"/>
      <c r="L910" s="834"/>
      <c r="M910" s="834"/>
      <c r="N910" s="834"/>
      <c r="O910" s="834"/>
      <c r="P910" s="834"/>
      <c r="Q910" s="834"/>
      <c r="R910" s="834"/>
      <c r="S910" s="834"/>
      <c r="T910" s="834"/>
      <c r="U910" s="835"/>
      <c r="V910" s="144">
        <f t="shared" si="220"/>
        <v>0</v>
      </c>
    </row>
    <row r="911" spans="1:23" ht="9" customHeight="1">
      <c r="A911" s="166">
        <v>179</v>
      </c>
      <c r="B911" s="785" t="s">
        <v>859</v>
      </c>
      <c r="C911" s="794" t="s">
        <v>1192</v>
      </c>
      <c r="D911" s="794" t="s">
        <v>111</v>
      </c>
      <c r="E911" s="794" t="s">
        <v>0</v>
      </c>
      <c r="F911" s="166"/>
      <c r="G911" s="794" t="s">
        <v>88</v>
      </c>
      <c r="H911" s="130">
        <v>2</v>
      </c>
      <c r="I911" s="130">
        <v>1</v>
      </c>
      <c r="J911" s="797">
        <v>510.7</v>
      </c>
      <c r="K911" s="797">
        <v>424.1</v>
      </c>
      <c r="L911" s="797">
        <v>424.1</v>
      </c>
      <c r="M911" s="130">
        <v>20</v>
      </c>
      <c r="N911" s="797">
        <f>'Приложение 2'!E913</f>
        <v>1513512</v>
      </c>
      <c r="O911" s="797">
        <v>0</v>
      </c>
      <c r="P911" s="797">
        <v>0</v>
      </c>
      <c r="Q911" s="797">
        <v>0</v>
      </c>
      <c r="R911" s="797">
        <f>N911</f>
        <v>1513512</v>
      </c>
      <c r="S911" s="797">
        <f t="shared" ref="S911:S912" si="226">N911/K911</f>
        <v>3568.7620844140529</v>
      </c>
      <c r="T911" s="797">
        <v>4503.95</v>
      </c>
      <c r="U911" s="132" t="s">
        <v>590</v>
      </c>
      <c r="V911" s="144">
        <f t="shared" si="220"/>
        <v>935.18791558594694</v>
      </c>
    </row>
    <row r="912" spans="1:23" ht="9" customHeight="1">
      <c r="A912" s="166">
        <v>180</v>
      </c>
      <c r="B912" s="785" t="s">
        <v>860</v>
      </c>
      <c r="C912" s="794" t="s">
        <v>1192</v>
      </c>
      <c r="D912" s="794" t="s">
        <v>111</v>
      </c>
      <c r="E912" s="794" t="s">
        <v>591</v>
      </c>
      <c r="F912" s="166"/>
      <c r="G912" s="794" t="s">
        <v>88</v>
      </c>
      <c r="H912" s="130">
        <v>2</v>
      </c>
      <c r="I912" s="130">
        <v>2</v>
      </c>
      <c r="J912" s="797">
        <v>534.20000000000005</v>
      </c>
      <c r="K912" s="797">
        <v>488.2</v>
      </c>
      <c r="L912" s="797">
        <v>488.2</v>
      </c>
      <c r="M912" s="130">
        <v>20</v>
      </c>
      <c r="N912" s="797">
        <f>'Приложение 2'!E914</f>
        <v>1752828</v>
      </c>
      <c r="O912" s="797">
        <v>0</v>
      </c>
      <c r="P912" s="797">
        <v>0</v>
      </c>
      <c r="Q912" s="797">
        <v>0</v>
      </c>
      <c r="R912" s="797">
        <f>N912</f>
        <v>1752828</v>
      </c>
      <c r="S912" s="797">
        <f t="shared" si="226"/>
        <v>3590.3891847603441</v>
      </c>
      <c r="T912" s="797">
        <v>4503.95</v>
      </c>
      <c r="U912" s="132" t="s">
        <v>590</v>
      </c>
      <c r="V912" s="144">
        <f t="shared" si="220"/>
        <v>913.56081523965577</v>
      </c>
    </row>
    <row r="913" spans="1:23" ht="30.75" customHeight="1">
      <c r="A913" s="829" t="s">
        <v>436</v>
      </c>
      <c r="B913" s="830"/>
      <c r="C913" s="784"/>
      <c r="D913" s="784"/>
      <c r="E913" s="166" t="s">
        <v>391</v>
      </c>
      <c r="F913" s="166" t="s">
        <v>391</v>
      </c>
      <c r="G913" s="166" t="s">
        <v>391</v>
      </c>
      <c r="H913" s="166" t="s">
        <v>391</v>
      </c>
      <c r="I913" s="166" t="s">
        <v>391</v>
      </c>
      <c r="J913" s="167">
        <f t="shared" ref="J913:R913" si="227">SUM(J911:J912)</f>
        <v>1044.9000000000001</v>
      </c>
      <c r="K913" s="167">
        <f t="shared" si="227"/>
        <v>912.3</v>
      </c>
      <c r="L913" s="167">
        <f t="shared" si="227"/>
        <v>912.3</v>
      </c>
      <c r="M913" s="168">
        <f t="shared" si="227"/>
        <v>40</v>
      </c>
      <c r="N913" s="167">
        <f t="shared" si="227"/>
        <v>3266340</v>
      </c>
      <c r="O913" s="167">
        <f t="shared" si="227"/>
        <v>0</v>
      </c>
      <c r="P913" s="167">
        <f t="shared" si="227"/>
        <v>0</v>
      </c>
      <c r="Q913" s="167">
        <f t="shared" si="227"/>
        <v>0</v>
      </c>
      <c r="R913" s="167">
        <f t="shared" si="227"/>
        <v>3266340</v>
      </c>
      <c r="S913" s="797">
        <f>N913/K913</f>
        <v>3580.3354159815854</v>
      </c>
      <c r="T913" s="797"/>
      <c r="U913" s="166"/>
      <c r="V913" s="144">
        <f t="shared" si="220"/>
        <v>-3580.3354159815854</v>
      </c>
    </row>
    <row r="914" spans="1:23" ht="9" customHeight="1">
      <c r="A914" s="837" t="s">
        <v>1085</v>
      </c>
      <c r="B914" s="838"/>
      <c r="C914" s="838"/>
      <c r="D914" s="838"/>
      <c r="E914" s="838"/>
      <c r="F914" s="838"/>
      <c r="G914" s="838"/>
      <c r="H914" s="838"/>
      <c r="I914" s="838"/>
      <c r="J914" s="838"/>
      <c r="K914" s="838"/>
      <c r="L914" s="838"/>
      <c r="M914" s="838"/>
      <c r="N914" s="838"/>
      <c r="O914" s="838"/>
      <c r="P914" s="838"/>
      <c r="Q914" s="838"/>
      <c r="R914" s="838"/>
      <c r="S914" s="838"/>
      <c r="T914" s="838"/>
      <c r="U914" s="839"/>
      <c r="V914" s="144">
        <f t="shared" si="220"/>
        <v>0</v>
      </c>
    </row>
    <row r="915" spans="1:23" ht="9" customHeight="1">
      <c r="A915" s="794">
        <v>181</v>
      </c>
      <c r="B915" s="785" t="s">
        <v>887</v>
      </c>
      <c r="C915" s="794" t="s">
        <v>1192</v>
      </c>
      <c r="D915" s="794" t="s">
        <v>110</v>
      </c>
      <c r="E915" s="794" t="s">
        <v>605</v>
      </c>
      <c r="F915" s="794"/>
      <c r="G915" s="794" t="s">
        <v>620</v>
      </c>
      <c r="H915" s="130">
        <v>5</v>
      </c>
      <c r="I915" s="130">
        <v>13</v>
      </c>
      <c r="J915" s="797">
        <v>9951</v>
      </c>
      <c r="K915" s="797">
        <v>8774</v>
      </c>
      <c r="L915" s="797">
        <v>8774</v>
      </c>
      <c r="M915" s="794">
        <v>637</v>
      </c>
      <c r="N915" s="797">
        <f>'Приложение 2'!E917</f>
        <v>7967926.5999999996</v>
      </c>
      <c r="O915" s="797">
        <v>0</v>
      </c>
      <c r="P915" s="797">
        <v>0</v>
      </c>
      <c r="Q915" s="797">
        <v>0</v>
      </c>
      <c r="R915" s="797">
        <f>N915</f>
        <v>7967926.5999999996</v>
      </c>
      <c r="S915" s="149">
        <f>N915/K915</f>
        <v>908.12931388192385</v>
      </c>
      <c r="T915" s="797">
        <v>4180</v>
      </c>
      <c r="U915" s="132" t="s">
        <v>590</v>
      </c>
      <c r="V915" s="144">
        <f t="shared" si="220"/>
        <v>3271.8706861180763</v>
      </c>
    </row>
    <row r="916" spans="1:23" ht="31.5" customHeight="1">
      <c r="A916" s="866" t="s">
        <v>1086</v>
      </c>
      <c r="B916" s="867"/>
      <c r="C916" s="792"/>
      <c r="D916" s="792"/>
      <c r="E916" s="800" t="s">
        <v>391</v>
      </c>
      <c r="F916" s="800" t="s">
        <v>391</v>
      </c>
      <c r="G916" s="800" t="s">
        <v>391</v>
      </c>
      <c r="H916" s="800" t="s">
        <v>391</v>
      </c>
      <c r="I916" s="800" t="s">
        <v>391</v>
      </c>
      <c r="J916" s="175">
        <f t="shared" ref="J916:R916" si="228">SUM(J915:J915)</f>
        <v>9951</v>
      </c>
      <c r="K916" s="175">
        <f t="shared" si="228"/>
        <v>8774</v>
      </c>
      <c r="L916" s="175">
        <f t="shared" si="228"/>
        <v>8774</v>
      </c>
      <c r="M916" s="794">
        <f t="shared" si="228"/>
        <v>637</v>
      </c>
      <c r="N916" s="175">
        <f t="shared" si="228"/>
        <v>7967926.5999999996</v>
      </c>
      <c r="O916" s="175">
        <f t="shared" si="228"/>
        <v>0</v>
      </c>
      <c r="P916" s="175">
        <f t="shared" si="228"/>
        <v>0</v>
      </c>
      <c r="Q916" s="175">
        <f t="shared" si="228"/>
        <v>0</v>
      </c>
      <c r="R916" s="175">
        <f t="shared" si="228"/>
        <v>7967926.5999999996</v>
      </c>
      <c r="S916" s="175">
        <f>N916/K916</f>
        <v>908.12931388192385</v>
      </c>
      <c r="T916" s="175"/>
      <c r="U916" s="176"/>
      <c r="V916" s="144">
        <f t="shared" si="220"/>
        <v>-908.12931388192385</v>
      </c>
    </row>
    <row r="917" spans="1:23" s="159" customFormat="1" ht="9" customHeight="1">
      <c r="A917" s="821" t="s">
        <v>305</v>
      </c>
      <c r="B917" s="821"/>
      <c r="C917" s="821"/>
      <c r="D917" s="821"/>
      <c r="E917" s="821"/>
      <c r="F917" s="821"/>
      <c r="G917" s="821"/>
      <c r="H917" s="821"/>
      <c r="I917" s="821"/>
      <c r="J917" s="821"/>
      <c r="K917" s="821"/>
      <c r="L917" s="821"/>
      <c r="M917" s="821"/>
      <c r="N917" s="821"/>
      <c r="O917" s="821"/>
      <c r="P917" s="821"/>
      <c r="Q917" s="821"/>
      <c r="R917" s="821"/>
      <c r="S917" s="821"/>
      <c r="T917" s="821"/>
      <c r="U917" s="821"/>
      <c r="V917" s="144">
        <f t="shared" si="220"/>
        <v>0</v>
      </c>
      <c r="W917" s="521"/>
    </row>
    <row r="918" spans="1:23" s="507" customFormat="1" ht="9" customHeight="1">
      <c r="A918" s="794">
        <v>182</v>
      </c>
      <c r="B918" s="785" t="s">
        <v>888</v>
      </c>
      <c r="C918" s="794" t="s">
        <v>1192</v>
      </c>
      <c r="D918" s="794" t="s">
        <v>111</v>
      </c>
      <c r="E918" s="794" t="s">
        <v>591</v>
      </c>
      <c r="F918" s="794"/>
      <c r="G918" s="794" t="s">
        <v>88</v>
      </c>
      <c r="H918" s="130">
        <v>2</v>
      </c>
      <c r="I918" s="130">
        <v>2</v>
      </c>
      <c r="J918" s="797">
        <v>613.1</v>
      </c>
      <c r="K918" s="797">
        <v>602.1</v>
      </c>
      <c r="L918" s="797">
        <v>527.1</v>
      </c>
      <c r="M918" s="794">
        <v>29</v>
      </c>
      <c r="N918" s="797">
        <f>'Приложение 2'!E920</f>
        <v>1734588.24</v>
      </c>
      <c r="O918" s="797">
        <v>0</v>
      </c>
      <c r="P918" s="797">
        <v>0</v>
      </c>
      <c r="Q918" s="797">
        <v>0</v>
      </c>
      <c r="R918" s="797">
        <f>N918</f>
        <v>1734588.24</v>
      </c>
      <c r="S918" s="797">
        <f>N918/K918</f>
        <v>2880.8972595914297</v>
      </c>
      <c r="T918" s="797">
        <v>4503.95</v>
      </c>
      <c r="U918" s="132" t="s">
        <v>590</v>
      </c>
      <c r="V918" s="144">
        <f t="shared" si="220"/>
        <v>1623.0527404085701</v>
      </c>
      <c r="W918" s="521"/>
    </row>
    <row r="919" spans="1:23" s="159" customFormat="1" ht="21.75" customHeight="1">
      <c r="A919" s="822" t="s">
        <v>300</v>
      </c>
      <c r="B919" s="822"/>
      <c r="C919" s="785"/>
      <c r="D919" s="785"/>
      <c r="E919" s="794" t="s">
        <v>391</v>
      </c>
      <c r="F919" s="794" t="s">
        <v>391</v>
      </c>
      <c r="G919" s="794" t="s">
        <v>391</v>
      </c>
      <c r="H919" s="794" t="s">
        <v>391</v>
      </c>
      <c r="I919" s="794" t="s">
        <v>391</v>
      </c>
      <c r="J919" s="797">
        <f t="shared" ref="J919:R919" si="229">SUM(J918:J918)</f>
        <v>613.1</v>
      </c>
      <c r="K919" s="797">
        <f t="shared" si="229"/>
        <v>602.1</v>
      </c>
      <c r="L919" s="797">
        <f t="shared" si="229"/>
        <v>527.1</v>
      </c>
      <c r="M919" s="794">
        <f t="shared" si="229"/>
        <v>29</v>
      </c>
      <c r="N919" s="797">
        <f t="shared" si="229"/>
        <v>1734588.24</v>
      </c>
      <c r="O919" s="797">
        <f t="shared" si="229"/>
        <v>0</v>
      </c>
      <c r="P919" s="797">
        <f t="shared" si="229"/>
        <v>0</v>
      </c>
      <c r="Q919" s="797">
        <f t="shared" si="229"/>
        <v>0</v>
      </c>
      <c r="R919" s="797">
        <f t="shared" si="229"/>
        <v>1734588.24</v>
      </c>
      <c r="S919" s="797">
        <f>N919/K919</f>
        <v>2880.8972595914297</v>
      </c>
      <c r="T919" s="794"/>
      <c r="U919" s="132"/>
      <c r="V919" s="144">
        <f t="shared" si="220"/>
        <v>-2880.8972595914297</v>
      </c>
      <c r="W919" s="521"/>
    </row>
    <row r="920" spans="1:23" s="159" customFormat="1" ht="9" customHeight="1">
      <c r="A920" s="821" t="s">
        <v>295</v>
      </c>
      <c r="B920" s="821"/>
      <c r="C920" s="821"/>
      <c r="D920" s="821"/>
      <c r="E920" s="821"/>
      <c r="F920" s="821"/>
      <c r="G920" s="821"/>
      <c r="H920" s="821"/>
      <c r="I920" s="821"/>
      <c r="J920" s="821"/>
      <c r="K920" s="821"/>
      <c r="L920" s="821"/>
      <c r="M920" s="821"/>
      <c r="N920" s="821"/>
      <c r="O920" s="821"/>
      <c r="P920" s="821"/>
      <c r="Q920" s="821"/>
      <c r="R920" s="821"/>
      <c r="S920" s="821"/>
      <c r="T920" s="821"/>
      <c r="U920" s="821"/>
      <c r="V920" s="144">
        <f t="shared" si="220"/>
        <v>0</v>
      </c>
      <c r="W920" s="521"/>
    </row>
    <row r="921" spans="1:23" s="159" customFormat="1" ht="9" customHeight="1">
      <c r="A921" s="794">
        <v>183</v>
      </c>
      <c r="B921" s="785" t="s">
        <v>872</v>
      </c>
      <c r="C921" s="794" t="s">
        <v>1192</v>
      </c>
      <c r="D921" s="794" t="s">
        <v>110</v>
      </c>
      <c r="E921" s="794" t="s">
        <v>601</v>
      </c>
      <c r="F921" s="794"/>
      <c r="G921" s="794" t="s">
        <v>88</v>
      </c>
      <c r="H921" s="130">
        <v>5</v>
      </c>
      <c r="I921" s="130">
        <v>6</v>
      </c>
      <c r="J921" s="797">
        <v>5323.9</v>
      </c>
      <c r="K921" s="797">
        <v>4437.3999999999996</v>
      </c>
      <c r="L921" s="797">
        <v>869</v>
      </c>
      <c r="M921" s="130">
        <v>40</v>
      </c>
      <c r="N921" s="797">
        <f>'Приложение 2'!E923</f>
        <v>4456224.4000000004</v>
      </c>
      <c r="O921" s="797">
        <v>0</v>
      </c>
      <c r="P921" s="797">
        <v>0</v>
      </c>
      <c r="Q921" s="797">
        <v>0</v>
      </c>
      <c r="R921" s="797">
        <f t="shared" ref="R921:R929" si="230">N921</f>
        <v>4456224.4000000004</v>
      </c>
      <c r="S921" s="797">
        <f t="shared" ref="S921:S929" si="231">N921/K921</f>
        <v>1004.242213909046</v>
      </c>
      <c r="T921" s="797">
        <v>4180</v>
      </c>
      <c r="U921" s="132" t="s">
        <v>590</v>
      </c>
      <c r="V921" s="144">
        <f t="shared" si="220"/>
        <v>3175.7577860909541</v>
      </c>
      <c r="W921" s="521"/>
    </row>
    <row r="922" spans="1:23" s="159" customFormat="1" ht="9" customHeight="1">
      <c r="A922" s="794">
        <v>184</v>
      </c>
      <c r="B922" s="785" t="s">
        <v>873</v>
      </c>
      <c r="C922" s="794" t="s">
        <v>1192</v>
      </c>
      <c r="D922" s="794" t="s">
        <v>110</v>
      </c>
      <c r="E922" s="794" t="s">
        <v>841</v>
      </c>
      <c r="F922" s="794"/>
      <c r="G922" s="794" t="s">
        <v>88</v>
      </c>
      <c r="H922" s="130">
        <v>5</v>
      </c>
      <c r="I922" s="130">
        <v>4</v>
      </c>
      <c r="J922" s="797">
        <v>3156.8</v>
      </c>
      <c r="K922" s="797">
        <v>2840.9</v>
      </c>
      <c r="L922" s="797">
        <v>2840.9</v>
      </c>
      <c r="M922" s="130">
        <v>107</v>
      </c>
      <c r="N922" s="797">
        <f>'Приложение 2'!E924</f>
        <v>2658531.6</v>
      </c>
      <c r="O922" s="797">
        <v>0</v>
      </c>
      <c r="P922" s="797">
        <v>0</v>
      </c>
      <c r="Q922" s="797">
        <v>0</v>
      </c>
      <c r="R922" s="797">
        <f t="shared" si="230"/>
        <v>2658531.6</v>
      </c>
      <c r="S922" s="797">
        <f t="shared" si="231"/>
        <v>935.80611777957688</v>
      </c>
      <c r="T922" s="797">
        <v>4180</v>
      </c>
      <c r="U922" s="132" t="s">
        <v>590</v>
      </c>
      <c r="V922" s="144">
        <f t="shared" si="220"/>
        <v>3244.1938822204229</v>
      </c>
      <c r="W922" s="521"/>
    </row>
    <row r="923" spans="1:23" s="159" customFormat="1" ht="9" customHeight="1">
      <c r="A923" s="794">
        <v>185</v>
      </c>
      <c r="B923" s="785" t="s">
        <v>874</v>
      </c>
      <c r="C923" s="794" t="s">
        <v>1192</v>
      </c>
      <c r="D923" s="794" t="s">
        <v>111</v>
      </c>
      <c r="E923" s="794" t="s">
        <v>612</v>
      </c>
      <c r="F923" s="794"/>
      <c r="G923" s="794" t="s">
        <v>88</v>
      </c>
      <c r="H923" s="130">
        <v>1</v>
      </c>
      <c r="I923" s="794">
        <v>1</v>
      </c>
      <c r="J923" s="797">
        <v>515.5</v>
      </c>
      <c r="K923" s="797">
        <v>504.1</v>
      </c>
      <c r="L923" s="797">
        <v>380.7</v>
      </c>
      <c r="M923" s="130">
        <v>26</v>
      </c>
      <c r="N923" s="797">
        <f>'Приложение 2'!E925</f>
        <v>1804572</v>
      </c>
      <c r="O923" s="797">
        <v>0</v>
      </c>
      <c r="P923" s="797">
        <v>0</v>
      </c>
      <c r="Q923" s="797">
        <v>0</v>
      </c>
      <c r="R923" s="797">
        <f t="shared" si="230"/>
        <v>1804572</v>
      </c>
      <c r="S923" s="797">
        <f t="shared" si="231"/>
        <v>3579.7897242610593</v>
      </c>
      <c r="T923" s="797">
        <v>4503.95</v>
      </c>
      <c r="U923" s="132" t="s">
        <v>590</v>
      </c>
      <c r="V923" s="144">
        <f t="shared" si="220"/>
        <v>924.16027573894053</v>
      </c>
      <c r="W923" s="521"/>
    </row>
    <row r="924" spans="1:23" s="159" customFormat="1" ht="9" customHeight="1">
      <c r="A924" s="794">
        <v>186</v>
      </c>
      <c r="B924" s="785" t="s">
        <v>875</v>
      </c>
      <c r="C924" s="794" t="s">
        <v>1198</v>
      </c>
      <c r="D924" s="794" t="s">
        <v>111</v>
      </c>
      <c r="E924" s="794" t="s">
        <v>592</v>
      </c>
      <c r="F924" s="794"/>
      <c r="G924" s="794" t="s">
        <v>88</v>
      </c>
      <c r="H924" s="130">
        <v>2</v>
      </c>
      <c r="I924" s="130">
        <v>4</v>
      </c>
      <c r="J924" s="797">
        <v>1212.3</v>
      </c>
      <c r="K924" s="797">
        <v>718.4</v>
      </c>
      <c r="L924" s="797">
        <v>718.4</v>
      </c>
      <c r="M924" s="130">
        <v>12</v>
      </c>
      <c r="N924" s="797">
        <f>'Приложение 2'!E926</f>
        <v>2080457.6600000001</v>
      </c>
      <c r="O924" s="797">
        <v>0</v>
      </c>
      <c r="P924" s="797">
        <v>0</v>
      </c>
      <c r="Q924" s="797">
        <v>0</v>
      </c>
      <c r="R924" s="797">
        <f t="shared" si="230"/>
        <v>2080457.6600000001</v>
      </c>
      <c r="S924" s="797">
        <f t="shared" si="231"/>
        <v>2895.9599944320717</v>
      </c>
      <c r="T924" s="797">
        <v>5307.56</v>
      </c>
      <c r="U924" s="132" t="s">
        <v>590</v>
      </c>
      <c r="V924" s="144">
        <f t="shared" si="220"/>
        <v>2411.6000055679287</v>
      </c>
      <c r="W924" s="521"/>
    </row>
    <row r="925" spans="1:23" s="159" customFormat="1" ht="9" customHeight="1">
      <c r="A925" s="794">
        <v>187</v>
      </c>
      <c r="B925" s="785" t="s">
        <v>876</v>
      </c>
      <c r="C925" s="794" t="s">
        <v>1192</v>
      </c>
      <c r="D925" s="794" t="s">
        <v>111</v>
      </c>
      <c r="E925" s="794" t="s">
        <v>797</v>
      </c>
      <c r="F925" s="794"/>
      <c r="G925" s="794" t="s">
        <v>88</v>
      </c>
      <c r="H925" s="130">
        <v>2</v>
      </c>
      <c r="I925" s="130">
        <v>1</v>
      </c>
      <c r="J925" s="797">
        <v>794.7</v>
      </c>
      <c r="K925" s="797">
        <v>784.7</v>
      </c>
      <c r="L925" s="797">
        <v>267</v>
      </c>
      <c r="M925" s="130">
        <v>11</v>
      </c>
      <c r="N925" s="797">
        <f>'Приложение 2'!E927</f>
        <v>2248406.16</v>
      </c>
      <c r="O925" s="797">
        <v>0</v>
      </c>
      <c r="P925" s="797">
        <v>0</v>
      </c>
      <c r="Q925" s="797">
        <v>0</v>
      </c>
      <c r="R925" s="797">
        <f t="shared" si="230"/>
        <v>2248406.16</v>
      </c>
      <c r="S925" s="797">
        <f t="shared" si="231"/>
        <v>2865.306690454951</v>
      </c>
      <c r="T925" s="797">
        <v>4503.95</v>
      </c>
      <c r="U925" s="132" t="s">
        <v>590</v>
      </c>
      <c r="V925" s="144">
        <f t="shared" si="220"/>
        <v>1638.6433095450489</v>
      </c>
      <c r="W925" s="521"/>
    </row>
    <row r="926" spans="1:23" s="159" customFormat="1" ht="9" customHeight="1">
      <c r="A926" s="794">
        <v>188</v>
      </c>
      <c r="B926" s="785" t="s">
        <v>877</v>
      </c>
      <c r="C926" s="794" t="s">
        <v>1192</v>
      </c>
      <c r="D926" s="794" t="s">
        <v>110</v>
      </c>
      <c r="E926" s="794" t="s">
        <v>618</v>
      </c>
      <c r="F926" s="794"/>
      <c r="G926" s="794" t="s">
        <v>88</v>
      </c>
      <c r="H926" s="130">
        <v>5</v>
      </c>
      <c r="I926" s="130">
        <v>6</v>
      </c>
      <c r="J926" s="797">
        <v>4760.2</v>
      </c>
      <c r="K926" s="797">
        <v>4096.8</v>
      </c>
      <c r="L926" s="797">
        <v>4096.8</v>
      </c>
      <c r="M926" s="130">
        <v>227</v>
      </c>
      <c r="N926" s="797">
        <f>'Приложение 2'!E928</f>
        <v>4169667.1</v>
      </c>
      <c r="O926" s="797">
        <v>0</v>
      </c>
      <c r="P926" s="797">
        <v>0</v>
      </c>
      <c r="Q926" s="797">
        <v>0</v>
      </c>
      <c r="R926" s="797">
        <f t="shared" si="230"/>
        <v>4169667.1</v>
      </c>
      <c r="S926" s="797">
        <f t="shared" si="231"/>
        <v>1017.7863454403437</v>
      </c>
      <c r="T926" s="797">
        <v>4180</v>
      </c>
      <c r="U926" s="132" t="s">
        <v>590</v>
      </c>
      <c r="V926" s="144">
        <f t="shared" si="220"/>
        <v>3162.2136545596563</v>
      </c>
      <c r="W926" s="521"/>
    </row>
    <row r="927" spans="1:23" s="159" customFormat="1" ht="9" customHeight="1">
      <c r="A927" s="794">
        <v>189</v>
      </c>
      <c r="B927" s="785" t="s">
        <v>878</v>
      </c>
      <c r="C927" s="794" t="s">
        <v>1192</v>
      </c>
      <c r="D927" s="794" t="s">
        <v>110</v>
      </c>
      <c r="E927" s="794" t="s">
        <v>604</v>
      </c>
      <c r="F927" s="794"/>
      <c r="G927" s="794" t="s">
        <v>88</v>
      </c>
      <c r="H927" s="130">
        <v>2</v>
      </c>
      <c r="I927" s="130">
        <v>1</v>
      </c>
      <c r="J927" s="797">
        <v>442.1</v>
      </c>
      <c r="K927" s="797">
        <v>384.5</v>
      </c>
      <c r="L927" s="797">
        <v>384.5</v>
      </c>
      <c r="M927" s="130">
        <v>176</v>
      </c>
      <c r="N927" s="797">
        <f>'Приложение 2'!E929</f>
        <v>1024538.2</v>
      </c>
      <c r="O927" s="797">
        <v>0</v>
      </c>
      <c r="P927" s="797">
        <v>0</v>
      </c>
      <c r="Q927" s="797">
        <v>0</v>
      </c>
      <c r="R927" s="797">
        <f t="shared" si="230"/>
        <v>1024538.2</v>
      </c>
      <c r="S927" s="797">
        <f t="shared" si="231"/>
        <v>2664.5986996098827</v>
      </c>
      <c r="T927" s="797">
        <v>4180</v>
      </c>
      <c r="U927" s="132" t="s">
        <v>590</v>
      </c>
      <c r="V927" s="144">
        <f t="shared" si="220"/>
        <v>1515.4013003901173</v>
      </c>
      <c r="W927" s="521"/>
    </row>
    <row r="928" spans="1:23" s="159" customFormat="1" ht="9" customHeight="1">
      <c r="A928" s="794">
        <v>190</v>
      </c>
      <c r="B928" s="785" t="s">
        <v>879</v>
      </c>
      <c r="C928" s="794" t="s">
        <v>1192</v>
      </c>
      <c r="D928" s="794" t="s">
        <v>111</v>
      </c>
      <c r="E928" s="794" t="s">
        <v>592</v>
      </c>
      <c r="F928" s="794"/>
      <c r="G928" s="794" t="s">
        <v>881</v>
      </c>
      <c r="H928" s="130">
        <v>2</v>
      </c>
      <c r="I928" s="130">
        <v>2</v>
      </c>
      <c r="J928" s="797">
        <v>573.29999999999995</v>
      </c>
      <c r="K928" s="797">
        <v>458</v>
      </c>
      <c r="L928" s="797">
        <v>458</v>
      </c>
      <c r="M928" s="130">
        <v>25</v>
      </c>
      <c r="N928" s="797">
        <f>'Приложение 2'!E930</f>
        <v>1623468</v>
      </c>
      <c r="O928" s="797">
        <v>0</v>
      </c>
      <c r="P928" s="797">
        <v>0</v>
      </c>
      <c r="Q928" s="797">
        <v>0</v>
      </c>
      <c r="R928" s="797">
        <f t="shared" si="230"/>
        <v>1623468</v>
      </c>
      <c r="S928" s="797">
        <f t="shared" si="231"/>
        <v>3544.6899563318775</v>
      </c>
      <c r="T928" s="797">
        <v>4503.95</v>
      </c>
      <c r="U928" s="132" t="s">
        <v>590</v>
      </c>
      <c r="V928" s="144">
        <f t="shared" si="220"/>
        <v>959.26004366812231</v>
      </c>
      <c r="W928" s="521"/>
    </row>
    <row r="929" spans="1:23" s="159" customFormat="1" ht="9" customHeight="1">
      <c r="A929" s="794">
        <v>191</v>
      </c>
      <c r="B929" s="785" t="s">
        <v>880</v>
      </c>
      <c r="C929" s="794" t="s">
        <v>1192</v>
      </c>
      <c r="D929" s="794" t="s">
        <v>110</v>
      </c>
      <c r="E929" s="794" t="s">
        <v>617</v>
      </c>
      <c r="F929" s="794"/>
      <c r="G929" s="794" t="s">
        <v>88</v>
      </c>
      <c r="H929" s="130">
        <v>2</v>
      </c>
      <c r="I929" s="130">
        <v>1</v>
      </c>
      <c r="J929" s="797">
        <v>417.5</v>
      </c>
      <c r="K929" s="797">
        <v>371</v>
      </c>
      <c r="L929" s="797">
        <v>371</v>
      </c>
      <c r="M929" s="130">
        <v>15</v>
      </c>
      <c r="N929" s="797">
        <f>'Приложение 2'!E931</f>
        <v>1234913.6000000001</v>
      </c>
      <c r="O929" s="797">
        <v>0</v>
      </c>
      <c r="P929" s="797">
        <v>0</v>
      </c>
      <c r="Q929" s="797">
        <v>0</v>
      </c>
      <c r="R929" s="797">
        <f t="shared" si="230"/>
        <v>1234913.6000000001</v>
      </c>
      <c r="S929" s="797">
        <f t="shared" si="231"/>
        <v>3328.6080862533695</v>
      </c>
      <c r="T929" s="797">
        <v>4180</v>
      </c>
      <c r="U929" s="132" t="s">
        <v>590</v>
      </c>
      <c r="V929" s="144">
        <f t="shared" si="220"/>
        <v>851.39191374663051</v>
      </c>
      <c r="W929" s="521"/>
    </row>
    <row r="930" spans="1:23" s="159" customFormat="1" ht="21.75" customHeight="1">
      <c r="A930" s="829" t="s">
        <v>301</v>
      </c>
      <c r="B930" s="830"/>
      <c r="C930" s="794"/>
      <c r="D930" s="794"/>
      <c r="E930" s="794" t="s">
        <v>391</v>
      </c>
      <c r="F930" s="794" t="s">
        <v>391</v>
      </c>
      <c r="G930" s="794" t="s">
        <v>391</v>
      </c>
      <c r="H930" s="794" t="s">
        <v>391</v>
      </c>
      <c r="I930" s="794" t="s">
        <v>391</v>
      </c>
      <c r="J930" s="797">
        <f t="shared" ref="J930:R930" si="232">SUM(J921:J929)</f>
        <v>17196.300000000003</v>
      </c>
      <c r="K930" s="797">
        <f t="shared" si="232"/>
        <v>14595.8</v>
      </c>
      <c r="L930" s="797">
        <f t="shared" si="232"/>
        <v>10386.299999999999</v>
      </c>
      <c r="M930" s="130">
        <f t="shared" si="232"/>
        <v>639</v>
      </c>
      <c r="N930" s="797">
        <f t="shared" si="232"/>
        <v>21300778.720000003</v>
      </c>
      <c r="O930" s="797">
        <f t="shared" si="232"/>
        <v>0</v>
      </c>
      <c r="P930" s="797">
        <f t="shared" si="232"/>
        <v>0</v>
      </c>
      <c r="Q930" s="797">
        <f t="shared" si="232"/>
        <v>0</v>
      </c>
      <c r="R930" s="797">
        <f t="shared" si="232"/>
        <v>21300778.720000003</v>
      </c>
      <c r="S930" s="797">
        <f>N930/K930</f>
        <v>1459.3772674330974</v>
      </c>
      <c r="T930" s="797"/>
      <c r="U930" s="132"/>
      <c r="V930" s="144">
        <f t="shared" si="220"/>
        <v>-1459.3772674330974</v>
      </c>
      <c r="W930" s="521"/>
    </row>
    <row r="931" spans="1:23" s="159" customFormat="1" ht="9" customHeight="1">
      <c r="A931" s="821" t="s">
        <v>296</v>
      </c>
      <c r="B931" s="821"/>
      <c r="C931" s="821"/>
      <c r="D931" s="821"/>
      <c r="E931" s="821"/>
      <c r="F931" s="821"/>
      <c r="G931" s="821"/>
      <c r="H931" s="821"/>
      <c r="I931" s="821"/>
      <c r="J931" s="821"/>
      <c r="K931" s="821"/>
      <c r="L931" s="821"/>
      <c r="M931" s="821"/>
      <c r="N931" s="821"/>
      <c r="O931" s="821"/>
      <c r="P931" s="821"/>
      <c r="Q931" s="821"/>
      <c r="R931" s="821"/>
      <c r="S931" s="821"/>
      <c r="T931" s="821"/>
      <c r="U931" s="821"/>
      <c r="V931" s="144">
        <f t="shared" si="220"/>
        <v>0</v>
      </c>
      <c r="W931" s="521"/>
    </row>
    <row r="932" spans="1:23" s="159" customFormat="1" ht="9" customHeight="1">
      <c r="A932" s="157">
        <v>192</v>
      </c>
      <c r="B932" s="156" t="s">
        <v>885</v>
      </c>
      <c r="C932" s="785" t="s">
        <v>1192</v>
      </c>
      <c r="D932" s="794" t="s">
        <v>111</v>
      </c>
      <c r="E932" s="794" t="s">
        <v>602</v>
      </c>
      <c r="F932" s="794"/>
      <c r="G932" s="794" t="s">
        <v>88</v>
      </c>
      <c r="H932" s="130">
        <v>2</v>
      </c>
      <c r="I932" s="130">
        <v>2</v>
      </c>
      <c r="J932" s="797">
        <v>380.2</v>
      </c>
      <c r="K932" s="797">
        <v>347.9</v>
      </c>
      <c r="L932" s="797">
        <v>347.9</v>
      </c>
      <c r="M932" s="130">
        <v>13</v>
      </c>
      <c r="N932" s="797">
        <f>'Приложение 2'!E934</f>
        <v>1188495</v>
      </c>
      <c r="O932" s="797">
        <v>0</v>
      </c>
      <c r="P932" s="797">
        <v>0</v>
      </c>
      <c r="Q932" s="797">
        <v>0</v>
      </c>
      <c r="R932" s="797">
        <f t="shared" ref="R932" si="233">N932</f>
        <v>1188495</v>
      </c>
      <c r="S932" s="797">
        <f t="shared" ref="S932" si="234">N932/K932</f>
        <v>3416.1971830985917</v>
      </c>
      <c r="T932" s="797">
        <v>4503.95</v>
      </c>
      <c r="U932" s="132" t="s">
        <v>590</v>
      </c>
      <c r="V932" s="144">
        <f t="shared" si="220"/>
        <v>1087.7528169014081</v>
      </c>
      <c r="W932" s="521"/>
    </row>
    <row r="933" spans="1:23" s="159" customFormat="1" ht="22.5" customHeight="1">
      <c r="A933" s="822" t="s">
        <v>302</v>
      </c>
      <c r="B933" s="822"/>
      <c r="C933" s="785"/>
      <c r="D933" s="785"/>
      <c r="E933" s="794" t="s">
        <v>391</v>
      </c>
      <c r="F933" s="794" t="s">
        <v>391</v>
      </c>
      <c r="G933" s="794" t="s">
        <v>391</v>
      </c>
      <c r="H933" s="794" t="s">
        <v>391</v>
      </c>
      <c r="I933" s="794" t="s">
        <v>391</v>
      </c>
      <c r="J933" s="797">
        <f>SUM(J932)</f>
        <v>380.2</v>
      </c>
      <c r="K933" s="797">
        <f t="shared" ref="K933:O933" si="235">SUM(K932)</f>
        <v>347.9</v>
      </c>
      <c r="L933" s="797">
        <f t="shared" si="235"/>
        <v>347.9</v>
      </c>
      <c r="M933" s="130">
        <f t="shared" si="235"/>
        <v>13</v>
      </c>
      <c r="N933" s="797">
        <f t="shared" ref="N933" si="236">SUM(N932:N932)</f>
        <v>1188495</v>
      </c>
      <c r="O933" s="797">
        <f t="shared" si="235"/>
        <v>0</v>
      </c>
      <c r="P933" s="797">
        <f t="shared" ref="P933" si="237">SUM(P932)</f>
        <v>0</v>
      </c>
      <c r="Q933" s="797">
        <f t="shared" ref="Q933:R933" si="238">SUM(Q932)</f>
        <v>0</v>
      </c>
      <c r="R933" s="797">
        <f t="shared" si="238"/>
        <v>1188495</v>
      </c>
      <c r="S933" s="797">
        <f>N933/K933</f>
        <v>3416.1971830985917</v>
      </c>
      <c r="T933" s="797"/>
      <c r="U933" s="132"/>
      <c r="V933" s="144">
        <f t="shared" si="220"/>
        <v>-3416.1971830985917</v>
      </c>
      <c r="W933" s="521"/>
    </row>
    <row r="934" spans="1:23" s="159" customFormat="1" ht="9" customHeight="1">
      <c r="A934" s="821" t="s">
        <v>298</v>
      </c>
      <c r="B934" s="821"/>
      <c r="C934" s="821"/>
      <c r="D934" s="821"/>
      <c r="E934" s="821"/>
      <c r="F934" s="821"/>
      <c r="G934" s="821"/>
      <c r="H934" s="821"/>
      <c r="I934" s="821"/>
      <c r="J934" s="821"/>
      <c r="K934" s="821"/>
      <c r="L934" s="821"/>
      <c r="M934" s="821"/>
      <c r="N934" s="821"/>
      <c r="O934" s="821"/>
      <c r="P934" s="821"/>
      <c r="Q934" s="821"/>
      <c r="R934" s="821"/>
      <c r="S934" s="821"/>
      <c r="T934" s="821"/>
      <c r="U934" s="821"/>
      <c r="V934" s="144">
        <f t="shared" si="220"/>
        <v>0</v>
      </c>
      <c r="W934" s="521"/>
    </row>
    <row r="935" spans="1:23" s="159" customFormat="1" ht="9" customHeight="1">
      <c r="A935" s="794">
        <v>193</v>
      </c>
      <c r="B935" s="785" t="s">
        <v>883</v>
      </c>
      <c r="C935" s="794" t="s">
        <v>1192</v>
      </c>
      <c r="D935" s="794" t="s">
        <v>111</v>
      </c>
      <c r="E935" s="794" t="s">
        <v>618</v>
      </c>
      <c r="F935" s="794"/>
      <c r="G935" s="794" t="s">
        <v>88</v>
      </c>
      <c r="H935" s="130">
        <v>2</v>
      </c>
      <c r="I935" s="130">
        <v>3</v>
      </c>
      <c r="J935" s="797">
        <v>2570.4</v>
      </c>
      <c r="K935" s="797">
        <v>994.1</v>
      </c>
      <c r="L935" s="797">
        <v>994.1</v>
      </c>
      <c r="M935" s="794">
        <v>38</v>
      </c>
      <c r="N935" s="797">
        <f>'Приложение 2'!E937</f>
        <v>3568395.6</v>
      </c>
      <c r="O935" s="797">
        <v>0</v>
      </c>
      <c r="P935" s="797">
        <v>0</v>
      </c>
      <c r="Q935" s="797">
        <v>0</v>
      </c>
      <c r="R935" s="797">
        <f t="shared" ref="R935" si="239">N935</f>
        <v>3568395.6</v>
      </c>
      <c r="S935" s="797">
        <f t="shared" ref="S935" si="240">N935/K935</f>
        <v>3589.5740871139724</v>
      </c>
      <c r="T935" s="797">
        <v>4503.95</v>
      </c>
      <c r="U935" s="132" t="s">
        <v>590</v>
      </c>
      <c r="V935" s="144">
        <f t="shared" si="220"/>
        <v>914.37591288602744</v>
      </c>
      <c r="W935" s="521"/>
    </row>
    <row r="936" spans="1:23" s="159" customFormat="1" ht="21.75" customHeight="1">
      <c r="A936" s="822" t="s">
        <v>304</v>
      </c>
      <c r="B936" s="822"/>
      <c r="C936" s="785"/>
      <c r="D936" s="785"/>
      <c r="E936" s="794" t="s">
        <v>391</v>
      </c>
      <c r="F936" s="794" t="s">
        <v>391</v>
      </c>
      <c r="G936" s="794" t="s">
        <v>391</v>
      </c>
      <c r="H936" s="794" t="s">
        <v>391</v>
      </c>
      <c r="I936" s="794" t="s">
        <v>391</v>
      </c>
      <c r="J936" s="797">
        <f t="shared" ref="J936:M936" si="241">SUM(J935)</f>
        <v>2570.4</v>
      </c>
      <c r="K936" s="797">
        <f t="shared" si="241"/>
        <v>994.1</v>
      </c>
      <c r="L936" s="797">
        <f t="shared" si="241"/>
        <v>994.1</v>
      </c>
      <c r="M936" s="794">
        <f t="shared" si="241"/>
        <v>38</v>
      </c>
      <c r="N936" s="797">
        <f>SUM(N935)</f>
        <v>3568395.6</v>
      </c>
      <c r="O936" s="797">
        <f t="shared" ref="O936:R936" si="242">SUM(O935)</f>
        <v>0</v>
      </c>
      <c r="P936" s="797">
        <f t="shared" si="242"/>
        <v>0</v>
      </c>
      <c r="Q936" s="797">
        <f t="shared" si="242"/>
        <v>0</v>
      </c>
      <c r="R936" s="797">
        <f t="shared" si="242"/>
        <v>3568395.6</v>
      </c>
      <c r="S936" s="797">
        <f>N936/K936</f>
        <v>3589.5740871139724</v>
      </c>
      <c r="T936" s="794"/>
      <c r="U936" s="132"/>
      <c r="V936" s="144">
        <f t="shared" si="220"/>
        <v>-3589.5740871139724</v>
      </c>
      <c r="W936" s="521"/>
    </row>
    <row r="937" spans="1:23" s="159" customFormat="1" ht="9" customHeight="1">
      <c r="A937" s="828" t="s">
        <v>899</v>
      </c>
      <c r="B937" s="828"/>
      <c r="C937" s="828"/>
      <c r="D937" s="828"/>
      <c r="E937" s="828"/>
      <c r="F937" s="828"/>
      <c r="G937" s="828"/>
      <c r="H937" s="828"/>
      <c r="I937" s="828"/>
      <c r="J937" s="828"/>
      <c r="K937" s="828"/>
      <c r="L937" s="828"/>
      <c r="M937" s="828"/>
      <c r="N937" s="828"/>
      <c r="O937" s="828"/>
      <c r="P937" s="828"/>
      <c r="Q937" s="828"/>
      <c r="R937" s="828"/>
      <c r="S937" s="828"/>
      <c r="T937" s="828"/>
      <c r="U937" s="828"/>
      <c r="V937" s="144">
        <f t="shared" si="220"/>
        <v>0</v>
      </c>
      <c r="W937" s="521"/>
    </row>
    <row r="938" spans="1:23" s="159" customFormat="1" ht="9" customHeight="1">
      <c r="A938" s="178">
        <v>194</v>
      </c>
      <c r="B938" s="785" t="s">
        <v>900</v>
      </c>
      <c r="C938" s="794" t="s">
        <v>1192</v>
      </c>
      <c r="D938" s="794" t="s">
        <v>111</v>
      </c>
      <c r="E938" s="794" t="s">
        <v>591</v>
      </c>
      <c r="F938" s="794"/>
      <c r="G938" s="794" t="s">
        <v>88</v>
      </c>
      <c r="H938" s="130">
        <v>2</v>
      </c>
      <c r="I938" s="130">
        <v>2</v>
      </c>
      <c r="J938" s="797">
        <v>665.6</v>
      </c>
      <c r="K938" s="797">
        <v>601.1</v>
      </c>
      <c r="L938" s="797">
        <v>601.1</v>
      </c>
      <c r="M938" s="794">
        <v>29</v>
      </c>
      <c r="N938" s="797">
        <f>'Приложение 2'!E940</f>
        <v>1513512</v>
      </c>
      <c r="O938" s="180">
        <v>0</v>
      </c>
      <c r="P938" s="180">
        <v>0</v>
      </c>
      <c r="Q938" s="180">
        <v>0</v>
      </c>
      <c r="R938" s="180">
        <f>N938</f>
        <v>1513512</v>
      </c>
      <c r="S938" s="797">
        <f t="shared" ref="S938" si="243">N938/K938</f>
        <v>2517.9038429545831</v>
      </c>
      <c r="T938" s="797">
        <v>4503.95</v>
      </c>
      <c r="U938" s="132" t="s">
        <v>590</v>
      </c>
      <c r="V938" s="144">
        <f t="shared" si="220"/>
        <v>1986.0461570454167</v>
      </c>
      <c r="W938" s="521"/>
    </row>
    <row r="939" spans="1:23" s="159" customFormat="1" ht="21" customHeight="1">
      <c r="A939" s="836" t="s">
        <v>901</v>
      </c>
      <c r="B939" s="836"/>
      <c r="C939" s="791"/>
      <c r="D939" s="791"/>
      <c r="E939" s="794" t="s">
        <v>391</v>
      </c>
      <c r="F939" s="794" t="s">
        <v>391</v>
      </c>
      <c r="G939" s="794" t="s">
        <v>391</v>
      </c>
      <c r="H939" s="794" t="s">
        <v>391</v>
      </c>
      <c r="I939" s="794" t="s">
        <v>391</v>
      </c>
      <c r="J939" s="180">
        <f>J938+J937</f>
        <v>665.6</v>
      </c>
      <c r="K939" s="180">
        <f>K938+K937</f>
        <v>601.1</v>
      </c>
      <c r="L939" s="180">
        <f>L938+L937</f>
        <v>601.1</v>
      </c>
      <c r="M939" s="181">
        <f>M938+M937</f>
        <v>29</v>
      </c>
      <c r="N939" s="180">
        <f>N938+N937</f>
        <v>1513512</v>
      </c>
      <c r="O939" s="180">
        <v>0</v>
      </c>
      <c r="P939" s="180">
        <v>0</v>
      </c>
      <c r="Q939" s="180">
        <v>0</v>
      </c>
      <c r="R939" s="180">
        <f>SUM(R937:R938)</f>
        <v>1513512</v>
      </c>
      <c r="S939" s="797">
        <f>N939/K939</f>
        <v>2517.9038429545831</v>
      </c>
      <c r="T939" s="178"/>
      <c r="U939" s="182"/>
      <c r="V939" s="144">
        <f t="shared" si="220"/>
        <v>-2517.9038429545831</v>
      </c>
      <c r="W939" s="521"/>
    </row>
    <row r="940" spans="1:23" s="159" customFormat="1" ht="14.25" customHeight="1">
      <c r="A940" s="871" t="s">
        <v>1027</v>
      </c>
      <c r="B940" s="872"/>
      <c r="C940" s="872"/>
      <c r="D940" s="872"/>
      <c r="E940" s="872"/>
      <c r="F940" s="872"/>
      <c r="G940" s="872"/>
      <c r="H940" s="872"/>
      <c r="I940" s="872"/>
      <c r="J940" s="872"/>
      <c r="K940" s="872"/>
      <c r="L940" s="872"/>
      <c r="M940" s="872"/>
      <c r="N940" s="872"/>
      <c r="O940" s="872"/>
      <c r="P940" s="872"/>
      <c r="Q940" s="872"/>
      <c r="R940" s="872"/>
      <c r="S940" s="872"/>
      <c r="T940" s="872"/>
      <c r="U940" s="873"/>
      <c r="V940" s="144"/>
      <c r="W940" s="521"/>
    </row>
    <row r="941" spans="1:23" s="159" customFormat="1" ht="9" customHeight="1">
      <c r="A941" s="178">
        <v>195</v>
      </c>
      <c r="B941" s="785" t="s">
        <v>893</v>
      </c>
      <c r="C941" s="794" t="s">
        <v>1192</v>
      </c>
      <c r="D941" s="794" t="s">
        <v>110</v>
      </c>
      <c r="E941" s="794" t="s">
        <v>607</v>
      </c>
      <c r="F941" s="178"/>
      <c r="G941" s="794" t="s">
        <v>90</v>
      </c>
      <c r="H941" s="130">
        <v>5</v>
      </c>
      <c r="I941" s="130">
        <v>3</v>
      </c>
      <c r="J941" s="797">
        <v>4425.1000000000004</v>
      </c>
      <c r="K941" s="797">
        <v>3105.5</v>
      </c>
      <c r="L941" s="797">
        <v>3004.74</v>
      </c>
      <c r="M941" s="794">
        <v>123</v>
      </c>
      <c r="N941" s="797">
        <f>'Приложение 2'!E943</f>
        <v>2933920</v>
      </c>
      <c r="O941" s="180">
        <v>0</v>
      </c>
      <c r="P941" s="180">
        <v>0</v>
      </c>
      <c r="Q941" s="180">
        <v>0</v>
      </c>
      <c r="R941" s="180">
        <f t="shared" ref="R941:R946" si="244">N941</f>
        <v>2933920</v>
      </c>
      <c r="S941" s="797">
        <f t="shared" ref="S941:S946" si="245">N941/K941</f>
        <v>944.74963773949446</v>
      </c>
      <c r="T941" s="797">
        <v>4180</v>
      </c>
      <c r="U941" s="132" t="s">
        <v>590</v>
      </c>
      <c r="V941" s="144">
        <f t="shared" si="220"/>
        <v>3235.2503622605054</v>
      </c>
      <c r="W941" s="521"/>
    </row>
    <row r="942" spans="1:23" s="159" customFormat="1" ht="9" customHeight="1">
      <c r="A942" s="178">
        <v>196</v>
      </c>
      <c r="B942" s="785" t="s">
        <v>894</v>
      </c>
      <c r="C942" s="794" t="s">
        <v>1192</v>
      </c>
      <c r="D942" s="794" t="s">
        <v>110</v>
      </c>
      <c r="E942" s="794" t="s">
        <v>599</v>
      </c>
      <c r="F942" s="178"/>
      <c r="G942" s="794" t="s">
        <v>90</v>
      </c>
      <c r="H942" s="130">
        <v>5</v>
      </c>
      <c r="I942" s="130">
        <v>4</v>
      </c>
      <c r="J942" s="797">
        <v>4402.8999999999996</v>
      </c>
      <c r="K942" s="797">
        <v>3225.6</v>
      </c>
      <c r="L942" s="797">
        <v>3181.9</v>
      </c>
      <c r="M942" s="130">
        <v>125</v>
      </c>
      <c r="N942" s="797">
        <f>'Приложение 2'!E944</f>
        <v>2817230</v>
      </c>
      <c r="O942" s="180">
        <v>0</v>
      </c>
      <c r="P942" s="180">
        <v>0</v>
      </c>
      <c r="Q942" s="180">
        <v>0</v>
      </c>
      <c r="R942" s="180">
        <f t="shared" si="244"/>
        <v>2817230</v>
      </c>
      <c r="S942" s="797">
        <f t="shared" si="245"/>
        <v>873.39719742063494</v>
      </c>
      <c r="T942" s="797">
        <v>4180</v>
      </c>
      <c r="U942" s="132" t="s">
        <v>590</v>
      </c>
      <c r="V942" s="144">
        <f t="shared" si="220"/>
        <v>3306.6028025793648</v>
      </c>
      <c r="W942" s="521"/>
    </row>
    <row r="943" spans="1:23" s="159" customFormat="1" ht="9" customHeight="1">
      <c r="A943" s="178">
        <v>197</v>
      </c>
      <c r="B943" s="785" t="s">
        <v>895</v>
      </c>
      <c r="C943" s="794" t="s">
        <v>1192</v>
      </c>
      <c r="D943" s="794" t="s">
        <v>110</v>
      </c>
      <c r="E943" s="794" t="s">
        <v>616</v>
      </c>
      <c r="F943" s="178"/>
      <c r="G943" s="794" t="s">
        <v>88</v>
      </c>
      <c r="H943" s="130">
        <v>5</v>
      </c>
      <c r="I943" s="130">
        <v>4</v>
      </c>
      <c r="J943" s="797">
        <v>3605.7</v>
      </c>
      <c r="K943" s="797">
        <v>2592.1999999999998</v>
      </c>
      <c r="L943" s="797">
        <v>2523.5</v>
      </c>
      <c r="M943" s="130">
        <v>106</v>
      </c>
      <c r="N943" s="797">
        <f>'Приложение 2'!E945</f>
        <v>2817230</v>
      </c>
      <c r="O943" s="180">
        <v>0</v>
      </c>
      <c r="P943" s="180">
        <v>0</v>
      </c>
      <c r="Q943" s="180">
        <v>0</v>
      </c>
      <c r="R943" s="180">
        <f t="shared" si="244"/>
        <v>2817230</v>
      </c>
      <c r="S943" s="797">
        <f t="shared" si="245"/>
        <v>1086.8104312938817</v>
      </c>
      <c r="T943" s="797">
        <v>4180</v>
      </c>
      <c r="U943" s="132" t="s">
        <v>590</v>
      </c>
      <c r="V943" s="144">
        <f t="shared" si="220"/>
        <v>3093.1895687061183</v>
      </c>
      <c r="W943" s="521"/>
    </row>
    <row r="944" spans="1:23" s="159" customFormat="1" ht="9" customHeight="1">
      <c r="A944" s="178">
        <v>198</v>
      </c>
      <c r="B944" s="785" t="s">
        <v>896</v>
      </c>
      <c r="C944" s="794" t="s">
        <v>1192</v>
      </c>
      <c r="D944" s="794" t="s">
        <v>110</v>
      </c>
      <c r="E944" s="794" t="s">
        <v>616</v>
      </c>
      <c r="F944" s="178"/>
      <c r="G944" s="794" t="s">
        <v>88</v>
      </c>
      <c r="H944" s="130">
        <v>5</v>
      </c>
      <c r="I944" s="130">
        <v>4</v>
      </c>
      <c r="J944" s="797">
        <v>4527.5</v>
      </c>
      <c r="K944" s="797">
        <v>3042.2</v>
      </c>
      <c r="L944" s="797">
        <v>2981.1</v>
      </c>
      <c r="M944" s="130">
        <v>112</v>
      </c>
      <c r="N944" s="797">
        <f>'Приложение 2'!E946</f>
        <v>3127292</v>
      </c>
      <c r="O944" s="180">
        <v>0</v>
      </c>
      <c r="P944" s="180">
        <v>0</v>
      </c>
      <c r="Q944" s="180">
        <v>0</v>
      </c>
      <c r="R944" s="180">
        <f t="shared" si="244"/>
        <v>3127292</v>
      </c>
      <c r="S944" s="797">
        <f t="shared" si="245"/>
        <v>1027.9705476300046</v>
      </c>
      <c r="T944" s="797">
        <v>4180</v>
      </c>
      <c r="U944" s="132" t="s">
        <v>590</v>
      </c>
      <c r="V944" s="144">
        <f t="shared" si="220"/>
        <v>3152.0294523699954</v>
      </c>
      <c r="W944" s="521"/>
    </row>
    <row r="945" spans="1:23" s="159" customFormat="1" ht="9" customHeight="1">
      <c r="A945" s="178">
        <v>199</v>
      </c>
      <c r="B945" s="785" t="s">
        <v>897</v>
      </c>
      <c r="C945" s="794" t="s">
        <v>1192</v>
      </c>
      <c r="D945" s="794" t="s">
        <v>110</v>
      </c>
      <c r="E945" s="794" t="s">
        <v>612</v>
      </c>
      <c r="F945" s="178"/>
      <c r="G945" s="794" t="s">
        <v>88</v>
      </c>
      <c r="H945" s="130">
        <v>5</v>
      </c>
      <c r="I945" s="130">
        <v>6</v>
      </c>
      <c r="J945" s="797">
        <v>4554.8</v>
      </c>
      <c r="K945" s="797">
        <v>3077.1</v>
      </c>
      <c r="L945" s="797">
        <v>3017.6</v>
      </c>
      <c r="M945" s="130">
        <v>113</v>
      </c>
      <c r="N945" s="797">
        <f>'Приложение 2'!E947</f>
        <v>2327132</v>
      </c>
      <c r="O945" s="180">
        <v>0</v>
      </c>
      <c r="P945" s="180">
        <v>0</v>
      </c>
      <c r="Q945" s="180">
        <v>0</v>
      </c>
      <c r="R945" s="180">
        <f t="shared" si="244"/>
        <v>2327132</v>
      </c>
      <c r="S945" s="797">
        <f t="shared" si="245"/>
        <v>756.27441422118227</v>
      </c>
      <c r="T945" s="797">
        <v>4180</v>
      </c>
      <c r="U945" s="132" t="s">
        <v>590</v>
      </c>
      <c r="V945" s="144">
        <f t="shared" si="220"/>
        <v>3423.7255857788177</v>
      </c>
      <c r="W945" s="521"/>
    </row>
    <row r="946" spans="1:23" s="159" customFormat="1" ht="9" customHeight="1">
      <c r="A946" s="178">
        <v>200</v>
      </c>
      <c r="B946" s="785" t="s">
        <v>898</v>
      </c>
      <c r="C946" s="794" t="s">
        <v>1192</v>
      </c>
      <c r="D946" s="794" t="s">
        <v>110</v>
      </c>
      <c r="E946" s="794" t="s">
        <v>616</v>
      </c>
      <c r="F946" s="178"/>
      <c r="G946" s="794" t="s">
        <v>88</v>
      </c>
      <c r="H946" s="130">
        <v>5</v>
      </c>
      <c r="I946" s="130">
        <v>4</v>
      </c>
      <c r="J946" s="797">
        <v>4523.3599999999997</v>
      </c>
      <c r="K946" s="797">
        <v>3071.76</v>
      </c>
      <c r="L946" s="797">
        <v>3047.16</v>
      </c>
      <c r="M946" s="130">
        <v>142</v>
      </c>
      <c r="N946" s="797">
        <f>'Приложение 2'!E948</f>
        <v>3110622</v>
      </c>
      <c r="O946" s="180">
        <v>0</v>
      </c>
      <c r="P946" s="180">
        <v>0</v>
      </c>
      <c r="Q946" s="180">
        <v>0</v>
      </c>
      <c r="R946" s="180">
        <f t="shared" si="244"/>
        <v>3110622</v>
      </c>
      <c r="S946" s="797">
        <f t="shared" si="245"/>
        <v>1012.6513790139854</v>
      </c>
      <c r="T946" s="797">
        <v>4180</v>
      </c>
      <c r="U946" s="132" t="s">
        <v>590</v>
      </c>
      <c r="V946" s="144">
        <f t="shared" si="220"/>
        <v>3167.3486209860148</v>
      </c>
      <c r="W946" s="521"/>
    </row>
    <row r="947" spans="1:23" s="159" customFormat="1" ht="21.75" customHeight="1">
      <c r="A947" s="836" t="s">
        <v>331</v>
      </c>
      <c r="B947" s="836"/>
      <c r="C947" s="178"/>
      <c r="D947" s="178"/>
      <c r="E947" s="794" t="s">
        <v>391</v>
      </c>
      <c r="F947" s="794" t="s">
        <v>391</v>
      </c>
      <c r="G947" s="794" t="s">
        <v>391</v>
      </c>
      <c r="H947" s="794" t="s">
        <v>391</v>
      </c>
      <c r="I947" s="794" t="s">
        <v>391</v>
      </c>
      <c r="J947" s="180">
        <f t="shared" ref="J947:R947" si="246">SUM(J941:J946)</f>
        <v>26039.360000000001</v>
      </c>
      <c r="K947" s="180">
        <f t="shared" si="246"/>
        <v>18114.36</v>
      </c>
      <c r="L947" s="180">
        <f t="shared" si="246"/>
        <v>17756</v>
      </c>
      <c r="M947" s="130">
        <f t="shared" si="246"/>
        <v>721</v>
      </c>
      <c r="N947" s="180">
        <f t="shared" si="246"/>
        <v>17133426</v>
      </c>
      <c r="O947" s="180">
        <f t="shared" si="246"/>
        <v>0</v>
      </c>
      <c r="P947" s="180">
        <f t="shared" si="246"/>
        <v>0</v>
      </c>
      <c r="Q947" s="180">
        <f t="shared" si="246"/>
        <v>0</v>
      </c>
      <c r="R947" s="180">
        <f t="shared" si="246"/>
        <v>17133426</v>
      </c>
      <c r="S947" s="797">
        <f>N947/K947</f>
        <v>945.84771418918467</v>
      </c>
      <c r="T947" s="178"/>
      <c r="U947" s="182"/>
      <c r="V947" s="144">
        <f t="shared" si="220"/>
        <v>-945.84771418918467</v>
      </c>
      <c r="W947" s="521"/>
    </row>
    <row r="948" spans="1:23" s="159" customFormat="1" ht="9" customHeight="1">
      <c r="A948" s="837" t="s">
        <v>405</v>
      </c>
      <c r="B948" s="838"/>
      <c r="C948" s="838"/>
      <c r="D948" s="838"/>
      <c r="E948" s="838"/>
      <c r="F948" s="838"/>
      <c r="G948" s="838"/>
      <c r="H948" s="838"/>
      <c r="I948" s="838"/>
      <c r="J948" s="838"/>
      <c r="K948" s="838"/>
      <c r="L948" s="838"/>
      <c r="M948" s="838"/>
      <c r="N948" s="838"/>
      <c r="O948" s="838"/>
      <c r="P948" s="838"/>
      <c r="Q948" s="838"/>
      <c r="R948" s="838"/>
      <c r="S948" s="838"/>
      <c r="T948" s="838"/>
      <c r="U948" s="839"/>
      <c r="V948" s="144">
        <f t="shared" si="220"/>
        <v>0</v>
      </c>
      <c r="W948" s="521"/>
    </row>
    <row r="949" spans="1:23" s="159" customFormat="1" ht="9" customHeight="1">
      <c r="A949" s="794">
        <v>201</v>
      </c>
      <c r="B949" s="785" t="s">
        <v>905</v>
      </c>
      <c r="C949" s="794" t="s">
        <v>1192</v>
      </c>
      <c r="D949" s="794" t="s">
        <v>111</v>
      </c>
      <c r="E949" s="794" t="s">
        <v>606</v>
      </c>
      <c r="F949" s="786"/>
      <c r="G949" s="794" t="s">
        <v>88</v>
      </c>
      <c r="H949" s="130">
        <v>2</v>
      </c>
      <c r="I949" s="130">
        <v>2</v>
      </c>
      <c r="J949" s="797">
        <v>580.20000000000005</v>
      </c>
      <c r="K949" s="797">
        <v>536.67999999999995</v>
      </c>
      <c r="L949" s="797">
        <v>536.67999999999995</v>
      </c>
      <c r="M949" s="130">
        <v>40</v>
      </c>
      <c r="N949" s="797">
        <f>'Приложение 2'!E951</f>
        <v>1534533</v>
      </c>
      <c r="O949" s="797">
        <v>0</v>
      </c>
      <c r="P949" s="797">
        <v>0</v>
      </c>
      <c r="Q949" s="797">
        <v>0</v>
      </c>
      <c r="R949" s="797">
        <f>N949</f>
        <v>1534533</v>
      </c>
      <c r="S949" s="797">
        <f>N949/K949</f>
        <v>2859.3072221808156</v>
      </c>
      <c r="T949" s="797">
        <v>4503.95</v>
      </c>
      <c r="U949" s="132" t="s">
        <v>590</v>
      </c>
      <c r="V949" s="144">
        <f t="shared" si="220"/>
        <v>1644.6427778191842</v>
      </c>
      <c r="W949" s="521"/>
    </row>
    <row r="950" spans="1:23" s="159" customFormat="1" ht="20.25" customHeight="1">
      <c r="A950" s="822" t="s">
        <v>406</v>
      </c>
      <c r="B950" s="822"/>
      <c r="C950" s="785"/>
      <c r="D950" s="785"/>
      <c r="E950" s="794" t="s">
        <v>391</v>
      </c>
      <c r="F950" s="794" t="s">
        <v>391</v>
      </c>
      <c r="G950" s="794" t="s">
        <v>391</v>
      </c>
      <c r="H950" s="794" t="s">
        <v>391</v>
      </c>
      <c r="I950" s="794" t="s">
        <v>391</v>
      </c>
      <c r="J950" s="797">
        <f t="shared" ref="J950:R950" si="247">SUM(J949:J949)</f>
        <v>580.20000000000005</v>
      </c>
      <c r="K950" s="797">
        <f t="shared" si="247"/>
        <v>536.67999999999995</v>
      </c>
      <c r="L950" s="797">
        <f t="shared" si="247"/>
        <v>536.67999999999995</v>
      </c>
      <c r="M950" s="130">
        <f t="shared" si="247"/>
        <v>40</v>
      </c>
      <c r="N950" s="797">
        <f t="shared" si="247"/>
        <v>1534533</v>
      </c>
      <c r="O950" s="797">
        <f t="shared" si="247"/>
        <v>0</v>
      </c>
      <c r="P950" s="797">
        <f t="shared" si="247"/>
        <v>0</v>
      </c>
      <c r="Q950" s="797">
        <f t="shared" si="247"/>
        <v>0</v>
      </c>
      <c r="R950" s="797">
        <f t="shared" si="247"/>
        <v>1534533</v>
      </c>
      <c r="S950" s="797">
        <f>N950/K950</f>
        <v>2859.3072221808156</v>
      </c>
      <c r="T950" s="794"/>
      <c r="U950" s="132"/>
      <c r="V950" s="144">
        <f t="shared" si="220"/>
        <v>-2859.3072221808156</v>
      </c>
      <c r="W950" s="521"/>
    </row>
    <row r="951" spans="1:23" s="159" customFormat="1" ht="9" customHeight="1">
      <c r="A951" s="837" t="s">
        <v>427</v>
      </c>
      <c r="B951" s="838"/>
      <c r="C951" s="838"/>
      <c r="D951" s="838"/>
      <c r="E951" s="838"/>
      <c r="F951" s="838"/>
      <c r="G951" s="838"/>
      <c r="H951" s="838"/>
      <c r="I951" s="838"/>
      <c r="J951" s="838"/>
      <c r="K951" s="838"/>
      <c r="L951" s="838"/>
      <c r="M951" s="838"/>
      <c r="N951" s="838"/>
      <c r="O951" s="838"/>
      <c r="P951" s="838"/>
      <c r="Q951" s="838"/>
      <c r="R951" s="838"/>
      <c r="S951" s="838"/>
      <c r="T951" s="838"/>
      <c r="U951" s="839"/>
      <c r="V951" s="144">
        <f t="shared" si="220"/>
        <v>0</v>
      </c>
      <c r="W951" s="521"/>
    </row>
    <row r="952" spans="1:23" s="159" customFormat="1" ht="9" customHeight="1">
      <c r="A952" s="794">
        <v>202</v>
      </c>
      <c r="B952" s="156" t="s">
        <v>912</v>
      </c>
      <c r="C952" s="785" t="s">
        <v>1192</v>
      </c>
      <c r="D952" s="785" t="s">
        <v>111</v>
      </c>
      <c r="E952" s="794" t="s">
        <v>612</v>
      </c>
      <c r="F952" s="794"/>
      <c r="G952" s="794" t="s">
        <v>88</v>
      </c>
      <c r="H952" s="130">
        <v>2</v>
      </c>
      <c r="I952" s="130">
        <v>2</v>
      </c>
      <c r="J952" s="797">
        <v>536.20000000000005</v>
      </c>
      <c r="K952" s="797">
        <v>492</v>
      </c>
      <c r="L952" s="797">
        <v>492</v>
      </c>
      <c r="M952" s="130">
        <v>202</v>
      </c>
      <c r="N952" s="797">
        <f>'Приложение 2'!E954</f>
        <v>1455300</v>
      </c>
      <c r="O952" s="797">
        <v>0</v>
      </c>
      <c r="P952" s="797">
        <v>0</v>
      </c>
      <c r="Q952" s="797">
        <v>0</v>
      </c>
      <c r="R952" s="797">
        <f t="shared" ref="R952:R957" si="248">N952</f>
        <v>1455300</v>
      </c>
      <c r="S952" s="797">
        <f t="shared" ref="S952:S957" si="249">N952/K952</f>
        <v>2957.9268292682927</v>
      </c>
      <c r="T952" s="797">
        <v>4503.95</v>
      </c>
      <c r="U952" s="132" t="s">
        <v>590</v>
      </c>
      <c r="V952" s="144">
        <f t="shared" si="220"/>
        <v>1546.0231707317071</v>
      </c>
      <c r="W952" s="521"/>
    </row>
    <row r="953" spans="1:23" s="159" customFormat="1" ht="9" customHeight="1">
      <c r="A953" s="794">
        <v>203</v>
      </c>
      <c r="B953" s="156" t="s">
        <v>913</v>
      </c>
      <c r="C953" s="785" t="s">
        <v>1192</v>
      </c>
      <c r="D953" s="785" t="s">
        <v>111</v>
      </c>
      <c r="E953" s="794" t="s">
        <v>612</v>
      </c>
      <c r="F953" s="794"/>
      <c r="G953" s="794" t="s">
        <v>88</v>
      </c>
      <c r="H953" s="130">
        <v>2</v>
      </c>
      <c r="I953" s="130">
        <v>3</v>
      </c>
      <c r="J953" s="797">
        <v>873.1</v>
      </c>
      <c r="K953" s="797">
        <v>795.7</v>
      </c>
      <c r="L953" s="797">
        <v>795.7</v>
      </c>
      <c r="M953" s="130">
        <v>91</v>
      </c>
      <c r="N953" s="797">
        <f>'Приложение 2'!E955</f>
        <v>2102100</v>
      </c>
      <c r="O953" s="797">
        <v>0</v>
      </c>
      <c r="P953" s="797">
        <v>0</v>
      </c>
      <c r="Q953" s="797">
        <v>0</v>
      </c>
      <c r="R953" s="797">
        <f t="shared" si="248"/>
        <v>2102100</v>
      </c>
      <c r="S953" s="797">
        <f t="shared" si="249"/>
        <v>2641.8248083448534</v>
      </c>
      <c r="T953" s="797">
        <v>4503.95</v>
      </c>
      <c r="U953" s="132" t="s">
        <v>590</v>
      </c>
      <c r="V953" s="144">
        <f t="shared" si="220"/>
        <v>1862.1251916551464</v>
      </c>
      <c r="W953" s="521"/>
    </row>
    <row r="954" spans="1:23" s="159" customFormat="1" ht="9" customHeight="1">
      <c r="A954" s="794">
        <v>204</v>
      </c>
      <c r="B954" s="156" t="s">
        <v>914</v>
      </c>
      <c r="C954" s="785" t="s">
        <v>1192</v>
      </c>
      <c r="D954" s="785" t="s">
        <v>111</v>
      </c>
      <c r="E954" s="794" t="s">
        <v>615</v>
      </c>
      <c r="F954" s="794"/>
      <c r="G954" s="794" t="s">
        <v>88</v>
      </c>
      <c r="H954" s="130">
        <v>5</v>
      </c>
      <c r="I954" s="130">
        <v>4</v>
      </c>
      <c r="J954" s="797">
        <v>3445.6</v>
      </c>
      <c r="K954" s="797">
        <v>2606</v>
      </c>
      <c r="L954" s="797">
        <v>1080</v>
      </c>
      <c r="M954" s="130">
        <v>52</v>
      </c>
      <c r="N954" s="797">
        <f>'Приложение 2'!E956</f>
        <v>3087499.8</v>
      </c>
      <c r="O954" s="797">
        <v>0</v>
      </c>
      <c r="P954" s="797">
        <v>0</v>
      </c>
      <c r="Q954" s="797">
        <v>0</v>
      </c>
      <c r="R954" s="797">
        <f t="shared" si="248"/>
        <v>3087499.8</v>
      </c>
      <c r="S954" s="797">
        <f t="shared" si="249"/>
        <v>1184.7658480429777</v>
      </c>
      <c r="T954" s="797">
        <v>4503.95</v>
      </c>
      <c r="U954" s="132" t="s">
        <v>590</v>
      </c>
      <c r="V954" s="144">
        <f t="shared" si="220"/>
        <v>3319.1841519570221</v>
      </c>
      <c r="W954" s="521"/>
    </row>
    <row r="955" spans="1:23" s="159" customFormat="1" ht="9" customHeight="1">
      <c r="A955" s="794">
        <v>205</v>
      </c>
      <c r="B955" s="156" t="s">
        <v>915</v>
      </c>
      <c r="C955" s="785" t="s">
        <v>1192</v>
      </c>
      <c r="D955" s="785" t="s">
        <v>111</v>
      </c>
      <c r="E955" s="794" t="s">
        <v>597</v>
      </c>
      <c r="F955" s="794"/>
      <c r="G955" s="794" t="s">
        <v>88</v>
      </c>
      <c r="H955" s="130">
        <v>2</v>
      </c>
      <c r="I955" s="130">
        <v>1</v>
      </c>
      <c r="J955" s="797">
        <v>323.10000000000002</v>
      </c>
      <c r="K955" s="797">
        <v>292.3</v>
      </c>
      <c r="L955" s="797">
        <v>292.3</v>
      </c>
      <c r="M955" s="130">
        <v>15</v>
      </c>
      <c r="N955" s="797">
        <f>'Приложение 2'!E957</f>
        <v>867746.88</v>
      </c>
      <c r="O955" s="797">
        <v>0</v>
      </c>
      <c r="P955" s="797">
        <v>0</v>
      </c>
      <c r="Q955" s="797">
        <v>0</v>
      </c>
      <c r="R955" s="797">
        <f t="shared" si="248"/>
        <v>867746.88</v>
      </c>
      <c r="S955" s="797">
        <f t="shared" si="249"/>
        <v>2968.6858706808075</v>
      </c>
      <c r="T955" s="797">
        <v>4503.95</v>
      </c>
      <c r="U955" s="132" t="s">
        <v>590</v>
      </c>
      <c r="V955" s="144">
        <f t="shared" si="220"/>
        <v>1535.2641293191923</v>
      </c>
      <c r="W955" s="521"/>
    </row>
    <row r="956" spans="1:23" s="159" customFormat="1" ht="9" customHeight="1">
      <c r="A956" s="794">
        <v>206</v>
      </c>
      <c r="B956" s="156" t="s">
        <v>916</v>
      </c>
      <c r="C956" s="785" t="s">
        <v>1192</v>
      </c>
      <c r="D956" s="785" t="s">
        <v>111</v>
      </c>
      <c r="E956" s="794" t="s">
        <v>745</v>
      </c>
      <c r="F956" s="794"/>
      <c r="G956" s="794" t="s">
        <v>88</v>
      </c>
      <c r="H956" s="130">
        <v>5</v>
      </c>
      <c r="I956" s="130">
        <v>2</v>
      </c>
      <c r="J956" s="797">
        <v>2219.9</v>
      </c>
      <c r="K956" s="797">
        <v>1702.9</v>
      </c>
      <c r="L956" s="797">
        <v>1702.9</v>
      </c>
      <c r="M956" s="130">
        <v>122</v>
      </c>
      <c r="N956" s="797">
        <f>'Приложение 2'!E958</f>
        <v>2102100</v>
      </c>
      <c r="O956" s="797">
        <v>0</v>
      </c>
      <c r="P956" s="797">
        <v>0</v>
      </c>
      <c r="Q956" s="797">
        <v>0</v>
      </c>
      <c r="R956" s="797">
        <f t="shared" si="248"/>
        <v>2102100</v>
      </c>
      <c r="S956" s="797">
        <f t="shared" si="249"/>
        <v>1234.4236302777615</v>
      </c>
      <c r="T956" s="797">
        <v>4503.95</v>
      </c>
      <c r="U956" s="132" t="s">
        <v>590</v>
      </c>
      <c r="V956" s="144">
        <f t="shared" si="220"/>
        <v>3269.5263697222381</v>
      </c>
      <c r="W956" s="521"/>
    </row>
    <row r="957" spans="1:23" s="159" customFormat="1" ht="9" customHeight="1">
      <c r="A957" s="794">
        <v>207</v>
      </c>
      <c r="B957" s="156" t="s">
        <v>917</v>
      </c>
      <c r="C957" s="785" t="s">
        <v>1192</v>
      </c>
      <c r="D957" s="785" t="s">
        <v>111</v>
      </c>
      <c r="E957" s="794" t="s">
        <v>591</v>
      </c>
      <c r="F957" s="794"/>
      <c r="G957" s="794" t="s">
        <v>88</v>
      </c>
      <c r="H957" s="130">
        <v>4</v>
      </c>
      <c r="I957" s="130">
        <v>2</v>
      </c>
      <c r="J957" s="797">
        <v>1623</v>
      </c>
      <c r="K957" s="797">
        <v>1233</v>
      </c>
      <c r="L957" s="797">
        <v>744</v>
      </c>
      <c r="M957" s="130">
        <v>30</v>
      </c>
      <c r="N957" s="797">
        <f>'Приложение 2'!E959</f>
        <v>1798104</v>
      </c>
      <c r="O957" s="797">
        <v>0</v>
      </c>
      <c r="P957" s="797">
        <v>0</v>
      </c>
      <c r="Q957" s="797">
        <v>0</v>
      </c>
      <c r="R957" s="797">
        <f t="shared" si="248"/>
        <v>1798104</v>
      </c>
      <c r="S957" s="797">
        <f t="shared" si="249"/>
        <v>1458.3163017031629</v>
      </c>
      <c r="T957" s="797">
        <v>4503.95</v>
      </c>
      <c r="U957" s="132" t="s">
        <v>590</v>
      </c>
      <c r="V957" s="144">
        <f t="shared" si="220"/>
        <v>3045.6336982968369</v>
      </c>
      <c r="W957" s="521"/>
    </row>
    <row r="958" spans="1:23" s="159" customFormat="1" ht="21" customHeight="1">
      <c r="A958" s="822" t="s">
        <v>428</v>
      </c>
      <c r="B958" s="822"/>
      <c r="C958" s="785"/>
      <c r="D958" s="785"/>
      <c r="E958" s="141" t="s">
        <v>391</v>
      </c>
      <c r="F958" s="141" t="s">
        <v>391</v>
      </c>
      <c r="G958" s="141" t="s">
        <v>391</v>
      </c>
      <c r="H958" s="141" t="s">
        <v>391</v>
      </c>
      <c r="I958" s="141" t="s">
        <v>391</v>
      </c>
      <c r="J958" s="797">
        <f t="shared" ref="J958:R958" si="250">SUM(J952:J957)</f>
        <v>9020.9</v>
      </c>
      <c r="K958" s="797">
        <f t="shared" si="250"/>
        <v>7121.9</v>
      </c>
      <c r="L958" s="797">
        <f t="shared" si="250"/>
        <v>5106.8999999999996</v>
      </c>
      <c r="M958" s="130">
        <f t="shared" si="250"/>
        <v>512</v>
      </c>
      <c r="N958" s="797">
        <f t="shared" si="250"/>
        <v>11412850.68</v>
      </c>
      <c r="O958" s="797">
        <f t="shared" si="250"/>
        <v>0</v>
      </c>
      <c r="P958" s="797">
        <f t="shared" si="250"/>
        <v>0</v>
      </c>
      <c r="Q958" s="797">
        <f t="shared" si="250"/>
        <v>0</v>
      </c>
      <c r="R958" s="797">
        <f t="shared" si="250"/>
        <v>11412850.68</v>
      </c>
      <c r="S958" s="797">
        <f>N958/K958</f>
        <v>1602.5008326429745</v>
      </c>
      <c r="T958" s="794"/>
      <c r="U958" s="132"/>
      <c r="V958" s="144">
        <f t="shared" si="220"/>
        <v>-1602.5008326429745</v>
      </c>
      <c r="W958" s="521"/>
    </row>
    <row r="959" spans="1:23" s="159" customFormat="1" ht="9" customHeight="1">
      <c r="A959" s="837" t="s">
        <v>345</v>
      </c>
      <c r="B959" s="838"/>
      <c r="C959" s="838"/>
      <c r="D959" s="838"/>
      <c r="E959" s="838"/>
      <c r="F959" s="838"/>
      <c r="G959" s="838"/>
      <c r="H959" s="838"/>
      <c r="I959" s="838"/>
      <c r="J959" s="838"/>
      <c r="K959" s="838"/>
      <c r="L959" s="838"/>
      <c r="M959" s="838"/>
      <c r="N959" s="838"/>
      <c r="O959" s="838"/>
      <c r="P959" s="838"/>
      <c r="Q959" s="838"/>
      <c r="R959" s="838"/>
      <c r="S959" s="838"/>
      <c r="T959" s="838"/>
      <c r="U959" s="839"/>
      <c r="V959" s="144">
        <f t="shared" si="220"/>
        <v>0</v>
      </c>
      <c r="W959" s="521"/>
    </row>
    <row r="960" spans="1:23" s="159" customFormat="1" ht="9" customHeight="1">
      <c r="A960" s="794">
        <v>208</v>
      </c>
      <c r="B960" s="156" t="s">
        <v>921</v>
      </c>
      <c r="C960" s="785" t="s">
        <v>1192</v>
      </c>
      <c r="D960" s="785" t="s">
        <v>111</v>
      </c>
      <c r="E960" s="794" t="s">
        <v>616</v>
      </c>
      <c r="F960" s="794"/>
      <c r="G960" s="794" t="s">
        <v>88</v>
      </c>
      <c r="H960" s="130">
        <v>2</v>
      </c>
      <c r="I960" s="130">
        <v>3</v>
      </c>
      <c r="J960" s="797">
        <v>965.8</v>
      </c>
      <c r="K960" s="797">
        <v>878.5</v>
      </c>
      <c r="L960" s="797">
        <v>836</v>
      </c>
      <c r="M960" s="130">
        <v>42</v>
      </c>
      <c r="N960" s="797">
        <f>'Приложение 2'!E962</f>
        <v>2728687.5</v>
      </c>
      <c r="O960" s="797">
        <v>0</v>
      </c>
      <c r="P960" s="797">
        <v>0</v>
      </c>
      <c r="Q960" s="797">
        <v>0</v>
      </c>
      <c r="R960" s="797">
        <f t="shared" ref="R960:R961" si="251">N960-Q960</f>
        <v>2728687.5</v>
      </c>
      <c r="S960" s="797">
        <f t="shared" ref="S960:S961" si="252">N960/K960</f>
        <v>3106.0756972111553</v>
      </c>
      <c r="T960" s="797">
        <v>4503.95</v>
      </c>
      <c r="U960" s="132" t="s">
        <v>590</v>
      </c>
      <c r="V960" s="144">
        <f t="shared" si="220"/>
        <v>1397.8743027888445</v>
      </c>
      <c r="W960" s="521"/>
    </row>
    <row r="961" spans="1:23" s="159" customFormat="1" ht="9" customHeight="1">
      <c r="A961" s="794">
        <v>209</v>
      </c>
      <c r="B961" s="156" t="s">
        <v>922</v>
      </c>
      <c r="C961" s="785" t="s">
        <v>1192</v>
      </c>
      <c r="D961" s="785" t="s">
        <v>111</v>
      </c>
      <c r="E961" s="794" t="s">
        <v>299</v>
      </c>
      <c r="F961" s="794"/>
      <c r="G961" s="794" t="s">
        <v>88</v>
      </c>
      <c r="H961" s="130">
        <v>2</v>
      </c>
      <c r="I961" s="130">
        <v>3</v>
      </c>
      <c r="J961" s="797">
        <v>1018.8</v>
      </c>
      <c r="K961" s="797">
        <v>942.74</v>
      </c>
      <c r="L961" s="797">
        <v>942.74</v>
      </c>
      <c r="M961" s="130">
        <v>68</v>
      </c>
      <c r="N961" s="797">
        <f>'Приложение 2'!E963</f>
        <v>3178375.2</v>
      </c>
      <c r="O961" s="797">
        <v>0</v>
      </c>
      <c r="P961" s="797">
        <v>0</v>
      </c>
      <c r="Q961" s="797">
        <v>0</v>
      </c>
      <c r="R961" s="797">
        <f t="shared" si="251"/>
        <v>3178375.2</v>
      </c>
      <c r="S961" s="797">
        <f t="shared" si="252"/>
        <v>3371.4228737509811</v>
      </c>
      <c r="T961" s="797">
        <v>4503.95</v>
      </c>
      <c r="U961" s="132" t="s">
        <v>590</v>
      </c>
      <c r="V961" s="144">
        <f t="shared" si="220"/>
        <v>1132.5271262490187</v>
      </c>
      <c r="W961" s="521"/>
    </row>
    <row r="962" spans="1:23" s="159" customFormat="1" ht="22.5" customHeight="1">
      <c r="A962" s="822" t="s">
        <v>1004</v>
      </c>
      <c r="B962" s="822"/>
      <c r="C962" s="785"/>
      <c r="D962" s="785"/>
      <c r="E962" s="141" t="s">
        <v>391</v>
      </c>
      <c r="F962" s="141" t="s">
        <v>391</v>
      </c>
      <c r="G962" s="141" t="s">
        <v>391</v>
      </c>
      <c r="H962" s="141" t="s">
        <v>391</v>
      </c>
      <c r="I962" s="141" t="s">
        <v>391</v>
      </c>
      <c r="J962" s="797">
        <f t="shared" ref="J962:R962" si="253">SUM(J960:J961)</f>
        <v>1984.6</v>
      </c>
      <c r="K962" s="797">
        <f t="shared" si="253"/>
        <v>1821.24</v>
      </c>
      <c r="L962" s="797">
        <f t="shared" si="253"/>
        <v>1778.74</v>
      </c>
      <c r="M962" s="130">
        <f t="shared" si="253"/>
        <v>110</v>
      </c>
      <c r="N962" s="797">
        <f t="shared" si="253"/>
        <v>5907062.7000000002</v>
      </c>
      <c r="O962" s="797">
        <f t="shared" si="253"/>
        <v>0</v>
      </c>
      <c r="P962" s="797">
        <f t="shared" si="253"/>
        <v>0</v>
      </c>
      <c r="Q962" s="797">
        <f t="shared" si="253"/>
        <v>0</v>
      </c>
      <c r="R962" s="797">
        <f t="shared" si="253"/>
        <v>5907062.7000000002</v>
      </c>
      <c r="S962" s="797">
        <f>N962/K962</f>
        <v>3243.4290373591621</v>
      </c>
      <c r="T962" s="794"/>
      <c r="U962" s="132"/>
      <c r="V962" s="144">
        <f t="shared" si="220"/>
        <v>-3243.4290373591621</v>
      </c>
      <c r="W962" s="521"/>
    </row>
    <row r="963" spans="1:23" s="159" customFormat="1" ht="9" customHeight="1">
      <c r="A963" s="837" t="s">
        <v>425</v>
      </c>
      <c r="B963" s="838"/>
      <c r="C963" s="838"/>
      <c r="D963" s="838"/>
      <c r="E963" s="838"/>
      <c r="F963" s="838"/>
      <c r="G963" s="838"/>
      <c r="H963" s="838"/>
      <c r="I963" s="838"/>
      <c r="J963" s="838"/>
      <c r="K963" s="838"/>
      <c r="L963" s="838"/>
      <c r="M963" s="838"/>
      <c r="N963" s="838"/>
      <c r="O963" s="838"/>
      <c r="P963" s="838"/>
      <c r="Q963" s="838"/>
      <c r="R963" s="838"/>
      <c r="S963" s="838"/>
      <c r="T963" s="838"/>
      <c r="U963" s="839"/>
      <c r="V963" s="144">
        <f t="shared" si="220"/>
        <v>0</v>
      </c>
      <c r="W963" s="521"/>
    </row>
    <row r="964" spans="1:23" s="159" customFormat="1" ht="9" customHeight="1">
      <c r="A964" s="794">
        <v>210</v>
      </c>
      <c r="B964" s="156" t="s">
        <v>924</v>
      </c>
      <c r="C964" s="785" t="s">
        <v>1192</v>
      </c>
      <c r="D964" s="785" t="s">
        <v>111</v>
      </c>
      <c r="E964" s="794" t="s">
        <v>617</v>
      </c>
      <c r="F964" s="794"/>
      <c r="G964" s="794" t="s">
        <v>88</v>
      </c>
      <c r="H964" s="130">
        <v>2</v>
      </c>
      <c r="I964" s="130">
        <v>2</v>
      </c>
      <c r="J964" s="797">
        <v>647</v>
      </c>
      <c r="K964" s="797">
        <v>567.1</v>
      </c>
      <c r="L964" s="797">
        <v>567.1</v>
      </c>
      <c r="M964" s="130">
        <v>30</v>
      </c>
      <c r="N964" s="797">
        <f>'Приложение 2'!E966</f>
        <v>2003463</v>
      </c>
      <c r="O964" s="797">
        <v>0</v>
      </c>
      <c r="P964" s="797">
        <v>0</v>
      </c>
      <c r="Q964" s="797">
        <v>0</v>
      </c>
      <c r="R964" s="797">
        <f>N964</f>
        <v>2003463</v>
      </c>
      <c r="S964" s="797">
        <f t="shared" ref="S964" si="254">N964/K964</f>
        <v>3532.8213718920824</v>
      </c>
      <c r="T964" s="797">
        <v>4503.95</v>
      </c>
      <c r="U964" s="132" t="s">
        <v>590</v>
      </c>
      <c r="V964" s="144">
        <f t="shared" si="220"/>
        <v>971.12862810791739</v>
      </c>
      <c r="W964" s="521"/>
    </row>
    <row r="965" spans="1:23" s="159" customFormat="1" ht="20.25" customHeight="1">
      <c r="A965" s="822" t="s">
        <v>424</v>
      </c>
      <c r="B965" s="822"/>
      <c r="C965" s="785"/>
      <c r="D965" s="785"/>
      <c r="E965" s="141" t="s">
        <v>391</v>
      </c>
      <c r="F965" s="141" t="s">
        <v>391</v>
      </c>
      <c r="G965" s="141" t="s">
        <v>391</v>
      </c>
      <c r="H965" s="141" t="s">
        <v>391</v>
      </c>
      <c r="I965" s="141" t="s">
        <v>391</v>
      </c>
      <c r="J965" s="797">
        <f t="shared" ref="J965:R965" si="255">SUM(J964:J964)</f>
        <v>647</v>
      </c>
      <c r="K965" s="797">
        <f t="shared" si="255"/>
        <v>567.1</v>
      </c>
      <c r="L965" s="797">
        <f t="shared" si="255"/>
        <v>567.1</v>
      </c>
      <c r="M965" s="130">
        <f t="shared" si="255"/>
        <v>30</v>
      </c>
      <c r="N965" s="797">
        <f t="shared" si="255"/>
        <v>2003463</v>
      </c>
      <c r="O965" s="797">
        <f t="shared" si="255"/>
        <v>0</v>
      </c>
      <c r="P965" s="797">
        <f t="shared" si="255"/>
        <v>0</v>
      </c>
      <c r="Q965" s="797">
        <f t="shared" si="255"/>
        <v>0</v>
      </c>
      <c r="R965" s="797">
        <f t="shared" si="255"/>
        <v>2003463</v>
      </c>
      <c r="S965" s="797">
        <f>N965/K965</f>
        <v>3532.8213718920824</v>
      </c>
      <c r="T965" s="797"/>
      <c r="U965" s="797"/>
      <c r="V965" s="144">
        <f t="shared" si="220"/>
        <v>-3532.8213718920824</v>
      </c>
      <c r="W965" s="521"/>
    </row>
    <row r="966" spans="1:23" s="159" customFormat="1" ht="9" customHeight="1">
      <c r="A966" s="837" t="s">
        <v>352</v>
      </c>
      <c r="B966" s="838"/>
      <c r="C966" s="838"/>
      <c r="D966" s="838"/>
      <c r="E966" s="838"/>
      <c r="F966" s="838"/>
      <c r="G966" s="838"/>
      <c r="H966" s="838"/>
      <c r="I966" s="838"/>
      <c r="J966" s="838"/>
      <c r="K966" s="838"/>
      <c r="L966" s="838"/>
      <c r="M966" s="838"/>
      <c r="N966" s="838"/>
      <c r="O966" s="838"/>
      <c r="P966" s="838"/>
      <c r="Q966" s="838"/>
      <c r="R966" s="838"/>
      <c r="S966" s="838"/>
      <c r="T966" s="838"/>
      <c r="U966" s="839"/>
      <c r="V966" s="144">
        <f t="shared" ref="V966:V1029" si="256">T966-S966</f>
        <v>0</v>
      </c>
      <c r="W966" s="521"/>
    </row>
    <row r="967" spans="1:23" s="159" customFormat="1" ht="9" customHeight="1">
      <c r="A967" s="794">
        <v>211</v>
      </c>
      <c r="B967" s="785" t="s">
        <v>926</v>
      </c>
      <c r="C967" s="785" t="s">
        <v>1192</v>
      </c>
      <c r="D967" s="785" t="s">
        <v>111</v>
      </c>
      <c r="E967" s="794" t="s">
        <v>107</v>
      </c>
      <c r="F967" s="794"/>
      <c r="G967" s="794" t="s">
        <v>88</v>
      </c>
      <c r="H967" s="130">
        <v>2</v>
      </c>
      <c r="I967" s="130">
        <v>1</v>
      </c>
      <c r="J967" s="794">
        <v>286.62</v>
      </c>
      <c r="K967" s="794">
        <v>265.62</v>
      </c>
      <c r="L967" s="794">
        <v>265.62</v>
      </c>
      <c r="M967" s="130">
        <v>6</v>
      </c>
      <c r="N967" s="797">
        <f>'Приложение 2'!E969</f>
        <v>908754</v>
      </c>
      <c r="O967" s="797">
        <v>0</v>
      </c>
      <c r="P967" s="797">
        <v>0</v>
      </c>
      <c r="Q967" s="797">
        <v>0</v>
      </c>
      <c r="R967" s="797">
        <f>N967</f>
        <v>908754</v>
      </c>
      <c r="S967" s="797">
        <f t="shared" ref="S967:S968" si="257">N967/K967</f>
        <v>3421.2559295233791</v>
      </c>
      <c r="T967" s="797">
        <v>4503.95</v>
      </c>
      <c r="U967" s="132" t="s">
        <v>590</v>
      </c>
      <c r="V967" s="144">
        <f t="shared" si="256"/>
        <v>1082.6940704766207</v>
      </c>
      <c r="W967" s="521"/>
    </row>
    <row r="968" spans="1:23" s="159" customFormat="1" ht="9" customHeight="1">
      <c r="A968" s="794">
        <v>212</v>
      </c>
      <c r="B968" s="785" t="s">
        <v>927</v>
      </c>
      <c r="C968" s="785" t="s">
        <v>1192</v>
      </c>
      <c r="D968" s="785" t="s">
        <v>111</v>
      </c>
      <c r="E968" s="794" t="s">
        <v>746</v>
      </c>
      <c r="F968" s="794"/>
      <c r="G968" s="794" t="s">
        <v>90</v>
      </c>
      <c r="H968" s="130">
        <v>2</v>
      </c>
      <c r="I968" s="130">
        <v>2</v>
      </c>
      <c r="J968" s="797">
        <v>679.66</v>
      </c>
      <c r="K968" s="797">
        <v>641.38</v>
      </c>
      <c r="L968" s="797">
        <v>118</v>
      </c>
      <c r="M968" s="130">
        <v>21</v>
      </c>
      <c r="N968" s="797">
        <f>'Приложение 2'!E970</f>
        <v>1817508</v>
      </c>
      <c r="O968" s="797">
        <v>0</v>
      </c>
      <c r="P968" s="797">
        <v>0</v>
      </c>
      <c r="Q968" s="797">
        <v>0</v>
      </c>
      <c r="R968" s="797">
        <f>N968</f>
        <v>1817508</v>
      </c>
      <c r="S968" s="797">
        <f t="shared" si="257"/>
        <v>2833.7459852193706</v>
      </c>
      <c r="T968" s="797">
        <v>4503.95</v>
      </c>
      <c r="U968" s="132" t="s">
        <v>590</v>
      </c>
      <c r="V968" s="144">
        <f t="shared" si="256"/>
        <v>1670.2040147806292</v>
      </c>
      <c r="W968" s="521"/>
    </row>
    <row r="969" spans="1:23" s="159" customFormat="1" ht="22.5" customHeight="1">
      <c r="A969" s="822" t="s">
        <v>351</v>
      </c>
      <c r="B969" s="822"/>
      <c r="C969" s="785"/>
      <c r="D969" s="785"/>
      <c r="E969" s="141" t="s">
        <v>391</v>
      </c>
      <c r="F969" s="141" t="s">
        <v>391</v>
      </c>
      <c r="G969" s="141" t="s">
        <v>391</v>
      </c>
      <c r="H969" s="141" t="s">
        <v>391</v>
      </c>
      <c r="I969" s="141" t="s">
        <v>391</v>
      </c>
      <c r="J969" s="797">
        <f t="shared" ref="J969:R969" si="258">SUM(J967:J968)</f>
        <v>966.28</v>
      </c>
      <c r="K969" s="797">
        <f t="shared" si="258"/>
        <v>907</v>
      </c>
      <c r="L969" s="797">
        <f t="shared" si="258"/>
        <v>383.62</v>
      </c>
      <c r="M969" s="130">
        <f t="shared" si="258"/>
        <v>27</v>
      </c>
      <c r="N969" s="797">
        <f t="shared" si="258"/>
        <v>2726262</v>
      </c>
      <c r="O969" s="797">
        <f t="shared" si="258"/>
        <v>0</v>
      </c>
      <c r="P969" s="797">
        <f t="shared" si="258"/>
        <v>0</v>
      </c>
      <c r="Q969" s="797">
        <f t="shared" si="258"/>
        <v>0</v>
      </c>
      <c r="R969" s="797">
        <f t="shared" si="258"/>
        <v>2726262</v>
      </c>
      <c r="S969" s="797">
        <f>N969/K969</f>
        <v>3005.8015435501652</v>
      </c>
      <c r="T969" s="797"/>
      <c r="U969" s="132"/>
      <c r="V969" s="144">
        <f t="shared" si="256"/>
        <v>-3005.8015435501652</v>
      </c>
      <c r="W969" s="521"/>
    </row>
    <row r="970" spans="1:23" s="159" customFormat="1" ht="9" customHeight="1">
      <c r="A970" s="837" t="s">
        <v>433</v>
      </c>
      <c r="B970" s="838"/>
      <c r="C970" s="838"/>
      <c r="D970" s="838"/>
      <c r="E970" s="838"/>
      <c r="F970" s="838"/>
      <c r="G970" s="838"/>
      <c r="H970" s="838"/>
      <c r="I970" s="838"/>
      <c r="J970" s="838"/>
      <c r="K970" s="838"/>
      <c r="L970" s="838"/>
      <c r="M970" s="838"/>
      <c r="N970" s="838"/>
      <c r="O970" s="838"/>
      <c r="P970" s="838"/>
      <c r="Q970" s="838"/>
      <c r="R970" s="838"/>
      <c r="S970" s="838"/>
      <c r="T970" s="838"/>
      <c r="U970" s="839"/>
      <c r="V970" s="144">
        <f t="shared" si="256"/>
        <v>0</v>
      </c>
      <c r="W970" s="521"/>
    </row>
    <row r="971" spans="1:23" s="159" customFormat="1" ht="9" customHeight="1">
      <c r="A971" s="184">
        <v>213</v>
      </c>
      <c r="B971" s="185" t="s">
        <v>928</v>
      </c>
      <c r="C971" s="788" t="s">
        <v>1008</v>
      </c>
      <c r="D971" s="184" t="s">
        <v>111</v>
      </c>
      <c r="E971" s="186" t="s">
        <v>608</v>
      </c>
      <c r="F971" s="186" t="s">
        <v>1196</v>
      </c>
      <c r="G971" s="186" t="s">
        <v>88</v>
      </c>
      <c r="H971" s="221">
        <v>2</v>
      </c>
      <c r="I971" s="221">
        <v>3</v>
      </c>
      <c r="J971" s="187">
        <v>1396.25</v>
      </c>
      <c r="K971" s="187">
        <v>851.45</v>
      </c>
      <c r="L971" s="187">
        <v>851.45</v>
      </c>
      <c r="M971" s="186">
        <v>32</v>
      </c>
      <c r="N971" s="797">
        <f>'Приложение 2'!E973</f>
        <v>258031.92</v>
      </c>
      <c r="O971" s="187">
        <v>0</v>
      </c>
      <c r="P971" s="187">
        <v>0</v>
      </c>
      <c r="Q971" s="187">
        <v>0</v>
      </c>
      <c r="R971" s="187">
        <f t="shared" ref="R971:R973" si="259">N971</f>
        <v>258031.92</v>
      </c>
      <c r="S971" s="797">
        <f t="shared" ref="S971:S973" si="260">N971/K971</f>
        <v>303.04999706383228</v>
      </c>
      <c r="T971" s="797">
        <v>4984.6499999999996</v>
      </c>
      <c r="U971" s="132" t="s">
        <v>590</v>
      </c>
      <c r="V971" s="144">
        <f t="shared" si="256"/>
        <v>4681.6000029361676</v>
      </c>
      <c r="W971" s="521"/>
    </row>
    <row r="972" spans="1:23" s="159" customFormat="1" ht="9" customHeight="1">
      <c r="A972" s="184">
        <v>214</v>
      </c>
      <c r="B972" s="185" t="s">
        <v>929</v>
      </c>
      <c r="C972" s="788" t="s">
        <v>1206</v>
      </c>
      <c r="D972" s="184" t="s">
        <v>111</v>
      </c>
      <c r="E972" s="186" t="s">
        <v>618</v>
      </c>
      <c r="F972" s="186"/>
      <c r="G972" s="186" t="s">
        <v>88</v>
      </c>
      <c r="H972" s="221">
        <v>2</v>
      </c>
      <c r="I972" s="221">
        <v>3</v>
      </c>
      <c r="J972" s="187">
        <v>1225.5</v>
      </c>
      <c r="K972" s="187">
        <v>869.8</v>
      </c>
      <c r="L972" s="187">
        <v>869.8</v>
      </c>
      <c r="M972" s="221">
        <v>39</v>
      </c>
      <c r="N972" s="797">
        <f>'Приложение 2'!E974</f>
        <v>2193489.5</v>
      </c>
      <c r="O972" s="187">
        <v>0</v>
      </c>
      <c r="P972" s="187">
        <v>0</v>
      </c>
      <c r="Q972" s="187">
        <v>0</v>
      </c>
      <c r="R972" s="187">
        <f t="shared" si="259"/>
        <v>2193489.5</v>
      </c>
      <c r="S972" s="797">
        <f t="shared" si="260"/>
        <v>2521.8320303518053</v>
      </c>
      <c r="T972" s="797">
        <v>8913.85</v>
      </c>
      <c r="U972" s="132" t="s">
        <v>590</v>
      </c>
      <c r="V972" s="144">
        <f>T972-S972</f>
        <v>6392.0179696481955</v>
      </c>
      <c r="W972" s="521"/>
    </row>
    <row r="973" spans="1:23" s="159" customFormat="1" ht="9" customHeight="1">
      <c r="A973" s="184">
        <v>215</v>
      </c>
      <c r="B973" s="185" t="s">
        <v>930</v>
      </c>
      <c r="C973" s="788" t="s">
        <v>1008</v>
      </c>
      <c r="D973" s="184" t="s">
        <v>111</v>
      </c>
      <c r="E973" s="186" t="s">
        <v>0</v>
      </c>
      <c r="F973" s="186"/>
      <c r="G973" s="186" t="s">
        <v>88</v>
      </c>
      <c r="H973" s="221">
        <v>2</v>
      </c>
      <c r="I973" s="221">
        <v>3</v>
      </c>
      <c r="J973" s="187">
        <v>1122.4000000000001</v>
      </c>
      <c r="K973" s="187">
        <v>893</v>
      </c>
      <c r="L973" s="187">
        <v>893</v>
      </c>
      <c r="M973" s="221">
        <v>48</v>
      </c>
      <c r="N973" s="797">
        <f>'Приложение 2'!E975</f>
        <v>270623.65000000002</v>
      </c>
      <c r="O973" s="187">
        <v>0</v>
      </c>
      <c r="P973" s="187">
        <v>0</v>
      </c>
      <c r="Q973" s="187">
        <v>0</v>
      </c>
      <c r="R973" s="187">
        <f t="shared" si="259"/>
        <v>270623.65000000002</v>
      </c>
      <c r="S973" s="797">
        <f t="shared" si="260"/>
        <v>303.05</v>
      </c>
      <c r="T973" s="797">
        <v>4984.6499999999996</v>
      </c>
      <c r="U973" s="132" t="s">
        <v>590</v>
      </c>
      <c r="V973" s="144">
        <f t="shared" si="256"/>
        <v>4681.5999999999995</v>
      </c>
      <c r="W973" s="521"/>
    </row>
    <row r="974" spans="1:23" s="159" customFormat="1" ht="22.5" customHeight="1">
      <c r="A974" s="824" t="s">
        <v>434</v>
      </c>
      <c r="B974" s="824"/>
      <c r="C974" s="788"/>
      <c r="D974" s="788"/>
      <c r="E974" s="184" t="s">
        <v>391</v>
      </c>
      <c r="F974" s="184" t="s">
        <v>391</v>
      </c>
      <c r="G974" s="184" t="s">
        <v>391</v>
      </c>
      <c r="H974" s="184" t="s">
        <v>391</v>
      </c>
      <c r="I974" s="184" t="s">
        <v>391</v>
      </c>
      <c r="J974" s="189">
        <f t="shared" ref="J974:R974" si="261">SUM(J971:J973)</f>
        <v>3744.15</v>
      </c>
      <c r="K974" s="189">
        <f t="shared" si="261"/>
        <v>2614.25</v>
      </c>
      <c r="L974" s="189">
        <f t="shared" si="261"/>
        <v>2614.25</v>
      </c>
      <c r="M974" s="130">
        <f t="shared" si="261"/>
        <v>119</v>
      </c>
      <c r="N974" s="189">
        <f t="shared" si="261"/>
        <v>2722145.07</v>
      </c>
      <c r="O974" s="189">
        <f t="shared" si="261"/>
        <v>0</v>
      </c>
      <c r="P974" s="189">
        <f t="shared" si="261"/>
        <v>0</v>
      </c>
      <c r="Q974" s="189">
        <f t="shared" si="261"/>
        <v>0</v>
      </c>
      <c r="R974" s="189">
        <f t="shared" si="261"/>
        <v>2722145.07</v>
      </c>
      <c r="S974" s="797">
        <f>N974/K974</f>
        <v>1041.2719020751649</v>
      </c>
      <c r="T974" s="189"/>
      <c r="U974" s="188"/>
      <c r="V974" s="144">
        <f t="shared" si="256"/>
        <v>-1041.2719020751649</v>
      </c>
      <c r="W974" s="521"/>
    </row>
    <row r="975" spans="1:23" s="159" customFormat="1" ht="9" customHeight="1">
      <c r="A975" s="833" t="s">
        <v>937</v>
      </c>
      <c r="B975" s="834"/>
      <c r="C975" s="834"/>
      <c r="D975" s="834"/>
      <c r="E975" s="834"/>
      <c r="F975" s="834"/>
      <c r="G975" s="834"/>
      <c r="H975" s="834"/>
      <c r="I975" s="834"/>
      <c r="J975" s="834"/>
      <c r="K975" s="834"/>
      <c r="L975" s="834"/>
      <c r="M975" s="834"/>
      <c r="N975" s="834"/>
      <c r="O975" s="834"/>
      <c r="P975" s="834"/>
      <c r="Q975" s="834"/>
      <c r="R975" s="834"/>
      <c r="S975" s="834"/>
      <c r="T975" s="834"/>
      <c r="U975" s="835"/>
      <c r="V975" s="144">
        <f t="shared" si="256"/>
        <v>0</v>
      </c>
      <c r="W975" s="521"/>
    </row>
    <row r="976" spans="1:23" s="159" customFormat="1" ht="9" customHeight="1">
      <c r="A976" s="788">
        <v>216</v>
      </c>
      <c r="B976" s="788" t="s">
        <v>938</v>
      </c>
      <c r="C976" s="788" t="s">
        <v>1192</v>
      </c>
      <c r="D976" s="184" t="s">
        <v>111</v>
      </c>
      <c r="E976" s="184" t="s">
        <v>604</v>
      </c>
      <c r="F976" s="184"/>
      <c r="G976" s="184" t="s">
        <v>88</v>
      </c>
      <c r="H976" s="219">
        <v>2</v>
      </c>
      <c r="I976" s="219">
        <v>2</v>
      </c>
      <c r="J976" s="189">
        <v>535</v>
      </c>
      <c r="K976" s="189">
        <v>493.7</v>
      </c>
      <c r="L976" s="189">
        <v>493.7</v>
      </c>
      <c r="M976" s="219">
        <v>16</v>
      </c>
      <c r="N976" s="797">
        <f>'Приложение 2'!E978</f>
        <v>1203048</v>
      </c>
      <c r="O976" s="189">
        <v>0</v>
      </c>
      <c r="P976" s="189">
        <v>0</v>
      </c>
      <c r="Q976" s="189">
        <v>0</v>
      </c>
      <c r="R976" s="189">
        <f>N976</f>
        <v>1203048</v>
      </c>
      <c r="S976" s="797">
        <f t="shared" ref="S976" si="262">N976/K976</f>
        <v>2436.7996759165485</v>
      </c>
      <c r="T976" s="797">
        <v>4503.95</v>
      </c>
      <c r="U976" s="132" t="s">
        <v>590</v>
      </c>
      <c r="V976" s="144">
        <f t="shared" si="256"/>
        <v>2067.1503240834513</v>
      </c>
      <c r="W976" s="521"/>
    </row>
    <row r="977" spans="1:23" s="159" customFormat="1" ht="21.75" customHeight="1">
      <c r="A977" s="824" t="s">
        <v>939</v>
      </c>
      <c r="B977" s="824"/>
      <c r="C977" s="788"/>
      <c r="D977" s="788"/>
      <c r="E977" s="184" t="s">
        <v>391</v>
      </c>
      <c r="F977" s="184" t="s">
        <v>391</v>
      </c>
      <c r="G977" s="184" t="s">
        <v>391</v>
      </c>
      <c r="H977" s="184" t="s">
        <v>391</v>
      </c>
      <c r="I977" s="184" t="s">
        <v>391</v>
      </c>
      <c r="J977" s="189">
        <f t="shared" ref="J977:R977" si="263">SUM(J976:J976)</f>
        <v>535</v>
      </c>
      <c r="K977" s="189">
        <f t="shared" si="263"/>
        <v>493.7</v>
      </c>
      <c r="L977" s="189">
        <f t="shared" si="263"/>
        <v>493.7</v>
      </c>
      <c r="M977" s="130">
        <f t="shared" si="263"/>
        <v>16</v>
      </c>
      <c r="N977" s="189">
        <f t="shared" si="263"/>
        <v>1203048</v>
      </c>
      <c r="O977" s="189">
        <f t="shared" si="263"/>
        <v>0</v>
      </c>
      <c r="P977" s="189">
        <f t="shared" si="263"/>
        <v>0</v>
      </c>
      <c r="Q977" s="189">
        <f t="shared" si="263"/>
        <v>0</v>
      </c>
      <c r="R977" s="189">
        <f t="shared" si="263"/>
        <v>1203048</v>
      </c>
      <c r="S977" s="189">
        <f>N977/K977</f>
        <v>2436.7996759165485</v>
      </c>
      <c r="T977" s="189"/>
      <c r="U977" s="188"/>
      <c r="V977" s="144">
        <f t="shared" si="256"/>
        <v>-2436.7996759165485</v>
      </c>
      <c r="W977" s="521"/>
    </row>
    <row r="978" spans="1:23" s="159" customFormat="1" ht="9" customHeight="1">
      <c r="A978" s="837" t="s">
        <v>361</v>
      </c>
      <c r="B978" s="838"/>
      <c r="C978" s="838"/>
      <c r="D978" s="838"/>
      <c r="E978" s="838"/>
      <c r="F978" s="838"/>
      <c r="G978" s="838"/>
      <c r="H978" s="838"/>
      <c r="I978" s="838"/>
      <c r="J978" s="838"/>
      <c r="K978" s="838"/>
      <c r="L978" s="838"/>
      <c r="M978" s="838"/>
      <c r="N978" s="838"/>
      <c r="O978" s="838"/>
      <c r="P978" s="838"/>
      <c r="Q978" s="838"/>
      <c r="R978" s="838"/>
      <c r="S978" s="838"/>
      <c r="T978" s="838"/>
      <c r="U978" s="839"/>
      <c r="V978" s="144">
        <f t="shared" si="256"/>
        <v>0</v>
      </c>
      <c r="W978" s="521"/>
    </row>
    <row r="979" spans="1:23" s="159" customFormat="1" ht="9" customHeight="1">
      <c r="A979" s="794">
        <v>217</v>
      </c>
      <c r="B979" s="156" t="s">
        <v>1031</v>
      </c>
      <c r="C979" s="786"/>
      <c r="D979" s="786"/>
      <c r="E979" s="794">
        <v>1977</v>
      </c>
      <c r="F979" s="794"/>
      <c r="G979" s="794" t="s">
        <v>88</v>
      </c>
      <c r="H979" s="130">
        <v>2</v>
      </c>
      <c r="I979" s="794">
        <v>2</v>
      </c>
      <c r="J979" s="797">
        <v>919.7</v>
      </c>
      <c r="K979" s="797">
        <v>876.1</v>
      </c>
      <c r="L979" s="797">
        <v>876.1</v>
      </c>
      <c r="M979" s="130">
        <v>40</v>
      </c>
      <c r="N979" s="797">
        <f>'Приложение 2'!E981</f>
        <v>3027024</v>
      </c>
      <c r="O979" s="797">
        <v>0</v>
      </c>
      <c r="P979" s="797">
        <v>0</v>
      </c>
      <c r="Q979" s="797">
        <v>0</v>
      </c>
      <c r="R979" s="797">
        <f>N979</f>
        <v>3027024</v>
      </c>
      <c r="S979" s="797">
        <f>N979/K979</f>
        <v>3455.1124300878896</v>
      </c>
      <c r="T979" s="797">
        <v>4503.95</v>
      </c>
      <c r="U979" s="132" t="s">
        <v>590</v>
      </c>
      <c r="V979" s="144"/>
      <c r="W979" s="521"/>
    </row>
    <row r="980" spans="1:23" s="159" customFormat="1" ht="9" customHeight="1">
      <c r="A980" s="794">
        <v>218</v>
      </c>
      <c r="B980" s="156" t="s">
        <v>1032</v>
      </c>
      <c r="C980" s="785" t="s">
        <v>1192</v>
      </c>
      <c r="D980" s="785" t="s">
        <v>111</v>
      </c>
      <c r="E980" s="794">
        <v>1977</v>
      </c>
      <c r="F980" s="794"/>
      <c r="G980" s="794" t="s">
        <v>88</v>
      </c>
      <c r="H980" s="130">
        <v>2</v>
      </c>
      <c r="I980" s="794">
        <v>1</v>
      </c>
      <c r="J980" s="797">
        <f t="shared" ref="J980" si="264">SUM(K980:M980)</f>
        <v>1043.06</v>
      </c>
      <c r="K980" s="797">
        <v>504.53</v>
      </c>
      <c r="L980" s="797">
        <v>504.53</v>
      </c>
      <c r="M980" s="130">
        <v>34</v>
      </c>
      <c r="N980" s="797">
        <f>'Приложение 2'!E982</f>
        <v>1649340</v>
      </c>
      <c r="O980" s="797">
        <v>0</v>
      </c>
      <c r="P980" s="797">
        <v>0</v>
      </c>
      <c r="Q980" s="797">
        <v>0</v>
      </c>
      <c r="R980" s="797">
        <f>N980</f>
        <v>1649340</v>
      </c>
      <c r="S980" s="797">
        <f>N980/K980</f>
        <v>3269.0622956018474</v>
      </c>
      <c r="T980" s="797">
        <v>4503.95</v>
      </c>
      <c r="U980" s="132" t="s">
        <v>590</v>
      </c>
      <c r="V980" s="144">
        <f t="shared" si="256"/>
        <v>1234.8877043981524</v>
      </c>
      <c r="W980" s="521"/>
    </row>
    <row r="981" spans="1:23" s="159" customFormat="1" ht="22.5" customHeight="1">
      <c r="A981" s="822" t="s">
        <v>450</v>
      </c>
      <c r="B981" s="822"/>
      <c r="C981" s="785"/>
      <c r="D981" s="785"/>
      <c r="E981" s="141" t="s">
        <v>391</v>
      </c>
      <c r="F981" s="141" t="s">
        <v>391</v>
      </c>
      <c r="G981" s="141" t="s">
        <v>391</v>
      </c>
      <c r="H981" s="141" t="s">
        <v>391</v>
      </c>
      <c r="I981" s="141" t="s">
        <v>391</v>
      </c>
      <c r="J981" s="797">
        <f t="shared" ref="J981:R981" si="265">SUM(J979:J980)</f>
        <v>1962.76</v>
      </c>
      <c r="K981" s="797">
        <f t="shared" si="265"/>
        <v>1380.63</v>
      </c>
      <c r="L981" s="797">
        <f t="shared" si="265"/>
        <v>1380.63</v>
      </c>
      <c r="M981" s="130">
        <f t="shared" si="265"/>
        <v>74</v>
      </c>
      <c r="N981" s="797">
        <f t="shared" si="265"/>
        <v>4676364</v>
      </c>
      <c r="O981" s="797">
        <f t="shared" si="265"/>
        <v>0</v>
      </c>
      <c r="P981" s="797">
        <f t="shared" si="265"/>
        <v>0</v>
      </c>
      <c r="Q981" s="797">
        <f t="shared" si="265"/>
        <v>0</v>
      </c>
      <c r="R981" s="797">
        <f t="shared" si="265"/>
        <v>4676364</v>
      </c>
      <c r="S981" s="797">
        <f>N981/K981</f>
        <v>3387.1232698116073</v>
      </c>
      <c r="T981" s="797"/>
      <c r="U981" s="132"/>
      <c r="V981" s="144">
        <f t="shared" si="256"/>
        <v>-3387.1232698116073</v>
      </c>
      <c r="W981" s="521"/>
    </row>
    <row r="982" spans="1:23" s="159" customFormat="1" ht="9" customHeight="1">
      <c r="A982" s="837" t="s">
        <v>431</v>
      </c>
      <c r="B982" s="838"/>
      <c r="C982" s="838"/>
      <c r="D982" s="838"/>
      <c r="E982" s="838"/>
      <c r="F982" s="838"/>
      <c r="G982" s="838"/>
      <c r="H982" s="838"/>
      <c r="I982" s="838"/>
      <c r="J982" s="838"/>
      <c r="K982" s="838"/>
      <c r="L982" s="838"/>
      <c r="M982" s="838"/>
      <c r="N982" s="838"/>
      <c r="O982" s="838"/>
      <c r="P982" s="838"/>
      <c r="Q982" s="838"/>
      <c r="R982" s="838"/>
      <c r="S982" s="838"/>
      <c r="T982" s="838"/>
      <c r="U982" s="839"/>
      <c r="V982" s="144">
        <f t="shared" si="256"/>
        <v>0</v>
      </c>
      <c r="W982" s="521"/>
    </row>
    <row r="983" spans="1:23" s="159" customFormat="1" ht="9" customHeight="1">
      <c r="A983" s="794">
        <v>219</v>
      </c>
      <c r="B983" s="156" t="s">
        <v>942</v>
      </c>
      <c r="C983" s="785" t="s">
        <v>1192</v>
      </c>
      <c r="D983" s="785" t="s">
        <v>111</v>
      </c>
      <c r="E983" s="794" t="s">
        <v>600</v>
      </c>
      <c r="F983" s="794"/>
      <c r="G983" s="794" t="s">
        <v>88</v>
      </c>
      <c r="H983" s="130">
        <v>2</v>
      </c>
      <c r="I983" s="130">
        <v>1</v>
      </c>
      <c r="J983" s="149">
        <v>407.5</v>
      </c>
      <c r="K983" s="149">
        <v>370.4</v>
      </c>
      <c r="L983" s="149">
        <v>370.4</v>
      </c>
      <c r="M983" s="130">
        <v>25</v>
      </c>
      <c r="N983" s="797">
        <f>'Приложение 2'!E985</f>
        <v>1002216.6</v>
      </c>
      <c r="O983" s="797">
        <v>0</v>
      </c>
      <c r="P983" s="797">
        <v>0</v>
      </c>
      <c r="Q983" s="797">
        <v>0</v>
      </c>
      <c r="R983" s="797">
        <f>N983</f>
        <v>1002216.6</v>
      </c>
      <c r="S983" s="797">
        <f t="shared" ref="S983:S984" si="266">N983/K983</f>
        <v>2705.7683585313175</v>
      </c>
      <c r="T983" s="797">
        <v>4503.95</v>
      </c>
      <c r="U983" s="132" t="s">
        <v>590</v>
      </c>
      <c r="V983" s="144">
        <f t="shared" si="256"/>
        <v>1798.1816414686823</v>
      </c>
      <c r="W983" s="521"/>
    </row>
    <row r="984" spans="1:23" s="159" customFormat="1" ht="9" customHeight="1">
      <c r="A984" s="794">
        <v>220</v>
      </c>
      <c r="B984" s="156" t="s">
        <v>943</v>
      </c>
      <c r="C984" s="785" t="s">
        <v>1192</v>
      </c>
      <c r="D984" s="785" t="s">
        <v>111</v>
      </c>
      <c r="E984" s="794" t="s">
        <v>608</v>
      </c>
      <c r="F984" s="794"/>
      <c r="G984" s="794" t="s">
        <v>88</v>
      </c>
      <c r="H984" s="130">
        <v>2</v>
      </c>
      <c r="I984" s="130">
        <v>3</v>
      </c>
      <c r="J984" s="149">
        <v>814.5</v>
      </c>
      <c r="K984" s="149">
        <v>728</v>
      </c>
      <c r="L984" s="149">
        <v>728</v>
      </c>
      <c r="M984" s="130">
        <v>35</v>
      </c>
      <c r="N984" s="797">
        <f>'Приложение 2'!E986</f>
        <v>2003139.6</v>
      </c>
      <c r="O984" s="797">
        <v>0</v>
      </c>
      <c r="P984" s="797">
        <v>0</v>
      </c>
      <c r="Q984" s="797">
        <v>0</v>
      </c>
      <c r="R984" s="797">
        <f>N984</f>
        <v>2003139.6</v>
      </c>
      <c r="S984" s="797">
        <f t="shared" si="266"/>
        <v>2751.5653846153846</v>
      </c>
      <c r="T984" s="797">
        <v>4503.95</v>
      </c>
      <c r="U984" s="132" t="s">
        <v>590</v>
      </c>
      <c r="V984" s="144">
        <f t="shared" si="256"/>
        <v>1752.3846153846152</v>
      </c>
      <c r="W984" s="521"/>
    </row>
    <row r="985" spans="1:23" s="159" customFormat="1" ht="22.5" customHeight="1">
      <c r="A985" s="822" t="s">
        <v>432</v>
      </c>
      <c r="B985" s="822"/>
      <c r="C985" s="785"/>
      <c r="D985" s="785"/>
      <c r="E985" s="141" t="s">
        <v>391</v>
      </c>
      <c r="F985" s="141" t="s">
        <v>391</v>
      </c>
      <c r="G985" s="141" t="s">
        <v>391</v>
      </c>
      <c r="H985" s="141" t="s">
        <v>391</v>
      </c>
      <c r="I985" s="141" t="s">
        <v>391</v>
      </c>
      <c r="J985" s="797">
        <f t="shared" ref="J985:R985" si="267">SUM(J983:J984)</f>
        <v>1222</v>
      </c>
      <c r="K985" s="797">
        <f t="shared" si="267"/>
        <v>1098.4000000000001</v>
      </c>
      <c r="L985" s="797">
        <f t="shared" si="267"/>
        <v>1098.4000000000001</v>
      </c>
      <c r="M985" s="130">
        <f t="shared" si="267"/>
        <v>60</v>
      </c>
      <c r="N985" s="797">
        <f t="shared" si="267"/>
        <v>3005356.2</v>
      </c>
      <c r="O985" s="797">
        <f t="shared" si="267"/>
        <v>0</v>
      </c>
      <c r="P985" s="797">
        <f t="shared" si="267"/>
        <v>0</v>
      </c>
      <c r="Q985" s="797">
        <f t="shared" si="267"/>
        <v>0</v>
      </c>
      <c r="R985" s="797">
        <f t="shared" si="267"/>
        <v>3005356.2</v>
      </c>
      <c r="S985" s="797">
        <f>N985/K985</f>
        <v>2736.1218135469776</v>
      </c>
      <c r="T985" s="797"/>
      <c r="U985" s="132"/>
      <c r="V985" s="144">
        <f t="shared" si="256"/>
        <v>-2736.1218135469776</v>
      </c>
      <c r="W985" s="521"/>
    </row>
    <row r="986" spans="1:23" s="159" customFormat="1" ht="9" customHeight="1">
      <c r="A986" s="874" t="s">
        <v>3</v>
      </c>
      <c r="B986" s="875"/>
      <c r="C986" s="875"/>
      <c r="D986" s="875"/>
      <c r="E986" s="875"/>
      <c r="F986" s="875"/>
      <c r="G986" s="875"/>
      <c r="H986" s="875"/>
      <c r="I986" s="875"/>
      <c r="J986" s="875"/>
      <c r="K986" s="875"/>
      <c r="L986" s="875"/>
      <c r="M986" s="875"/>
      <c r="N986" s="875"/>
      <c r="O986" s="875"/>
      <c r="P986" s="875"/>
      <c r="Q986" s="875"/>
      <c r="R986" s="875"/>
      <c r="S986" s="875"/>
      <c r="T986" s="875"/>
      <c r="U986" s="876"/>
      <c r="V986" s="144">
        <f t="shared" si="256"/>
        <v>0</v>
      </c>
      <c r="W986" s="521"/>
    </row>
    <row r="987" spans="1:23" s="159" customFormat="1" ht="9" customHeight="1">
      <c r="A987" s="191">
        <v>221</v>
      </c>
      <c r="B987" s="192" t="s">
        <v>946</v>
      </c>
      <c r="C987" s="789" t="s">
        <v>1192</v>
      </c>
      <c r="D987" s="789" t="s">
        <v>111</v>
      </c>
      <c r="E987" s="191" t="s">
        <v>612</v>
      </c>
      <c r="F987" s="191"/>
      <c r="G987" s="191" t="s">
        <v>88</v>
      </c>
      <c r="H987" s="220">
        <v>2</v>
      </c>
      <c r="I987" s="220">
        <v>3</v>
      </c>
      <c r="J987" s="195">
        <v>1144.96</v>
      </c>
      <c r="K987" s="195">
        <v>1072.3800000000001</v>
      </c>
      <c r="L987" s="195">
        <v>709</v>
      </c>
      <c r="M987" s="220">
        <v>20</v>
      </c>
      <c r="N987" s="797">
        <f>'Приложение 2'!E989</f>
        <v>2858856</v>
      </c>
      <c r="O987" s="195">
        <f>SUM(O986:O986)</f>
        <v>0</v>
      </c>
      <c r="P987" s="195">
        <f>SUM(P986:P986)</f>
        <v>0</v>
      </c>
      <c r="Q987" s="195">
        <v>0</v>
      </c>
      <c r="R987" s="195">
        <f>N987-Q987</f>
        <v>2858856</v>
      </c>
      <c r="S987" s="797">
        <f t="shared" ref="S987" si="268">N987/K987</f>
        <v>2665.898282325295</v>
      </c>
      <c r="T987" s="797">
        <v>4503.95</v>
      </c>
      <c r="U987" s="132" t="s">
        <v>590</v>
      </c>
      <c r="V987" s="144">
        <f t="shared" si="256"/>
        <v>1838.0517176747048</v>
      </c>
      <c r="W987" s="521"/>
    </row>
    <row r="988" spans="1:23" s="159" customFormat="1" ht="21" customHeight="1">
      <c r="A988" s="825" t="s">
        <v>6</v>
      </c>
      <c r="B988" s="825"/>
      <c r="C988" s="789"/>
      <c r="D988" s="789"/>
      <c r="E988" s="141" t="s">
        <v>391</v>
      </c>
      <c r="F988" s="141" t="s">
        <v>391</v>
      </c>
      <c r="G988" s="141" t="s">
        <v>391</v>
      </c>
      <c r="H988" s="141" t="s">
        <v>391</v>
      </c>
      <c r="I988" s="141" t="s">
        <v>391</v>
      </c>
      <c r="J988" s="195">
        <f>SUM(J987:J987)</f>
        <v>1144.96</v>
      </c>
      <c r="K988" s="195">
        <f>SUM(K987:K987)</f>
        <v>1072.3800000000001</v>
      </c>
      <c r="L988" s="195">
        <f>SUM(L987:L987)</f>
        <v>709</v>
      </c>
      <c r="M988" s="130">
        <f>SUM(M987:M987)</f>
        <v>20</v>
      </c>
      <c r="N988" s="195">
        <f>SUM(N987:N987)</f>
        <v>2858856</v>
      </c>
      <c r="O988" s="195">
        <f>SUM(O987:O987)</f>
        <v>0</v>
      </c>
      <c r="P988" s="195">
        <f>SUM(P987:P987)</f>
        <v>0</v>
      </c>
      <c r="Q988" s="195">
        <f>SUM(Q987:Q987)</f>
        <v>0</v>
      </c>
      <c r="R988" s="195">
        <f>SUM(R987:R987)</f>
        <v>2858856</v>
      </c>
      <c r="S988" s="195">
        <f>SUM(S987:S987)</f>
        <v>2665.898282325295</v>
      </c>
      <c r="T988" s="191"/>
      <c r="U988" s="196"/>
      <c r="V988" s="144">
        <f t="shared" si="256"/>
        <v>-2665.898282325295</v>
      </c>
      <c r="W988" s="521"/>
    </row>
    <row r="989" spans="1:23" s="159" customFormat="1" ht="9" customHeight="1">
      <c r="A989" s="833" t="s">
        <v>11</v>
      </c>
      <c r="B989" s="834"/>
      <c r="C989" s="834"/>
      <c r="D989" s="834"/>
      <c r="E989" s="834"/>
      <c r="F989" s="834"/>
      <c r="G989" s="834"/>
      <c r="H989" s="834"/>
      <c r="I989" s="834"/>
      <c r="J989" s="834"/>
      <c r="K989" s="834"/>
      <c r="L989" s="834"/>
      <c r="M989" s="834"/>
      <c r="N989" s="834"/>
      <c r="O989" s="834"/>
      <c r="P989" s="834"/>
      <c r="Q989" s="834"/>
      <c r="R989" s="834"/>
      <c r="S989" s="834"/>
      <c r="T989" s="834"/>
      <c r="U989" s="835"/>
      <c r="V989" s="144">
        <f t="shared" si="256"/>
        <v>0</v>
      </c>
      <c r="W989" s="521"/>
    </row>
    <row r="990" spans="1:23" s="159" customFormat="1" ht="9" customHeight="1">
      <c r="A990" s="166">
        <v>222</v>
      </c>
      <c r="B990" s="170" t="s">
        <v>953</v>
      </c>
      <c r="C990" s="787" t="s">
        <v>1192</v>
      </c>
      <c r="D990" s="787" t="s">
        <v>111</v>
      </c>
      <c r="E990" s="166" t="s">
        <v>219</v>
      </c>
      <c r="F990" s="166"/>
      <c r="G990" s="191" t="s">
        <v>88</v>
      </c>
      <c r="H990" s="190">
        <v>1</v>
      </c>
      <c r="I990" s="190">
        <v>1</v>
      </c>
      <c r="J990" s="167">
        <v>249.8</v>
      </c>
      <c r="K990" s="167">
        <v>234.8</v>
      </c>
      <c r="L990" s="167">
        <v>234.8</v>
      </c>
      <c r="M990" s="190">
        <v>10</v>
      </c>
      <c r="N990" s="797">
        <f>'Приложение 2'!E992</f>
        <v>572418</v>
      </c>
      <c r="O990" s="167">
        <v>0</v>
      </c>
      <c r="P990" s="167">
        <v>0</v>
      </c>
      <c r="Q990" s="167">
        <v>0</v>
      </c>
      <c r="R990" s="167">
        <f t="shared" ref="R990:R994" si="269">N990</f>
        <v>572418</v>
      </c>
      <c r="S990" s="797">
        <f t="shared" ref="S990:S994" si="270">N990/K990</f>
        <v>2437.8960817717207</v>
      </c>
      <c r="T990" s="797">
        <v>4503.95</v>
      </c>
      <c r="U990" s="132" t="s">
        <v>590</v>
      </c>
      <c r="V990" s="144">
        <f t="shared" si="256"/>
        <v>2066.0539182282791</v>
      </c>
      <c r="W990" s="521"/>
    </row>
    <row r="991" spans="1:23" s="159" customFormat="1" ht="9" customHeight="1">
      <c r="A991" s="166">
        <v>223</v>
      </c>
      <c r="B991" s="170" t="s">
        <v>954</v>
      </c>
      <c r="C991" s="787" t="s">
        <v>1192</v>
      </c>
      <c r="D991" s="787" t="s">
        <v>111</v>
      </c>
      <c r="E991" s="166" t="s">
        <v>754</v>
      </c>
      <c r="F991" s="166"/>
      <c r="G991" s="191" t="s">
        <v>776</v>
      </c>
      <c r="H991" s="190">
        <v>2</v>
      </c>
      <c r="I991" s="190">
        <v>3</v>
      </c>
      <c r="J991" s="167">
        <v>185.2</v>
      </c>
      <c r="K991" s="167">
        <v>176.2</v>
      </c>
      <c r="L991" s="167">
        <v>176.2</v>
      </c>
      <c r="M991" s="190">
        <v>9</v>
      </c>
      <c r="N991" s="797">
        <f>'Приложение 2'!E993</f>
        <v>633864</v>
      </c>
      <c r="O991" s="167">
        <v>0</v>
      </c>
      <c r="P991" s="167">
        <v>0</v>
      </c>
      <c r="Q991" s="167">
        <v>0</v>
      </c>
      <c r="R991" s="167">
        <f t="shared" si="269"/>
        <v>633864</v>
      </c>
      <c r="S991" s="797">
        <f t="shared" si="270"/>
        <v>3597.4120317820662</v>
      </c>
      <c r="T991" s="797">
        <v>4503.95</v>
      </c>
      <c r="U991" s="132" t="s">
        <v>590</v>
      </c>
      <c r="V991" s="144">
        <f t="shared" si="256"/>
        <v>906.53796821793367</v>
      </c>
      <c r="W991" s="521"/>
    </row>
    <row r="992" spans="1:23" s="159" customFormat="1" ht="9" customHeight="1">
      <c r="A992" s="166">
        <v>224</v>
      </c>
      <c r="B992" s="170" t="s">
        <v>955</v>
      </c>
      <c r="C992" s="787" t="s">
        <v>1192</v>
      </c>
      <c r="D992" s="787" t="s">
        <v>111</v>
      </c>
      <c r="E992" s="166" t="s">
        <v>754</v>
      </c>
      <c r="F992" s="166"/>
      <c r="G992" s="191" t="s">
        <v>88</v>
      </c>
      <c r="H992" s="190">
        <v>1</v>
      </c>
      <c r="I992" s="190">
        <v>1</v>
      </c>
      <c r="J992" s="167">
        <v>524.79999999999995</v>
      </c>
      <c r="K992" s="167">
        <v>487.2</v>
      </c>
      <c r="L992" s="167">
        <v>487.2</v>
      </c>
      <c r="M992" s="190">
        <v>14</v>
      </c>
      <c r="N992" s="797">
        <f>'Приложение 2'!E994</f>
        <v>1131900</v>
      </c>
      <c r="O992" s="167">
        <v>0</v>
      </c>
      <c r="P992" s="167">
        <v>0</v>
      </c>
      <c r="Q992" s="167">
        <v>0</v>
      </c>
      <c r="R992" s="167">
        <f t="shared" si="269"/>
        <v>1131900</v>
      </c>
      <c r="S992" s="797">
        <f t="shared" si="270"/>
        <v>2323.2758620689656</v>
      </c>
      <c r="T992" s="797">
        <v>4503.95</v>
      </c>
      <c r="U992" s="132" t="s">
        <v>590</v>
      </c>
      <c r="V992" s="144">
        <f t="shared" si="256"/>
        <v>2180.6741379310342</v>
      </c>
      <c r="W992" s="521"/>
    </row>
    <row r="993" spans="1:23" s="159" customFormat="1" ht="9" customHeight="1">
      <c r="A993" s="166">
        <v>225</v>
      </c>
      <c r="B993" s="170" t="s">
        <v>956</v>
      </c>
      <c r="C993" s="787" t="s">
        <v>1192</v>
      </c>
      <c r="D993" s="787" t="s">
        <v>111</v>
      </c>
      <c r="E993" s="166" t="s">
        <v>754</v>
      </c>
      <c r="F993" s="166"/>
      <c r="G993" s="191" t="s">
        <v>776</v>
      </c>
      <c r="H993" s="190">
        <v>1</v>
      </c>
      <c r="I993" s="190">
        <v>1</v>
      </c>
      <c r="J993" s="167">
        <v>271.10000000000002</v>
      </c>
      <c r="K993" s="167">
        <v>261.89999999999998</v>
      </c>
      <c r="L993" s="167">
        <v>261.89999999999998</v>
      </c>
      <c r="M993" s="190" t="s">
        <v>1030</v>
      </c>
      <c r="N993" s="797">
        <f>'Приложение 2'!E995</f>
        <v>937860</v>
      </c>
      <c r="O993" s="167">
        <v>0</v>
      </c>
      <c r="P993" s="167">
        <v>0</v>
      </c>
      <c r="Q993" s="167">
        <v>0</v>
      </c>
      <c r="R993" s="167">
        <f t="shared" si="269"/>
        <v>937860</v>
      </c>
      <c r="S993" s="797">
        <f t="shared" si="270"/>
        <v>3580.9851088201608</v>
      </c>
      <c r="T993" s="797">
        <v>4503.95</v>
      </c>
      <c r="U993" s="132" t="s">
        <v>590</v>
      </c>
      <c r="V993" s="144">
        <f t="shared" si="256"/>
        <v>922.96489117983901</v>
      </c>
      <c r="W993" s="521"/>
    </row>
    <row r="994" spans="1:23" s="159" customFormat="1" ht="9" customHeight="1">
      <c r="A994" s="166">
        <v>226</v>
      </c>
      <c r="B994" s="170" t="s">
        <v>957</v>
      </c>
      <c r="C994" s="787" t="s">
        <v>1192</v>
      </c>
      <c r="D994" s="787" t="s">
        <v>111</v>
      </c>
      <c r="E994" s="166" t="s">
        <v>748</v>
      </c>
      <c r="F994" s="166"/>
      <c r="G994" s="191" t="s">
        <v>88</v>
      </c>
      <c r="H994" s="190">
        <v>2</v>
      </c>
      <c r="I994" s="190">
        <v>1</v>
      </c>
      <c r="J994" s="167">
        <v>331.2</v>
      </c>
      <c r="K994" s="167">
        <v>312.5</v>
      </c>
      <c r="L994" s="167">
        <v>312.5</v>
      </c>
      <c r="M994" s="190">
        <v>21</v>
      </c>
      <c r="N994" s="797">
        <f>'Приложение 2'!E996</f>
        <v>892584</v>
      </c>
      <c r="O994" s="167">
        <v>0</v>
      </c>
      <c r="P994" s="167">
        <v>0</v>
      </c>
      <c r="Q994" s="167">
        <v>0</v>
      </c>
      <c r="R994" s="167">
        <f t="shared" si="269"/>
        <v>892584</v>
      </c>
      <c r="S994" s="797">
        <f t="shared" si="270"/>
        <v>2856.2687999999998</v>
      </c>
      <c r="T994" s="797">
        <v>4503.95</v>
      </c>
      <c r="U994" s="132" t="s">
        <v>590</v>
      </c>
      <c r="V994" s="144">
        <f t="shared" si="256"/>
        <v>1647.6812</v>
      </c>
      <c r="W994" s="521"/>
    </row>
    <row r="995" spans="1:23" s="198" customFormat="1" ht="21" customHeight="1">
      <c r="A995" s="820" t="s">
        <v>12</v>
      </c>
      <c r="B995" s="820"/>
      <c r="C995" s="787"/>
      <c r="D995" s="787"/>
      <c r="E995" s="141" t="s">
        <v>391</v>
      </c>
      <c r="F995" s="141" t="s">
        <v>391</v>
      </c>
      <c r="G995" s="141" t="s">
        <v>391</v>
      </c>
      <c r="H995" s="141" t="s">
        <v>391</v>
      </c>
      <c r="I995" s="141" t="s">
        <v>391</v>
      </c>
      <c r="J995" s="167">
        <f t="shared" ref="J995:R995" si="271">SUM(J990:J994)</f>
        <v>1562.1000000000001</v>
      </c>
      <c r="K995" s="167">
        <f t="shared" si="271"/>
        <v>1472.6</v>
      </c>
      <c r="L995" s="167">
        <f t="shared" si="271"/>
        <v>1472.6</v>
      </c>
      <c r="M995" s="190">
        <f t="shared" si="271"/>
        <v>54</v>
      </c>
      <c r="N995" s="167">
        <f t="shared" si="271"/>
        <v>4168626</v>
      </c>
      <c r="O995" s="167">
        <f t="shared" si="271"/>
        <v>0</v>
      </c>
      <c r="P995" s="167">
        <f t="shared" si="271"/>
        <v>0</v>
      </c>
      <c r="Q995" s="167">
        <f t="shared" si="271"/>
        <v>0</v>
      </c>
      <c r="R995" s="167">
        <f t="shared" si="271"/>
        <v>4168626</v>
      </c>
      <c r="S995" s="797">
        <f>N995/K995</f>
        <v>2830.7931549640093</v>
      </c>
      <c r="T995" s="166"/>
      <c r="U995" s="174"/>
      <c r="V995" s="144">
        <f t="shared" si="256"/>
        <v>-2830.7931549640093</v>
      </c>
      <c r="W995" s="521"/>
    </row>
    <row r="996" spans="1:23" s="198" customFormat="1" ht="9" customHeight="1">
      <c r="A996" s="833" t="s">
        <v>392</v>
      </c>
      <c r="B996" s="834"/>
      <c r="C996" s="834"/>
      <c r="D996" s="834"/>
      <c r="E996" s="834"/>
      <c r="F996" s="834"/>
      <c r="G996" s="834"/>
      <c r="H996" s="834"/>
      <c r="I996" s="834"/>
      <c r="J996" s="834"/>
      <c r="K996" s="834"/>
      <c r="L996" s="834"/>
      <c r="M996" s="834"/>
      <c r="N996" s="834"/>
      <c r="O996" s="834"/>
      <c r="P996" s="834"/>
      <c r="Q996" s="834"/>
      <c r="R996" s="834"/>
      <c r="S996" s="834"/>
      <c r="T996" s="834"/>
      <c r="U996" s="835"/>
      <c r="V996" s="144">
        <f t="shared" si="256"/>
        <v>0</v>
      </c>
      <c r="W996" s="521"/>
    </row>
    <row r="997" spans="1:23" s="198" customFormat="1" ht="9" customHeight="1">
      <c r="A997" s="166">
        <v>227</v>
      </c>
      <c r="B997" s="170" t="s">
        <v>959</v>
      </c>
      <c r="C997" s="170" t="s">
        <v>1192</v>
      </c>
      <c r="D997" s="170" t="s">
        <v>111</v>
      </c>
      <c r="E997" s="166" t="s">
        <v>89</v>
      </c>
      <c r="F997" s="166"/>
      <c r="G997" s="166" t="s">
        <v>88</v>
      </c>
      <c r="H997" s="260">
        <v>2</v>
      </c>
      <c r="I997" s="190">
        <v>1</v>
      </c>
      <c r="J997" s="199">
        <v>200</v>
      </c>
      <c r="K997" s="199">
        <v>164.9</v>
      </c>
      <c r="L997" s="199">
        <v>164.9</v>
      </c>
      <c r="M997" s="190">
        <v>10</v>
      </c>
      <c r="N997" s="797">
        <f>'Приложение 2'!E999</f>
        <v>581149.80000000005</v>
      </c>
      <c r="O997" s="166" t="s">
        <v>393</v>
      </c>
      <c r="P997" s="166" t="s">
        <v>393</v>
      </c>
      <c r="Q997" s="199">
        <v>0</v>
      </c>
      <c r="R997" s="167">
        <f>N997-Q997</f>
        <v>581149.80000000005</v>
      </c>
      <c r="S997" s="797">
        <f t="shared" ref="S997" si="272">N997/K997</f>
        <v>3524.2559126743481</v>
      </c>
      <c r="T997" s="797">
        <v>4503.95</v>
      </c>
      <c r="U997" s="132" t="s">
        <v>590</v>
      </c>
      <c r="V997" s="144">
        <f t="shared" si="256"/>
        <v>979.69408732565171</v>
      </c>
      <c r="W997" s="521"/>
    </row>
    <row r="998" spans="1:23" s="198" customFormat="1" ht="22.5" customHeight="1">
      <c r="A998" s="820" t="s">
        <v>21</v>
      </c>
      <c r="B998" s="820"/>
      <c r="C998" s="787"/>
      <c r="D998" s="787"/>
      <c r="E998" s="141" t="s">
        <v>391</v>
      </c>
      <c r="F998" s="141" t="s">
        <v>391</v>
      </c>
      <c r="G998" s="141" t="s">
        <v>391</v>
      </c>
      <c r="H998" s="141" t="s">
        <v>391</v>
      </c>
      <c r="I998" s="141" t="s">
        <v>391</v>
      </c>
      <c r="J998" s="167">
        <f t="shared" ref="J998:R998" si="273">SUM(J997:J997)</f>
        <v>200</v>
      </c>
      <c r="K998" s="167">
        <f t="shared" si="273"/>
        <v>164.9</v>
      </c>
      <c r="L998" s="167">
        <f t="shared" si="273"/>
        <v>164.9</v>
      </c>
      <c r="M998" s="130">
        <f t="shared" si="273"/>
        <v>10</v>
      </c>
      <c r="N998" s="167">
        <f t="shared" si="273"/>
        <v>581149.80000000005</v>
      </c>
      <c r="O998" s="167">
        <f t="shared" si="273"/>
        <v>0</v>
      </c>
      <c r="P998" s="167">
        <f t="shared" si="273"/>
        <v>0</v>
      </c>
      <c r="Q998" s="167">
        <f t="shared" si="273"/>
        <v>0</v>
      </c>
      <c r="R998" s="167">
        <f t="shared" si="273"/>
        <v>581149.80000000005</v>
      </c>
      <c r="S998" s="797">
        <f>N998/K998</f>
        <v>3524.2559126743481</v>
      </c>
      <c r="T998" s="166"/>
      <c r="U998" s="170"/>
      <c r="V998" s="144">
        <f t="shared" si="256"/>
        <v>-3524.2559126743481</v>
      </c>
      <c r="W998" s="521"/>
    </row>
    <row r="999" spans="1:23" s="198" customFormat="1" ht="14.25" customHeight="1">
      <c r="A999" s="833" t="s">
        <v>437</v>
      </c>
      <c r="B999" s="834"/>
      <c r="C999" s="834"/>
      <c r="D999" s="834"/>
      <c r="E999" s="834"/>
      <c r="F999" s="834"/>
      <c r="G999" s="834"/>
      <c r="H999" s="834"/>
      <c r="I999" s="834"/>
      <c r="J999" s="834"/>
      <c r="K999" s="834"/>
      <c r="L999" s="834"/>
      <c r="M999" s="834"/>
      <c r="N999" s="834"/>
      <c r="O999" s="834"/>
      <c r="P999" s="834"/>
      <c r="Q999" s="834"/>
      <c r="R999" s="834"/>
      <c r="S999" s="834"/>
      <c r="T999" s="834"/>
      <c r="U999" s="835"/>
      <c r="V999" s="144">
        <f t="shared" si="256"/>
        <v>0</v>
      </c>
      <c r="W999" s="521"/>
    </row>
    <row r="1000" spans="1:23" s="198" customFormat="1" ht="13.5" customHeight="1">
      <c r="A1000" s="794">
        <v>228</v>
      </c>
      <c r="B1000" s="156" t="s">
        <v>1070</v>
      </c>
      <c r="C1000" s="785" t="s">
        <v>1192</v>
      </c>
      <c r="D1000" s="785" t="s">
        <v>110</v>
      </c>
      <c r="E1000" s="794" t="s">
        <v>605</v>
      </c>
      <c r="F1000" s="794"/>
      <c r="G1000" s="794" t="s">
        <v>88</v>
      </c>
      <c r="H1000" s="130">
        <v>2</v>
      </c>
      <c r="I1000" s="130">
        <v>2</v>
      </c>
      <c r="J1000" s="797">
        <v>907.5</v>
      </c>
      <c r="K1000" s="797">
        <v>875.6</v>
      </c>
      <c r="L1000" s="797">
        <v>875.6</v>
      </c>
      <c r="M1000" s="130">
        <v>48</v>
      </c>
      <c r="N1000" s="797">
        <f>'Приложение 2'!E1002</f>
        <v>2133026.52</v>
      </c>
      <c r="O1000" s="797">
        <v>0</v>
      </c>
      <c r="P1000" s="797">
        <v>0</v>
      </c>
      <c r="Q1000" s="797">
        <v>0</v>
      </c>
      <c r="R1000" s="797">
        <f>N1000-Q1000</f>
        <v>2133026.52</v>
      </c>
      <c r="S1000" s="797">
        <f>N1000/K1000</f>
        <v>2436.0741434444953</v>
      </c>
      <c r="T1000" s="797">
        <v>4180</v>
      </c>
      <c r="U1000" s="132" t="s">
        <v>590</v>
      </c>
      <c r="V1000" s="144">
        <f t="shared" si="256"/>
        <v>1743.9258565555047</v>
      </c>
      <c r="W1000" s="521" t="s">
        <v>1107</v>
      </c>
    </row>
    <row r="1001" spans="1:23" s="198" customFormat="1" ht="22.5" customHeight="1">
      <c r="A1001" s="822" t="s">
        <v>438</v>
      </c>
      <c r="B1001" s="822"/>
      <c r="C1001" s="785"/>
      <c r="D1001" s="785"/>
      <c r="E1001" s="141" t="s">
        <v>391</v>
      </c>
      <c r="F1001" s="141" t="s">
        <v>391</v>
      </c>
      <c r="G1001" s="141" t="s">
        <v>391</v>
      </c>
      <c r="H1001" s="141" t="s">
        <v>391</v>
      </c>
      <c r="I1001" s="141" t="s">
        <v>391</v>
      </c>
      <c r="J1001" s="797">
        <f t="shared" ref="J1001:R1001" si="274">SUM(J1000:J1000)</f>
        <v>907.5</v>
      </c>
      <c r="K1001" s="797">
        <f t="shared" si="274"/>
        <v>875.6</v>
      </c>
      <c r="L1001" s="797">
        <f t="shared" si="274"/>
        <v>875.6</v>
      </c>
      <c r="M1001" s="130">
        <f t="shared" si="274"/>
        <v>48</v>
      </c>
      <c r="N1001" s="797">
        <f t="shared" si="274"/>
        <v>2133026.52</v>
      </c>
      <c r="O1001" s="797">
        <f t="shared" si="274"/>
        <v>0</v>
      </c>
      <c r="P1001" s="797">
        <f t="shared" si="274"/>
        <v>0</v>
      </c>
      <c r="Q1001" s="797">
        <f t="shared" si="274"/>
        <v>0</v>
      </c>
      <c r="R1001" s="797">
        <f t="shared" si="274"/>
        <v>2133026.52</v>
      </c>
      <c r="S1001" s="797">
        <f>N1001/K1001</f>
        <v>2436.0741434444953</v>
      </c>
      <c r="T1001" s="797"/>
      <c r="U1001" s="170"/>
      <c r="V1001" s="144">
        <f t="shared" si="256"/>
        <v>-2436.0741434444953</v>
      </c>
      <c r="W1001" s="521"/>
    </row>
    <row r="1002" spans="1:23" s="198" customFormat="1" ht="9" customHeight="1">
      <c r="A1002" s="833" t="s">
        <v>429</v>
      </c>
      <c r="B1002" s="834"/>
      <c r="C1002" s="834"/>
      <c r="D1002" s="834"/>
      <c r="E1002" s="834"/>
      <c r="F1002" s="834"/>
      <c r="G1002" s="834"/>
      <c r="H1002" s="834"/>
      <c r="I1002" s="834"/>
      <c r="J1002" s="834"/>
      <c r="K1002" s="834"/>
      <c r="L1002" s="834"/>
      <c r="M1002" s="834"/>
      <c r="N1002" s="834"/>
      <c r="O1002" s="834"/>
      <c r="P1002" s="834"/>
      <c r="Q1002" s="834"/>
      <c r="R1002" s="834"/>
      <c r="S1002" s="834"/>
      <c r="T1002" s="834"/>
      <c r="U1002" s="835"/>
      <c r="V1002" s="144">
        <f t="shared" si="256"/>
        <v>0</v>
      </c>
      <c r="W1002" s="521"/>
    </row>
    <row r="1003" spans="1:23" s="198" customFormat="1" ht="9" customHeight="1">
      <c r="A1003" s="794">
        <v>229</v>
      </c>
      <c r="B1003" s="156" t="s">
        <v>961</v>
      </c>
      <c r="C1003" s="785" t="s">
        <v>1192</v>
      </c>
      <c r="D1003" s="785" t="s">
        <v>111</v>
      </c>
      <c r="E1003" s="794" t="s">
        <v>746</v>
      </c>
      <c r="F1003" s="794"/>
      <c r="G1003" s="794" t="s">
        <v>90</v>
      </c>
      <c r="H1003" s="130">
        <v>3</v>
      </c>
      <c r="I1003" s="130">
        <v>3</v>
      </c>
      <c r="J1003" s="797">
        <v>1571.55</v>
      </c>
      <c r="K1003" s="797">
        <v>1477.42</v>
      </c>
      <c r="L1003" s="797">
        <v>1477.42</v>
      </c>
      <c r="M1003" s="794">
        <v>42</v>
      </c>
      <c r="N1003" s="797">
        <f>'Приложение 2'!E1005</f>
        <v>2988216</v>
      </c>
      <c r="O1003" s="797">
        <v>0</v>
      </c>
      <c r="P1003" s="797">
        <v>0</v>
      </c>
      <c r="Q1003" s="797">
        <v>0</v>
      </c>
      <c r="R1003" s="797">
        <f>N1003</f>
        <v>2988216</v>
      </c>
      <c r="S1003" s="797">
        <f t="shared" ref="S1003" si="275">N1003/K1003</f>
        <v>2022.5907324931297</v>
      </c>
      <c r="T1003" s="797">
        <v>4503.95</v>
      </c>
      <c r="U1003" s="132" t="s">
        <v>590</v>
      </c>
      <c r="V1003" s="144">
        <f t="shared" si="256"/>
        <v>2481.3592675068703</v>
      </c>
      <c r="W1003" s="521"/>
    </row>
    <row r="1004" spans="1:23" s="198" customFormat="1" ht="21" customHeight="1">
      <c r="A1004" s="822" t="s">
        <v>430</v>
      </c>
      <c r="B1004" s="822"/>
      <c r="C1004" s="785"/>
      <c r="D1004" s="785"/>
      <c r="E1004" s="141" t="s">
        <v>391</v>
      </c>
      <c r="F1004" s="141" t="s">
        <v>391</v>
      </c>
      <c r="G1004" s="141" t="s">
        <v>391</v>
      </c>
      <c r="H1004" s="141" t="s">
        <v>391</v>
      </c>
      <c r="I1004" s="141" t="s">
        <v>391</v>
      </c>
      <c r="J1004" s="797">
        <f t="shared" ref="J1004:R1004" si="276">SUM(J1003:J1003)</f>
        <v>1571.55</v>
      </c>
      <c r="K1004" s="797">
        <f t="shared" si="276"/>
        <v>1477.42</v>
      </c>
      <c r="L1004" s="797">
        <f t="shared" si="276"/>
        <v>1477.42</v>
      </c>
      <c r="M1004" s="130">
        <f t="shared" si="276"/>
        <v>42</v>
      </c>
      <c r="N1004" s="797">
        <f t="shared" si="276"/>
        <v>2988216</v>
      </c>
      <c r="O1004" s="797">
        <f t="shared" si="276"/>
        <v>0</v>
      </c>
      <c r="P1004" s="797">
        <f t="shared" si="276"/>
        <v>0</v>
      </c>
      <c r="Q1004" s="797">
        <f t="shared" si="276"/>
        <v>0</v>
      </c>
      <c r="R1004" s="797">
        <f t="shared" si="276"/>
        <v>2988216</v>
      </c>
      <c r="S1004" s="797">
        <f>N1004/K1004</f>
        <v>2022.5907324931297</v>
      </c>
      <c r="T1004" s="802"/>
      <c r="U1004" s="132"/>
      <c r="V1004" s="144">
        <f t="shared" si="256"/>
        <v>-2022.5907324931297</v>
      </c>
      <c r="W1004" s="521"/>
    </row>
    <row r="1005" spans="1:23" s="198" customFormat="1" ht="9" customHeight="1">
      <c r="A1005" s="837" t="s">
        <v>29</v>
      </c>
      <c r="B1005" s="838"/>
      <c r="C1005" s="838"/>
      <c r="D1005" s="838"/>
      <c r="E1005" s="838"/>
      <c r="F1005" s="838"/>
      <c r="G1005" s="838"/>
      <c r="H1005" s="838"/>
      <c r="I1005" s="838"/>
      <c r="J1005" s="838"/>
      <c r="K1005" s="838"/>
      <c r="L1005" s="838"/>
      <c r="M1005" s="838"/>
      <c r="N1005" s="838"/>
      <c r="O1005" s="838"/>
      <c r="P1005" s="838"/>
      <c r="Q1005" s="838"/>
      <c r="R1005" s="838"/>
      <c r="S1005" s="838"/>
      <c r="T1005" s="838"/>
      <c r="U1005" s="839"/>
      <c r="V1005" s="144">
        <f t="shared" si="256"/>
        <v>0</v>
      </c>
      <c r="W1005" s="521"/>
    </row>
    <row r="1006" spans="1:23" s="198" customFormat="1" ht="9" customHeight="1">
      <c r="A1006" s="794">
        <v>230</v>
      </c>
      <c r="B1006" s="156" t="s">
        <v>966</v>
      </c>
      <c r="C1006" s="785" t="s">
        <v>1192</v>
      </c>
      <c r="D1006" s="785" t="s">
        <v>111</v>
      </c>
      <c r="E1006" s="794" t="s">
        <v>746</v>
      </c>
      <c r="F1006" s="794"/>
      <c r="G1006" s="794" t="s">
        <v>88</v>
      </c>
      <c r="H1006" s="130">
        <v>2</v>
      </c>
      <c r="I1006" s="130">
        <v>3</v>
      </c>
      <c r="J1006" s="797">
        <v>989.8</v>
      </c>
      <c r="K1006" s="797">
        <v>901.2</v>
      </c>
      <c r="L1006" s="797">
        <v>901.2</v>
      </c>
      <c r="M1006" s="130">
        <v>41</v>
      </c>
      <c r="N1006" s="797">
        <f>'Приложение 2'!E1008</f>
        <v>2606604</v>
      </c>
      <c r="O1006" s="797">
        <v>0</v>
      </c>
      <c r="P1006" s="797">
        <v>0</v>
      </c>
      <c r="Q1006" s="797">
        <v>0</v>
      </c>
      <c r="R1006" s="797">
        <f t="shared" ref="R1006:R1007" si="277">N1006</f>
        <v>2606604</v>
      </c>
      <c r="S1006" s="797">
        <f t="shared" ref="S1006:S1007" si="278">N1006/K1006</f>
        <v>2892.3701731025299</v>
      </c>
      <c r="T1006" s="797">
        <v>4503.95</v>
      </c>
      <c r="U1006" s="132" t="s">
        <v>590</v>
      </c>
      <c r="V1006" s="144">
        <f t="shared" si="256"/>
        <v>1611.57982689747</v>
      </c>
      <c r="W1006" s="521"/>
    </row>
    <row r="1007" spans="1:23" s="198" customFormat="1" ht="9" customHeight="1">
      <c r="A1007" s="794">
        <v>231</v>
      </c>
      <c r="B1007" s="156" t="s">
        <v>967</v>
      </c>
      <c r="C1007" s="785" t="s">
        <v>1192</v>
      </c>
      <c r="D1007" s="785" t="s">
        <v>111</v>
      </c>
      <c r="E1007" s="794" t="s">
        <v>745</v>
      </c>
      <c r="F1007" s="794"/>
      <c r="G1007" s="794" t="s">
        <v>88</v>
      </c>
      <c r="H1007" s="130">
        <v>2</v>
      </c>
      <c r="I1007" s="130">
        <v>2</v>
      </c>
      <c r="J1007" s="797">
        <v>546.1</v>
      </c>
      <c r="K1007" s="797">
        <v>502.1</v>
      </c>
      <c r="L1007" s="797">
        <v>502.1</v>
      </c>
      <c r="M1007" s="130">
        <v>22</v>
      </c>
      <c r="N1007" s="797">
        <f>'Приложение 2'!E1009</f>
        <v>1529682</v>
      </c>
      <c r="O1007" s="797">
        <v>0</v>
      </c>
      <c r="P1007" s="797">
        <v>0</v>
      </c>
      <c r="Q1007" s="797">
        <v>0</v>
      </c>
      <c r="R1007" s="797">
        <f t="shared" si="277"/>
        <v>1529682</v>
      </c>
      <c r="S1007" s="797">
        <f t="shared" si="278"/>
        <v>3046.5684126667993</v>
      </c>
      <c r="T1007" s="797">
        <v>4503.95</v>
      </c>
      <c r="U1007" s="132" t="s">
        <v>590</v>
      </c>
      <c r="V1007" s="144">
        <f t="shared" si="256"/>
        <v>1457.3815873332005</v>
      </c>
      <c r="W1007" s="521"/>
    </row>
    <row r="1008" spans="1:23" s="198" customFormat="1" ht="21" customHeight="1">
      <c r="A1008" s="822" t="s">
        <v>30</v>
      </c>
      <c r="B1008" s="822"/>
      <c r="C1008" s="785"/>
      <c r="D1008" s="785"/>
      <c r="E1008" s="141" t="s">
        <v>391</v>
      </c>
      <c r="F1008" s="141" t="s">
        <v>391</v>
      </c>
      <c r="G1008" s="141" t="s">
        <v>391</v>
      </c>
      <c r="H1008" s="141" t="s">
        <v>391</v>
      </c>
      <c r="I1008" s="141" t="s">
        <v>391</v>
      </c>
      <c r="J1008" s="797">
        <f t="shared" ref="J1008:R1008" si="279">SUM(J1006:J1007)</f>
        <v>1535.9</v>
      </c>
      <c r="K1008" s="797">
        <f t="shared" si="279"/>
        <v>1403.3000000000002</v>
      </c>
      <c r="L1008" s="797">
        <f t="shared" si="279"/>
        <v>1403.3000000000002</v>
      </c>
      <c r="M1008" s="130">
        <f t="shared" si="279"/>
        <v>63</v>
      </c>
      <c r="N1008" s="797">
        <f t="shared" si="279"/>
        <v>4136286</v>
      </c>
      <c r="O1008" s="797">
        <f t="shared" si="279"/>
        <v>0</v>
      </c>
      <c r="P1008" s="797">
        <f t="shared" si="279"/>
        <v>0</v>
      </c>
      <c r="Q1008" s="797">
        <f t="shared" si="279"/>
        <v>0</v>
      </c>
      <c r="R1008" s="797">
        <f t="shared" si="279"/>
        <v>4136286</v>
      </c>
      <c r="S1008" s="797">
        <f>N1008/K1008</f>
        <v>2947.5422219055081</v>
      </c>
      <c r="T1008" s="797"/>
      <c r="U1008" s="132"/>
      <c r="V1008" s="144">
        <f t="shared" si="256"/>
        <v>-2947.5422219055081</v>
      </c>
      <c r="W1008" s="521"/>
    </row>
    <row r="1009" spans="1:23" s="198" customFormat="1" ht="9" customHeight="1">
      <c r="A1009" s="837" t="s">
        <v>35</v>
      </c>
      <c r="B1009" s="838"/>
      <c r="C1009" s="838"/>
      <c r="D1009" s="838"/>
      <c r="E1009" s="838"/>
      <c r="F1009" s="838"/>
      <c r="G1009" s="838"/>
      <c r="H1009" s="838"/>
      <c r="I1009" s="838"/>
      <c r="J1009" s="838"/>
      <c r="K1009" s="838"/>
      <c r="L1009" s="838"/>
      <c r="M1009" s="838"/>
      <c r="N1009" s="838"/>
      <c r="O1009" s="838"/>
      <c r="P1009" s="838"/>
      <c r="Q1009" s="838"/>
      <c r="R1009" s="838"/>
      <c r="S1009" s="838"/>
      <c r="T1009" s="838"/>
      <c r="U1009" s="839"/>
      <c r="V1009" s="144">
        <f t="shared" si="256"/>
        <v>0</v>
      </c>
      <c r="W1009" s="521"/>
    </row>
    <row r="1010" spans="1:23" s="198" customFormat="1" ht="9" customHeight="1">
      <c r="A1010" s="794">
        <v>232</v>
      </c>
      <c r="B1010" s="156" t="s">
        <v>975</v>
      </c>
      <c r="C1010" s="785" t="s">
        <v>1192</v>
      </c>
      <c r="D1010" s="785" t="s">
        <v>111</v>
      </c>
      <c r="E1010" s="794" t="s">
        <v>107</v>
      </c>
      <c r="F1010" s="794"/>
      <c r="G1010" s="794" t="s">
        <v>88</v>
      </c>
      <c r="H1010" s="130">
        <v>2</v>
      </c>
      <c r="I1010" s="130">
        <v>1</v>
      </c>
      <c r="J1010" s="797">
        <v>317.7</v>
      </c>
      <c r="K1010" s="797">
        <v>295.3</v>
      </c>
      <c r="L1010" s="797">
        <v>66</v>
      </c>
      <c r="M1010" s="130">
        <v>11</v>
      </c>
      <c r="N1010" s="797">
        <f>'Приложение 2'!E1012</f>
        <v>834372</v>
      </c>
      <c r="O1010" s="797">
        <v>0</v>
      </c>
      <c r="P1010" s="797">
        <v>0</v>
      </c>
      <c r="Q1010" s="797">
        <v>0</v>
      </c>
      <c r="R1010" s="797">
        <f t="shared" ref="R1010:R1014" si="280">N1010</f>
        <v>834372</v>
      </c>
      <c r="S1010" s="797">
        <f t="shared" ref="S1010:S1014" si="281">N1010/K1010</f>
        <v>2825.5062648154417</v>
      </c>
      <c r="T1010" s="797">
        <v>4503.95</v>
      </c>
      <c r="U1010" s="132" t="s">
        <v>590</v>
      </c>
      <c r="V1010" s="144">
        <f t="shared" si="256"/>
        <v>1678.4437351845581</v>
      </c>
      <c r="W1010" s="521"/>
    </row>
    <row r="1011" spans="1:23" s="198" customFormat="1" ht="9" customHeight="1">
      <c r="A1011" s="794">
        <v>233</v>
      </c>
      <c r="B1011" s="156" t="s">
        <v>976</v>
      </c>
      <c r="C1011" s="785" t="s">
        <v>1192</v>
      </c>
      <c r="D1011" s="785" t="s">
        <v>111</v>
      </c>
      <c r="E1011" s="794" t="s">
        <v>600</v>
      </c>
      <c r="F1011" s="794"/>
      <c r="G1011" s="794" t="s">
        <v>88</v>
      </c>
      <c r="H1011" s="130">
        <v>2</v>
      </c>
      <c r="I1011" s="130">
        <v>3</v>
      </c>
      <c r="J1011" s="797">
        <v>1608.8</v>
      </c>
      <c r="K1011" s="797">
        <v>1489.1</v>
      </c>
      <c r="L1011" s="797">
        <v>320</v>
      </c>
      <c r="M1011" s="794">
        <v>54</v>
      </c>
      <c r="N1011" s="797">
        <f>'Приложение 2'!E1013</f>
        <v>3253404</v>
      </c>
      <c r="O1011" s="797">
        <v>0</v>
      </c>
      <c r="P1011" s="797">
        <v>0</v>
      </c>
      <c r="Q1011" s="797">
        <v>0</v>
      </c>
      <c r="R1011" s="797">
        <f t="shared" si="280"/>
        <v>3253404</v>
      </c>
      <c r="S1011" s="797">
        <f t="shared" si="281"/>
        <v>2184.8123027331949</v>
      </c>
      <c r="T1011" s="797">
        <v>4503.95</v>
      </c>
      <c r="U1011" s="132" t="s">
        <v>590</v>
      </c>
      <c r="V1011" s="144">
        <f t="shared" si="256"/>
        <v>2319.1376972668049</v>
      </c>
      <c r="W1011" s="521"/>
    </row>
    <row r="1012" spans="1:23" s="198" customFormat="1" ht="9" customHeight="1">
      <c r="A1012" s="794">
        <v>234</v>
      </c>
      <c r="B1012" s="156" t="s">
        <v>977</v>
      </c>
      <c r="C1012" s="785" t="s">
        <v>1192</v>
      </c>
      <c r="D1012" s="785" t="s">
        <v>110</v>
      </c>
      <c r="E1012" s="794" t="s">
        <v>600</v>
      </c>
      <c r="F1012" s="794"/>
      <c r="G1012" s="794" t="s">
        <v>88</v>
      </c>
      <c r="H1012" s="130">
        <v>2</v>
      </c>
      <c r="I1012" s="130">
        <v>2</v>
      </c>
      <c r="J1012" s="797">
        <v>685.5</v>
      </c>
      <c r="K1012" s="797">
        <v>476.5</v>
      </c>
      <c r="L1012" s="797">
        <v>383</v>
      </c>
      <c r="M1012" s="130">
        <v>31</v>
      </c>
      <c r="N1012" s="797">
        <f>'Приложение 2'!E1014</f>
        <v>1663666</v>
      </c>
      <c r="O1012" s="797">
        <v>0</v>
      </c>
      <c r="P1012" s="797">
        <v>0</v>
      </c>
      <c r="Q1012" s="797">
        <v>0</v>
      </c>
      <c r="R1012" s="797">
        <f t="shared" si="280"/>
        <v>1663666</v>
      </c>
      <c r="S1012" s="797">
        <f t="shared" si="281"/>
        <v>3491.4291710388247</v>
      </c>
      <c r="T1012" s="797">
        <v>4180</v>
      </c>
      <c r="U1012" s="132" t="s">
        <v>590</v>
      </c>
      <c r="V1012" s="144">
        <f t="shared" si="256"/>
        <v>688.57082896117527</v>
      </c>
      <c r="W1012" s="521"/>
    </row>
    <row r="1013" spans="1:23" s="198" customFormat="1" ht="9" customHeight="1">
      <c r="A1013" s="794">
        <v>235</v>
      </c>
      <c r="B1013" s="156" t="s">
        <v>978</v>
      </c>
      <c r="C1013" s="785" t="s">
        <v>1192</v>
      </c>
      <c r="D1013" s="785" t="s">
        <v>111</v>
      </c>
      <c r="E1013" s="794" t="s">
        <v>604</v>
      </c>
      <c r="F1013" s="794"/>
      <c r="G1013" s="794" t="s">
        <v>88</v>
      </c>
      <c r="H1013" s="130">
        <v>2</v>
      </c>
      <c r="I1013" s="130">
        <v>1</v>
      </c>
      <c r="J1013" s="797">
        <v>1209.9000000000001</v>
      </c>
      <c r="K1013" s="797">
        <v>975.4</v>
      </c>
      <c r="L1013" s="797">
        <v>125</v>
      </c>
      <c r="M1013" s="130">
        <v>62</v>
      </c>
      <c r="N1013" s="797">
        <f>'Приложение 2'!E1015</f>
        <v>2441670</v>
      </c>
      <c r="O1013" s="797">
        <v>0</v>
      </c>
      <c r="P1013" s="797">
        <v>0</v>
      </c>
      <c r="Q1013" s="797">
        <v>0</v>
      </c>
      <c r="R1013" s="797">
        <f t="shared" si="280"/>
        <v>2441670</v>
      </c>
      <c r="S1013" s="797">
        <f t="shared" si="281"/>
        <v>2503.2499487389791</v>
      </c>
      <c r="T1013" s="797">
        <v>4503.95</v>
      </c>
      <c r="U1013" s="132" t="s">
        <v>590</v>
      </c>
      <c r="V1013" s="144">
        <f t="shared" si="256"/>
        <v>2000.7000512610207</v>
      </c>
      <c r="W1013" s="521"/>
    </row>
    <row r="1014" spans="1:23" s="198" customFormat="1" ht="9" customHeight="1">
      <c r="A1014" s="794">
        <v>236</v>
      </c>
      <c r="B1014" s="156" t="s">
        <v>979</v>
      </c>
      <c r="C1014" s="785" t="s">
        <v>1192</v>
      </c>
      <c r="D1014" s="785" t="s">
        <v>111</v>
      </c>
      <c r="E1014" s="794" t="s">
        <v>219</v>
      </c>
      <c r="F1014" s="794"/>
      <c r="G1014" s="794" t="s">
        <v>88</v>
      </c>
      <c r="H1014" s="130">
        <v>2</v>
      </c>
      <c r="I1014" s="130">
        <v>1</v>
      </c>
      <c r="J1014" s="797">
        <v>318.2</v>
      </c>
      <c r="K1014" s="797">
        <v>297.60000000000002</v>
      </c>
      <c r="L1014" s="797">
        <v>297.60000000000002</v>
      </c>
      <c r="M1014" s="130">
        <v>11</v>
      </c>
      <c r="N1014" s="797">
        <f>'Приложение 2'!E1016</f>
        <v>630630</v>
      </c>
      <c r="O1014" s="797">
        <v>0</v>
      </c>
      <c r="P1014" s="797">
        <v>0</v>
      </c>
      <c r="Q1014" s="797">
        <v>0</v>
      </c>
      <c r="R1014" s="797">
        <f t="shared" si="280"/>
        <v>630630</v>
      </c>
      <c r="S1014" s="797">
        <f t="shared" si="281"/>
        <v>2119.0524193548385</v>
      </c>
      <c r="T1014" s="797">
        <v>4503.95</v>
      </c>
      <c r="U1014" s="132" t="s">
        <v>590</v>
      </c>
      <c r="V1014" s="144">
        <f t="shared" si="256"/>
        <v>2384.8975806451613</v>
      </c>
      <c r="W1014" s="521"/>
    </row>
    <row r="1015" spans="1:23" s="198" customFormat="1" ht="21.75" customHeight="1">
      <c r="A1015" s="822" t="s">
        <v>36</v>
      </c>
      <c r="B1015" s="822"/>
      <c r="C1015" s="785"/>
      <c r="D1015" s="785"/>
      <c r="E1015" s="141" t="s">
        <v>391</v>
      </c>
      <c r="F1015" s="141" t="s">
        <v>391</v>
      </c>
      <c r="G1015" s="141" t="s">
        <v>391</v>
      </c>
      <c r="H1015" s="141" t="s">
        <v>391</v>
      </c>
      <c r="I1015" s="141" t="s">
        <v>391</v>
      </c>
      <c r="J1015" s="797">
        <f t="shared" ref="J1015:R1015" si="282">SUM(J1010:J1014)</f>
        <v>4140.1000000000004</v>
      </c>
      <c r="K1015" s="797">
        <f t="shared" si="282"/>
        <v>3533.8999999999996</v>
      </c>
      <c r="L1015" s="797">
        <f t="shared" si="282"/>
        <v>1191.5999999999999</v>
      </c>
      <c r="M1015" s="130">
        <f t="shared" si="282"/>
        <v>169</v>
      </c>
      <c r="N1015" s="797">
        <f t="shared" si="282"/>
        <v>8823742</v>
      </c>
      <c r="O1015" s="797">
        <f t="shared" si="282"/>
        <v>0</v>
      </c>
      <c r="P1015" s="797">
        <f t="shared" si="282"/>
        <v>0</v>
      </c>
      <c r="Q1015" s="797">
        <f t="shared" si="282"/>
        <v>0</v>
      </c>
      <c r="R1015" s="797">
        <f t="shared" si="282"/>
        <v>8823742</v>
      </c>
      <c r="S1015" s="797">
        <f>N1015/K1015</f>
        <v>2496.8850278728887</v>
      </c>
      <c r="T1015" s="797"/>
      <c r="U1015" s="132"/>
      <c r="V1015" s="144">
        <f t="shared" si="256"/>
        <v>-2496.8850278728887</v>
      </c>
      <c r="W1015" s="521"/>
    </row>
    <row r="1016" spans="1:23" s="198" customFormat="1" ht="9" customHeight="1">
      <c r="A1016" s="821" t="s">
        <v>40</v>
      </c>
      <c r="B1016" s="821"/>
      <c r="C1016" s="821"/>
      <c r="D1016" s="821"/>
      <c r="E1016" s="821"/>
      <c r="F1016" s="821"/>
      <c r="G1016" s="821"/>
      <c r="H1016" s="821"/>
      <c r="I1016" s="821"/>
      <c r="J1016" s="821"/>
      <c r="K1016" s="821"/>
      <c r="L1016" s="821"/>
      <c r="M1016" s="821"/>
      <c r="N1016" s="821"/>
      <c r="O1016" s="821"/>
      <c r="P1016" s="821"/>
      <c r="Q1016" s="821"/>
      <c r="R1016" s="821"/>
      <c r="S1016" s="821"/>
      <c r="T1016" s="821"/>
      <c r="U1016" s="821"/>
      <c r="V1016" s="144">
        <f t="shared" si="256"/>
        <v>0</v>
      </c>
      <c r="W1016" s="521"/>
    </row>
    <row r="1017" spans="1:23" s="198" customFormat="1" ht="9" customHeight="1">
      <c r="A1017" s="794">
        <v>237</v>
      </c>
      <c r="B1017" s="156" t="s">
        <v>999</v>
      </c>
      <c r="C1017" s="785" t="s">
        <v>1192</v>
      </c>
      <c r="D1017" s="785" t="s">
        <v>111</v>
      </c>
      <c r="E1017" s="794" t="s">
        <v>749</v>
      </c>
      <c r="F1017" s="794"/>
      <c r="G1017" s="794" t="s">
        <v>776</v>
      </c>
      <c r="H1017" s="130">
        <v>2</v>
      </c>
      <c r="I1017" s="130">
        <v>2</v>
      </c>
      <c r="J1017" s="797">
        <v>418.69</v>
      </c>
      <c r="K1017" s="797">
        <v>373.12</v>
      </c>
      <c r="L1017" s="797">
        <v>123</v>
      </c>
      <c r="M1017" s="130">
        <v>20</v>
      </c>
      <c r="N1017" s="797">
        <f>'Приложение 2'!E1019</f>
        <v>1106028</v>
      </c>
      <c r="O1017" s="797">
        <v>0</v>
      </c>
      <c r="P1017" s="797">
        <v>0</v>
      </c>
      <c r="Q1017" s="797">
        <v>0</v>
      </c>
      <c r="R1017" s="797">
        <f t="shared" ref="R1017:R1019" si="283">N1017</f>
        <v>1106028</v>
      </c>
      <c r="S1017" s="797">
        <f t="shared" ref="S1017:S1019" si="284">N1017/K1017</f>
        <v>2964.2688679245284</v>
      </c>
      <c r="T1017" s="797">
        <v>4503.95</v>
      </c>
      <c r="U1017" s="132" t="s">
        <v>590</v>
      </c>
      <c r="V1017" s="144">
        <f t="shared" si="256"/>
        <v>1539.6811320754714</v>
      </c>
      <c r="W1017" s="521"/>
    </row>
    <row r="1018" spans="1:23" s="198" customFormat="1" ht="9" customHeight="1">
      <c r="A1018" s="794">
        <v>238</v>
      </c>
      <c r="B1018" s="156" t="s">
        <v>1000</v>
      </c>
      <c r="C1018" s="785" t="s">
        <v>1192</v>
      </c>
      <c r="D1018" s="785" t="s">
        <v>111</v>
      </c>
      <c r="E1018" s="794" t="s">
        <v>981</v>
      </c>
      <c r="F1018" s="794"/>
      <c r="G1018" s="794" t="s">
        <v>776</v>
      </c>
      <c r="H1018" s="130">
        <v>2</v>
      </c>
      <c r="I1018" s="130">
        <v>2</v>
      </c>
      <c r="J1018" s="797">
        <v>417.37</v>
      </c>
      <c r="K1018" s="797">
        <v>370.82</v>
      </c>
      <c r="L1018" s="797">
        <v>370.82</v>
      </c>
      <c r="M1018" s="130">
        <v>18</v>
      </c>
      <c r="N1018" s="797">
        <f>'Приложение 2'!E1020</f>
        <v>1106028</v>
      </c>
      <c r="O1018" s="797">
        <v>0</v>
      </c>
      <c r="P1018" s="797">
        <v>0</v>
      </c>
      <c r="Q1018" s="797">
        <v>0</v>
      </c>
      <c r="R1018" s="797">
        <f t="shared" si="283"/>
        <v>1106028</v>
      </c>
      <c r="S1018" s="797">
        <f t="shared" si="284"/>
        <v>2982.6546572461034</v>
      </c>
      <c r="T1018" s="797">
        <v>4503.95</v>
      </c>
      <c r="U1018" s="132" t="s">
        <v>590</v>
      </c>
      <c r="V1018" s="144">
        <f t="shared" si="256"/>
        <v>1521.2953427538964</v>
      </c>
      <c r="W1018" s="521"/>
    </row>
    <row r="1019" spans="1:23" s="198" customFormat="1" ht="9" customHeight="1">
      <c r="A1019" s="794">
        <v>239</v>
      </c>
      <c r="B1019" s="156" t="s">
        <v>1001</v>
      </c>
      <c r="C1019" s="785" t="s">
        <v>1192</v>
      </c>
      <c r="D1019" s="785" t="s">
        <v>111</v>
      </c>
      <c r="E1019" s="794" t="s">
        <v>747</v>
      </c>
      <c r="F1019" s="794"/>
      <c r="G1019" s="794" t="s">
        <v>776</v>
      </c>
      <c r="H1019" s="130">
        <v>2</v>
      </c>
      <c r="I1019" s="130">
        <v>2</v>
      </c>
      <c r="J1019" s="797">
        <v>415.03</v>
      </c>
      <c r="K1019" s="797">
        <v>369.15</v>
      </c>
      <c r="L1019" s="797">
        <v>369.15</v>
      </c>
      <c r="M1019" s="130">
        <v>21</v>
      </c>
      <c r="N1019" s="797">
        <f>'Приложение 2'!E1021</f>
        <v>1106028</v>
      </c>
      <c r="O1019" s="797">
        <v>0</v>
      </c>
      <c r="P1019" s="797">
        <v>0</v>
      </c>
      <c r="Q1019" s="797">
        <v>0</v>
      </c>
      <c r="R1019" s="797">
        <f t="shared" si="283"/>
        <v>1106028</v>
      </c>
      <c r="S1019" s="797">
        <f t="shared" si="284"/>
        <v>2996.1479073547339</v>
      </c>
      <c r="T1019" s="797">
        <v>4503.95</v>
      </c>
      <c r="U1019" s="132" t="s">
        <v>590</v>
      </c>
      <c r="V1019" s="144">
        <f t="shared" si="256"/>
        <v>1507.8020926452659</v>
      </c>
      <c r="W1019" s="521"/>
    </row>
    <row r="1020" spans="1:23" s="198" customFormat="1" ht="21.75" customHeight="1">
      <c r="A1020" s="822" t="s">
        <v>39</v>
      </c>
      <c r="B1020" s="822"/>
      <c r="C1020" s="785"/>
      <c r="D1020" s="785"/>
      <c r="E1020" s="141" t="s">
        <v>391</v>
      </c>
      <c r="F1020" s="141" t="s">
        <v>391</v>
      </c>
      <c r="G1020" s="141" t="s">
        <v>391</v>
      </c>
      <c r="H1020" s="141" t="s">
        <v>391</v>
      </c>
      <c r="I1020" s="141" t="s">
        <v>391</v>
      </c>
      <c r="J1020" s="797">
        <f t="shared" ref="J1020:R1020" si="285">SUM(J1017:J1019)</f>
        <v>1251.0899999999999</v>
      </c>
      <c r="K1020" s="797">
        <f t="shared" si="285"/>
        <v>1113.0900000000001</v>
      </c>
      <c r="L1020" s="797">
        <f t="shared" si="285"/>
        <v>862.97</v>
      </c>
      <c r="M1020" s="130">
        <f t="shared" si="285"/>
        <v>59</v>
      </c>
      <c r="N1020" s="797">
        <f t="shared" si="285"/>
        <v>3318084</v>
      </c>
      <c r="O1020" s="797">
        <f t="shared" si="285"/>
        <v>0</v>
      </c>
      <c r="P1020" s="797">
        <f t="shared" si="285"/>
        <v>0</v>
      </c>
      <c r="Q1020" s="797">
        <f t="shared" si="285"/>
        <v>0</v>
      </c>
      <c r="R1020" s="797">
        <f t="shared" si="285"/>
        <v>3318084</v>
      </c>
      <c r="S1020" s="797">
        <f>N1020/K1020</f>
        <v>2980.9664986658759</v>
      </c>
      <c r="T1020" s="797"/>
      <c r="U1020" s="132"/>
      <c r="V1020" s="144">
        <f t="shared" si="256"/>
        <v>-2980.9664986658759</v>
      </c>
      <c r="W1020" s="521"/>
    </row>
    <row r="1021" spans="1:23" s="198" customFormat="1" ht="9" customHeight="1">
      <c r="A1021" s="821" t="s">
        <v>1075</v>
      </c>
      <c r="B1021" s="821"/>
      <c r="C1021" s="821"/>
      <c r="D1021" s="821"/>
      <c r="E1021" s="821"/>
      <c r="F1021" s="821"/>
      <c r="G1021" s="821"/>
      <c r="H1021" s="821"/>
      <c r="I1021" s="821"/>
      <c r="J1021" s="821"/>
      <c r="K1021" s="821"/>
      <c r="L1021" s="821"/>
      <c r="M1021" s="821"/>
      <c r="N1021" s="821"/>
      <c r="O1021" s="821"/>
      <c r="P1021" s="821"/>
      <c r="Q1021" s="821"/>
      <c r="R1021" s="821"/>
      <c r="S1021" s="821"/>
      <c r="T1021" s="821"/>
      <c r="U1021" s="821"/>
      <c r="V1021" s="144">
        <f t="shared" si="256"/>
        <v>0</v>
      </c>
      <c r="W1021" s="521"/>
    </row>
    <row r="1022" spans="1:23" s="198" customFormat="1" ht="9" customHeight="1">
      <c r="A1022" s="785">
        <v>240</v>
      </c>
      <c r="B1022" s="785" t="s">
        <v>1002</v>
      </c>
      <c r="C1022" s="785" t="s">
        <v>1192</v>
      </c>
      <c r="D1022" s="785" t="s">
        <v>110</v>
      </c>
      <c r="E1022" s="141" t="s">
        <v>614</v>
      </c>
      <c r="F1022" s="141"/>
      <c r="G1022" s="141" t="s">
        <v>88</v>
      </c>
      <c r="H1022" s="259">
        <v>2</v>
      </c>
      <c r="I1022" s="259">
        <v>3</v>
      </c>
      <c r="J1022" s="797">
        <v>918</v>
      </c>
      <c r="K1022" s="797">
        <v>869</v>
      </c>
      <c r="L1022" s="797">
        <v>159</v>
      </c>
      <c r="M1022" s="130">
        <v>25</v>
      </c>
      <c r="N1022" s="797">
        <f>'Приложение 2'!E1024</f>
        <v>2147096</v>
      </c>
      <c r="O1022" s="797">
        <v>0</v>
      </c>
      <c r="P1022" s="797">
        <v>0</v>
      </c>
      <c r="Q1022" s="797">
        <v>0</v>
      </c>
      <c r="R1022" s="797">
        <f>N1022</f>
        <v>2147096</v>
      </c>
      <c r="S1022" s="797">
        <f>N1022/K1022</f>
        <v>2470.7663981588034</v>
      </c>
      <c r="T1022" s="797">
        <v>4180</v>
      </c>
      <c r="U1022" s="132" t="s">
        <v>590</v>
      </c>
      <c r="V1022" s="144">
        <f t="shared" si="256"/>
        <v>1709.2336018411966</v>
      </c>
      <c r="W1022" s="521"/>
    </row>
    <row r="1023" spans="1:23" s="198" customFormat="1" ht="21.75" customHeight="1">
      <c r="A1023" s="822" t="s">
        <v>1076</v>
      </c>
      <c r="B1023" s="822"/>
      <c r="C1023" s="785"/>
      <c r="D1023" s="785"/>
      <c r="E1023" s="141" t="s">
        <v>391</v>
      </c>
      <c r="F1023" s="141" t="s">
        <v>391</v>
      </c>
      <c r="G1023" s="141" t="s">
        <v>391</v>
      </c>
      <c r="H1023" s="141" t="s">
        <v>391</v>
      </c>
      <c r="I1023" s="141" t="s">
        <v>391</v>
      </c>
      <c r="J1023" s="797">
        <f>SUM(J1022)</f>
        <v>918</v>
      </c>
      <c r="K1023" s="797">
        <f t="shared" ref="K1023:R1023" si="286">SUM(K1022)</f>
        <v>869</v>
      </c>
      <c r="L1023" s="797">
        <f t="shared" si="286"/>
        <v>159</v>
      </c>
      <c r="M1023" s="130">
        <f t="shared" si="286"/>
        <v>25</v>
      </c>
      <c r="N1023" s="797">
        <f t="shared" si="286"/>
        <v>2147096</v>
      </c>
      <c r="O1023" s="797">
        <f t="shared" si="286"/>
        <v>0</v>
      </c>
      <c r="P1023" s="797">
        <f t="shared" si="286"/>
        <v>0</v>
      </c>
      <c r="Q1023" s="797">
        <f t="shared" si="286"/>
        <v>0</v>
      </c>
      <c r="R1023" s="797">
        <f t="shared" si="286"/>
        <v>2147096</v>
      </c>
      <c r="S1023" s="797">
        <f>N1023/K1023</f>
        <v>2470.7663981588034</v>
      </c>
      <c r="T1023" s="797"/>
      <c r="U1023" s="132"/>
      <c r="V1023" s="144">
        <f t="shared" si="256"/>
        <v>-2470.7663981588034</v>
      </c>
      <c r="W1023" s="521"/>
    </row>
    <row r="1024" spans="1:23" s="198" customFormat="1" ht="9" customHeight="1">
      <c r="A1024" s="821" t="s">
        <v>45</v>
      </c>
      <c r="B1024" s="821"/>
      <c r="C1024" s="821"/>
      <c r="D1024" s="821"/>
      <c r="E1024" s="821"/>
      <c r="F1024" s="821"/>
      <c r="G1024" s="821"/>
      <c r="H1024" s="821"/>
      <c r="I1024" s="821"/>
      <c r="J1024" s="821"/>
      <c r="K1024" s="821"/>
      <c r="L1024" s="821"/>
      <c r="M1024" s="821"/>
      <c r="N1024" s="821"/>
      <c r="O1024" s="821"/>
      <c r="P1024" s="821"/>
      <c r="Q1024" s="821"/>
      <c r="R1024" s="821"/>
      <c r="S1024" s="821"/>
      <c r="T1024" s="821"/>
      <c r="U1024" s="821"/>
      <c r="V1024" s="144">
        <f t="shared" si="256"/>
        <v>0</v>
      </c>
      <c r="W1024" s="521"/>
    </row>
    <row r="1025" spans="1:23" s="198" customFormat="1" ht="9" customHeight="1">
      <c r="A1025" s="794">
        <v>241</v>
      </c>
      <c r="B1025" s="156" t="s">
        <v>991</v>
      </c>
      <c r="C1025" s="785" t="s">
        <v>1192</v>
      </c>
      <c r="D1025" s="785" t="s">
        <v>111</v>
      </c>
      <c r="E1025" s="794" t="s">
        <v>606</v>
      </c>
      <c r="F1025" s="794"/>
      <c r="G1025" s="794" t="s">
        <v>88</v>
      </c>
      <c r="H1025" s="130">
        <v>4</v>
      </c>
      <c r="I1025" s="130">
        <v>2</v>
      </c>
      <c r="J1025" s="797">
        <v>1357.3</v>
      </c>
      <c r="K1025" s="797">
        <v>1205.5</v>
      </c>
      <c r="L1025" s="797">
        <v>1205.5</v>
      </c>
      <c r="M1025" s="130">
        <v>45</v>
      </c>
      <c r="N1025" s="797">
        <f>'Приложение 2'!E1027</f>
        <v>1465002</v>
      </c>
      <c r="O1025" s="797">
        <v>0</v>
      </c>
      <c r="P1025" s="797">
        <v>0</v>
      </c>
      <c r="Q1025" s="797">
        <v>0</v>
      </c>
      <c r="R1025" s="797">
        <f t="shared" ref="R1025:R1033" si="287">N1025</f>
        <v>1465002</v>
      </c>
      <c r="S1025" s="797">
        <f t="shared" ref="S1025:S1032" si="288">N1025/K1025</f>
        <v>1215.2650352550809</v>
      </c>
      <c r="T1025" s="797">
        <v>4503.95</v>
      </c>
      <c r="U1025" s="132" t="s">
        <v>590</v>
      </c>
      <c r="V1025" s="144">
        <f t="shared" si="256"/>
        <v>3288.6849647449189</v>
      </c>
      <c r="W1025" s="521"/>
    </row>
    <row r="1026" spans="1:23" s="198" customFormat="1" ht="9" customHeight="1">
      <c r="A1026" s="794">
        <v>242</v>
      </c>
      <c r="B1026" s="156" t="s">
        <v>992</v>
      </c>
      <c r="C1026" s="785" t="s">
        <v>1192</v>
      </c>
      <c r="D1026" s="785" t="s">
        <v>111</v>
      </c>
      <c r="E1026" s="794" t="s">
        <v>610</v>
      </c>
      <c r="F1026" s="794"/>
      <c r="G1026" s="794" t="s">
        <v>88</v>
      </c>
      <c r="H1026" s="130">
        <v>4</v>
      </c>
      <c r="I1026" s="130">
        <v>2</v>
      </c>
      <c r="J1026" s="797">
        <v>1326.3</v>
      </c>
      <c r="K1026" s="797">
        <v>1151.7</v>
      </c>
      <c r="L1026" s="797">
        <v>106</v>
      </c>
      <c r="M1026" s="130">
        <v>10</v>
      </c>
      <c r="N1026" s="797">
        <f>'Приложение 2'!E1028</f>
        <v>1497342</v>
      </c>
      <c r="O1026" s="797">
        <v>0</v>
      </c>
      <c r="P1026" s="797">
        <v>0</v>
      </c>
      <c r="Q1026" s="797">
        <v>0</v>
      </c>
      <c r="R1026" s="797">
        <f t="shared" si="287"/>
        <v>1497342</v>
      </c>
      <c r="S1026" s="797">
        <f t="shared" si="288"/>
        <v>1300.1146131805158</v>
      </c>
      <c r="T1026" s="797">
        <v>4503.95</v>
      </c>
      <c r="U1026" s="132" t="s">
        <v>590</v>
      </c>
      <c r="V1026" s="144">
        <f t="shared" si="256"/>
        <v>3203.835386819484</v>
      </c>
      <c r="W1026" s="521"/>
    </row>
    <row r="1027" spans="1:23" s="198" customFormat="1" ht="9" customHeight="1">
      <c r="A1027" s="794">
        <v>243</v>
      </c>
      <c r="B1027" s="156" t="s">
        <v>993</v>
      </c>
      <c r="C1027" s="785" t="s">
        <v>1192</v>
      </c>
      <c r="D1027" s="785" t="s">
        <v>111</v>
      </c>
      <c r="E1027" s="794" t="s">
        <v>596</v>
      </c>
      <c r="F1027" s="794"/>
      <c r="G1027" s="794" t="s">
        <v>88</v>
      </c>
      <c r="H1027" s="130">
        <v>4</v>
      </c>
      <c r="I1027" s="130">
        <v>2</v>
      </c>
      <c r="J1027" s="797">
        <v>1361.6</v>
      </c>
      <c r="K1027" s="797">
        <v>1264.8</v>
      </c>
      <c r="L1027" s="797">
        <v>1264.8</v>
      </c>
      <c r="M1027" s="130">
        <v>45</v>
      </c>
      <c r="N1027" s="797">
        <f>'Приложение 2'!E1029</f>
        <v>1474704</v>
      </c>
      <c r="O1027" s="797">
        <v>0</v>
      </c>
      <c r="P1027" s="797">
        <v>0</v>
      </c>
      <c r="Q1027" s="797">
        <v>0</v>
      </c>
      <c r="R1027" s="797">
        <f t="shared" si="287"/>
        <v>1474704</v>
      </c>
      <c r="S1027" s="797">
        <f t="shared" si="288"/>
        <v>1165.9582542694498</v>
      </c>
      <c r="T1027" s="797">
        <v>4503.95</v>
      </c>
      <c r="U1027" s="132" t="s">
        <v>590</v>
      </c>
      <c r="V1027" s="144">
        <f t="shared" si="256"/>
        <v>3337.9917457305501</v>
      </c>
      <c r="W1027" s="521"/>
    </row>
    <row r="1028" spans="1:23" s="198" customFormat="1" ht="9" customHeight="1">
      <c r="A1028" s="794">
        <v>244</v>
      </c>
      <c r="B1028" s="156" t="s">
        <v>994</v>
      </c>
      <c r="C1028" s="785" t="s">
        <v>1192</v>
      </c>
      <c r="D1028" s="785" t="s">
        <v>111</v>
      </c>
      <c r="E1028" s="794" t="s">
        <v>606</v>
      </c>
      <c r="F1028" s="794"/>
      <c r="G1028" s="794" t="s">
        <v>88</v>
      </c>
      <c r="H1028" s="130">
        <v>4</v>
      </c>
      <c r="I1028" s="130">
        <v>2</v>
      </c>
      <c r="J1028" s="797">
        <v>1361.1</v>
      </c>
      <c r="K1028" s="797">
        <v>1195.5999999999999</v>
      </c>
      <c r="L1028" s="797">
        <v>110</v>
      </c>
      <c r="M1028" s="130">
        <v>42</v>
      </c>
      <c r="N1028" s="797">
        <f>'Приложение 2'!E1030</f>
        <v>1494108</v>
      </c>
      <c r="O1028" s="797">
        <v>0</v>
      </c>
      <c r="P1028" s="797">
        <v>0</v>
      </c>
      <c r="Q1028" s="797">
        <v>0</v>
      </c>
      <c r="R1028" s="797">
        <f t="shared" si="287"/>
        <v>1494108</v>
      </c>
      <c r="S1028" s="797">
        <f t="shared" si="288"/>
        <v>1249.672131147541</v>
      </c>
      <c r="T1028" s="797">
        <v>4503.95</v>
      </c>
      <c r="U1028" s="132" t="s">
        <v>590</v>
      </c>
      <c r="V1028" s="144">
        <f t="shared" si="256"/>
        <v>3254.2778688524586</v>
      </c>
      <c r="W1028" s="521"/>
    </row>
    <row r="1029" spans="1:23" s="198" customFormat="1" ht="9" customHeight="1">
      <c r="A1029" s="794">
        <v>245</v>
      </c>
      <c r="B1029" s="156" t="s">
        <v>995</v>
      </c>
      <c r="C1029" s="785" t="s">
        <v>1192</v>
      </c>
      <c r="D1029" s="785" t="s">
        <v>111</v>
      </c>
      <c r="E1029" s="794" t="s">
        <v>606</v>
      </c>
      <c r="F1029" s="794"/>
      <c r="G1029" s="794" t="s">
        <v>88</v>
      </c>
      <c r="H1029" s="130">
        <v>4</v>
      </c>
      <c r="I1029" s="130">
        <v>2</v>
      </c>
      <c r="J1029" s="797">
        <v>1364.8</v>
      </c>
      <c r="K1029" s="797">
        <v>1268</v>
      </c>
      <c r="L1029" s="797">
        <v>1268</v>
      </c>
      <c r="M1029" s="130">
        <v>45</v>
      </c>
      <c r="N1029" s="797">
        <f>'Приложение 2'!E1031</f>
        <v>1461768</v>
      </c>
      <c r="O1029" s="797">
        <v>0</v>
      </c>
      <c r="P1029" s="797">
        <v>0</v>
      </c>
      <c r="Q1029" s="797">
        <v>0</v>
      </c>
      <c r="R1029" s="797">
        <f t="shared" si="287"/>
        <v>1461768</v>
      </c>
      <c r="S1029" s="797">
        <f t="shared" si="288"/>
        <v>1152.813880126183</v>
      </c>
      <c r="T1029" s="797">
        <v>4503.95</v>
      </c>
      <c r="U1029" s="132" t="s">
        <v>590</v>
      </c>
      <c r="V1029" s="144">
        <f t="shared" si="256"/>
        <v>3351.1361198738168</v>
      </c>
      <c r="W1029" s="521"/>
    </row>
    <row r="1030" spans="1:23" s="198" customFormat="1" ht="9" customHeight="1">
      <c r="A1030" s="794">
        <v>246</v>
      </c>
      <c r="B1030" s="156" t="s">
        <v>996</v>
      </c>
      <c r="C1030" s="785" t="s">
        <v>1192</v>
      </c>
      <c r="D1030" s="785" t="s">
        <v>111</v>
      </c>
      <c r="E1030" s="794" t="s">
        <v>745</v>
      </c>
      <c r="F1030" s="794"/>
      <c r="G1030" s="794" t="s">
        <v>88</v>
      </c>
      <c r="H1030" s="130">
        <v>4</v>
      </c>
      <c r="I1030" s="130">
        <v>2</v>
      </c>
      <c r="J1030" s="797">
        <v>1367.6</v>
      </c>
      <c r="K1030" s="797">
        <v>1279.5999999999999</v>
      </c>
      <c r="L1030" s="797">
        <v>1279.5999999999999</v>
      </c>
      <c r="M1030" s="130">
        <v>150</v>
      </c>
      <c r="N1030" s="797">
        <f>'Приложение 2'!E1032</f>
        <v>1500576</v>
      </c>
      <c r="O1030" s="797">
        <v>0</v>
      </c>
      <c r="P1030" s="797">
        <v>0</v>
      </c>
      <c r="Q1030" s="797">
        <v>0</v>
      </c>
      <c r="R1030" s="797">
        <f t="shared" si="287"/>
        <v>1500576</v>
      </c>
      <c r="S1030" s="797">
        <f t="shared" si="288"/>
        <v>1172.691466083151</v>
      </c>
      <c r="T1030" s="797">
        <v>4503.95</v>
      </c>
      <c r="U1030" s="132" t="s">
        <v>590</v>
      </c>
      <c r="V1030" s="144">
        <f t="shared" ref="V1030:V1032" si="289">T1030-S1030</f>
        <v>3331.258533916849</v>
      </c>
      <c r="W1030" s="521"/>
    </row>
    <row r="1031" spans="1:23" s="198" customFormat="1" ht="9" customHeight="1">
      <c r="A1031" s="794">
        <v>247</v>
      </c>
      <c r="B1031" s="156" t="s">
        <v>997</v>
      </c>
      <c r="C1031" s="785" t="s">
        <v>1192</v>
      </c>
      <c r="D1031" s="785" t="s">
        <v>111</v>
      </c>
      <c r="E1031" s="794" t="s">
        <v>0</v>
      </c>
      <c r="F1031" s="794"/>
      <c r="G1031" s="794" t="s">
        <v>88</v>
      </c>
      <c r="H1031" s="130">
        <v>2</v>
      </c>
      <c r="I1031" s="130">
        <v>2</v>
      </c>
      <c r="J1031" s="797">
        <v>790</v>
      </c>
      <c r="K1031" s="797">
        <v>727.4</v>
      </c>
      <c r="L1031" s="797">
        <v>727.4</v>
      </c>
      <c r="M1031" s="130">
        <v>32</v>
      </c>
      <c r="N1031" s="797">
        <f>'Приложение 2'!E1033</f>
        <v>1642872</v>
      </c>
      <c r="O1031" s="797">
        <v>0</v>
      </c>
      <c r="P1031" s="797">
        <v>0</v>
      </c>
      <c r="Q1031" s="797">
        <v>0</v>
      </c>
      <c r="R1031" s="797">
        <f t="shared" si="287"/>
        <v>1642872</v>
      </c>
      <c r="S1031" s="797">
        <f t="shared" si="288"/>
        <v>2258.5537530932088</v>
      </c>
      <c r="T1031" s="797">
        <v>4503.95</v>
      </c>
      <c r="U1031" s="132" t="s">
        <v>590</v>
      </c>
      <c r="V1031" s="144">
        <f t="shared" si="289"/>
        <v>2245.396246906791</v>
      </c>
      <c r="W1031" s="521"/>
    </row>
    <row r="1032" spans="1:23" s="198" customFormat="1" ht="9" customHeight="1">
      <c r="A1032" s="794">
        <v>248</v>
      </c>
      <c r="B1032" s="156" t="s">
        <v>998</v>
      </c>
      <c r="C1032" s="785" t="s">
        <v>1192</v>
      </c>
      <c r="D1032" s="785" t="s">
        <v>111</v>
      </c>
      <c r="E1032" s="794" t="s">
        <v>607</v>
      </c>
      <c r="F1032" s="794"/>
      <c r="G1032" s="794" t="s">
        <v>88</v>
      </c>
      <c r="H1032" s="130">
        <v>5</v>
      </c>
      <c r="I1032" s="130">
        <v>4</v>
      </c>
      <c r="J1032" s="797">
        <v>3136.9</v>
      </c>
      <c r="K1032" s="797">
        <v>2785.4</v>
      </c>
      <c r="L1032" s="797">
        <v>1761</v>
      </c>
      <c r="M1032" s="130">
        <v>89</v>
      </c>
      <c r="N1032" s="797">
        <f>'Приложение 2'!E1034</f>
        <v>2609838</v>
      </c>
      <c r="O1032" s="797">
        <v>0</v>
      </c>
      <c r="P1032" s="797">
        <v>0</v>
      </c>
      <c r="Q1032" s="797">
        <v>0</v>
      </c>
      <c r="R1032" s="797">
        <f t="shared" si="287"/>
        <v>2609838</v>
      </c>
      <c r="S1032" s="797">
        <f t="shared" si="288"/>
        <v>936.97063258418893</v>
      </c>
      <c r="T1032" s="797">
        <v>4503.95</v>
      </c>
      <c r="U1032" s="132" t="s">
        <v>590</v>
      </c>
      <c r="V1032" s="144">
        <f t="shared" si="289"/>
        <v>3566.9793674158109</v>
      </c>
      <c r="W1032" s="521"/>
    </row>
    <row r="1033" spans="1:23" s="198" customFormat="1" ht="23.25" customHeight="1">
      <c r="A1033" s="829" t="s">
        <v>44</v>
      </c>
      <c r="B1033" s="830"/>
      <c r="C1033" s="785"/>
      <c r="D1033" s="785"/>
      <c r="E1033" s="141" t="s">
        <v>391</v>
      </c>
      <c r="F1033" s="141" t="s">
        <v>391</v>
      </c>
      <c r="G1033" s="141" t="s">
        <v>391</v>
      </c>
      <c r="H1033" s="141" t="s">
        <v>391</v>
      </c>
      <c r="I1033" s="141" t="s">
        <v>391</v>
      </c>
      <c r="J1033" s="797">
        <f t="shared" ref="J1033:Q1033" si="290">SUM(J1025:J1032)</f>
        <v>12065.599999999999</v>
      </c>
      <c r="K1033" s="797">
        <f t="shared" si="290"/>
        <v>10878</v>
      </c>
      <c r="L1033" s="797">
        <f t="shared" si="290"/>
        <v>7722.2999999999993</v>
      </c>
      <c r="M1033" s="130">
        <f t="shared" si="290"/>
        <v>458</v>
      </c>
      <c r="N1033" s="797">
        <f t="shared" si="290"/>
        <v>13146210</v>
      </c>
      <c r="O1033" s="797">
        <f t="shared" si="290"/>
        <v>0</v>
      </c>
      <c r="P1033" s="797">
        <f t="shared" si="290"/>
        <v>0</v>
      </c>
      <c r="Q1033" s="797">
        <f t="shared" si="290"/>
        <v>0</v>
      </c>
      <c r="R1033" s="797">
        <f t="shared" si="287"/>
        <v>13146210</v>
      </c>
      <c r="S1033" s="797">
        <f>N1033/K1033</f>
        <v>1208.5135135135135</v>
      </c>
      <c r="T1033" s="797"/>
      <c r="U1033" s="132"/>
      <c r="V1033" s="144"/>
      <c r="W1033" s="521"/>
    </row>
    <row r="1034" spans="1:23" s="198" customFormat="1" ht="9" customHeight="1">
      <c r="A1034" s="837" t="s">
        <v>1093</v>
      </c>
      <c r="B1034" s="838"/>
      <c r="C1034" s="838"/>
      <c r="D1034" s="838"/>
      <c r="E1034" s="838"/>
      <c r="F1034" s="838"/>
      <c r="G1034" s="838"/>
      <c r="H1034" s="838"/>
      <c r="I1034" s="838"/>
      <c r="J1034" s="838"/>
      <c r="K1034" s="838"/>
      <c r="L1034" s="838"/>
      <c r="M1034" s="838"/>
      <c r="N1034" s="838"/>
      <c r="O1034" s="838"/>
      <c r="P1034" s="838"/>
      <c r="Q1034" s="838"/>
      <c r="R1034" s="838"/>
      <c r="S1034" s="838"/>
      <c r="T1034" s="838"/>
      <c r="U1034" s="839"/>
      <c r="V1034" s="144">
        <f t="shared" ref="V1034:V1035" si="291">T1034-S1034</f>
        <v>0</v>
      </c>
      <c r="W1034" s="521"/>
    </row>
    <row r="1035" spans="1:23" s="198" customFormat="1" ht="9" customHeight="1">
      <c r="A1035" s="785">
        <v>249</v>
      </c>
      <c r="B1035" s="785" t="s">
        <v>1003</v>
      </c>
      <c r="C1035" s="785" t="s">
        <v>1192</v>
      </c>
      <c r="D1035" s="785" t="s">
        <v>111</v>
      </c>
      <c r="E1035" s="141" t="s">
        <v>596</v>
      </c>
      <c r="F1035" s="141"/>
      <c r="G1035" s="141" t="s">
        <v>88</v>
      </c>
      <c r="H1035" s="259">
        <v>2</v>
      </c>
      <c r="I1035" s="259">
        <v>2</v>
      </c>
      <c r="J1035" s="797">
        <v>615.1</v>
      </c>
      <c r="K1035" s="797">
        <v>545.1</v>
      </c>
      <c r="L1035" s="797">
        <v>545.1</v>
      </c>
      <c r="M1035" s="794">
        <v>26</v>
      </c>
      <c r="N1035" s="797">
        <f>'Приложение 2'!E1037</f>
        <v>1422960</v>
      </c>
      <c r="O1035" s="797">
        <v>0</v>
      </c>
      <c r="P1035" s="797">
        <v>0</v>
      </c>
      <c r="Q1035" s="797">
        <v>0</v>
      </c>
      <c r="R1035" s="797">
        <f>N1035</f>
        <v>1422960</v>
      </c>
      <c r="S1035" s="797">
        <f t="shared" ref="S1035" si="292">N1035/K1035</f>
        <v>2610.4567969179966</v>
      </c>
      <c r="T1035" s="797">
        <v>4503.95</v>
      </c>
      <c r="U1035" s="132" t="s">
        <v>590</v>
      </c>
      <c r="V1035" s="144">
        <f t="shared" si="291"/>
        <v>1893.4932030820032</v>
      </c>
      <c r="W1035" s="521"/>
    </row>
    <row r="1036" spans="1:23" s="198" customFormat="1" ht="22.5" customHeight="1">
      <c r="A1036" s="829" t="s">
        <v>1094</v>
      </c>
      <c r="B1036" s="830"/>
      <c r="C1036" s="156"/>
      <c r="D1036" s="785"/>
      <c r="E1036" s="141" t="s">
        <v>391</v>
      </c>
      <c r="F1036" s="141" t="s">
        <v>391</v>
      </c>
      <c r="G1036" s="141" t="s">
        <v>391</v>
      </c>
      <c r="H1036" s="141" t="s">
        <v>391</v>
      </c>
      <c r="I1036" s="141" t="s">
        <v>391</v>
      </c>
      <c r="J1036" s="797">
        <f>SUM(J1035)</f>
        <v>615.1</v>
      </c>
      <c r="K1036" s="797">
        <f t="shared" ref="K1036:R1036" si="293">SUM(K1035)</f>
        <v>545.1</v>
      </c>
      <c r="L1036" s="797">
        <f t="shared" si="293"/>
        <v>545.1</v>
      </c>
      <c r="M1036" s="794">
        <f t="shared" si="293"/>
        <v>26</v>
      </c>
      <c r="N1036" s="797">
        <f t="shared" si="293"/>
        <v>1422960</v>
      </c>
      <c r="O1036" s="797">
        <f t="shared" si="293"/>
        <v>0</v>
      </c>
      <c r="P1036" s="797">
        <f t="shared" si="293"/>
        <v>0</v>
      </c>
      <c r="Q1036" s="797">
        <f t="shared" si="293"/>
        <v>0</v>
      </c>
      <c r="R1036" s="797">
        <f t="shared" si="293"/>
        <v>1422960</v>
      </c>
      <c r="S1036" s="797">
        <f>N1036/K1036</f>
        <v>2610.4567969179966</v>
      </c>
      <c r="T1036" s="797"/>
      <c r="U1036" s="132"/>
      <c r="V1036" s="144"/>
      <c r="W1036" s="521"/>
    </row>
    <row r="1037" spans="1:23" ht="9" customHeight="1">
      <c r="E1037" s="508"/>
      <c r="F1037" s="508"/>
      <c r="G1037" s="508"/>
      <c r="H1037" s="508"/>
      <c r="I1037" s="508"/>
    </row>
  </sheetData>
  <sheetProtection selectLockedCells="1" selectUnlockedCells="1"/>
  <autoFilter ref="A11:X357"/>
  <mergeCells count="269">
    <mergeCell ref="A1036:B1036"/>
    <mergeCell ref="A1009:U1009"/>
    <mergeCell ref="A1015:B1015"/>
    <mergeCell ref="A1016:U1016"/>
    <mergeCell ref="A1020:B1020"/>
    <mergeCell ref="A1021:U1021"/>
    <mergeCell ref="A1023:B1023"/>
    <mergeCell ref="A1024:U1024"/>
    <mergeCell ref="A1033:B1033"/>
    <mergeCell ref="A1034:U1034"/>
    <mergeCell ref="A995:B995"/>
    <mergeCell ref="A996:U996"/>
    <mergeCell ref="A998:B998"/>
    <mergeCell ref="A999:U999"/>
    <mergeCell ref="A1001:B1001"/>
    <mergeCell ref="A1002:U1002"/>
    <mergeCell ref="A1004:B1004"/>
    <mergeCell ref="A1005:U1005"/>
    <mergeCell ref="A1008:B1008"/>
    <mergeCell ref="A975:U975"/>
    <mergeCell ref="A977:B977"/>
    <mergeCell ref="A978:U978"/>
    <mergeCell ref="A981:B981"/>
    <mergeCell ref="A982:U982"/>
    <mergeCell ref="A985:B985"/>
    <mergeCell ref="A986:U986"/>
    <mergeCell ref="A988:B988"/>
    <mergeCell ref="A989:U989"/>
    <mergeCell ref="A958:B958"/>
    <mergeCell ref="A959:U959"/>
    <mergeCell ref="A962:B962"/>
    <mergeCell ref="A963:U963"/>
    <mergeCell ref="A965:B965"/>
    <mergeCell ref="A966:U966"/>
    <mergeCell ref="A969:B969"/>
    <mergeCell ref="A970:U970"/>
    <mergeCell ref="A974:B974"/>
    <mergeCell ref="A934:U934"/>
    <mergeCell ref="A936:B936"/>
    <mergeCell ref="A937:U937"/>
    <mergeCell ref="A939:B939"/>
    <mergeCell ref="A940:U940"/>
    <mergeCell ref="A947:B947"/>
    <mergeCell ref="A948:U948"/>
    <mergeCell ref="A950:B950"/>
    <mergeCell ref="A951:U951"/>
    <mergeCell ref="A913:B913"/>
    <mergeCell ref="A914:U914"/>
    <mergeCell ref="A916:B916"/>
    <mergeCell ref="A917:U917"/>
    <mergeCell ref="A919:B919"/>
    <mergeCell ref="A920:U920"/>
    <mergeCell ref="A930:B930"/>
    <mergeCell ref="A931:U931"/>
    <mergeCell ref="A933:B933"/>
    <mergeCell ref="A893:U893"/>
    <mergeCell ref="A895:B895"/>
    <mergeCell ref="A896:U896"/>
    <mergeCell ref="A899:B899"/>
    <mergeCell ref="A900:U900"/>
    <mergeCell ref="A903:B903"/>
    <mergeCell ref="A904:U904"/>
    <mergeCell ref="A909:B909"/>
    <mergeCell ref="A910:U910"/>
    <mergeCell ref="A861:B861"/>
    <mergeCell ref="A862:U862"/>
    <mergeCell ref="A866:B866"/>
    <mergeCell ref="A867:U867"/>
    <mergeCell ref="A873:B873"/>
    <mergeCell ref="A874:U874"/>
    <mergeCell ref="A877:B877"/>
    <mergeCell ref="A878:U878"/>
    <mergeCell ref="A892:B892"/>
    <mergeCell ref="A691:U691"/>
    <mergeCell ref="A702:B702"/>
    <mergeCell ref="A703:U703"/>
    <mergeCell ref="A704:B704"/>
    <mergeCell ref="A705:U705"/>
    <mergeCell ref="A838:B838"/>
    <mergeCell ref="A839:U839"/>
    <mergeCell ref="A847:B847"/>
    <mergeCell ref="A848:U848"/>
    <mergeCell ref="A670:B670"/>
    <mergeCell ref="A671:U671"/>
    <mergeCell ref="A673:B673"/>
    <mergeCell ref="A674:U674"/>
    <mergeCell ref="A678:B678"/>
    <mergeCell ref="A679:U679"/>
    <mergeCell ref="A687:B687"/>
    <mergeCell ref="A688:U688"/>
    <mergeCell ref="A690:B690"/>
    <mergeCell ref="A652:U652"/>
    <mergeCell ref="A655:B655"/>
    <mergeCell ref="A656:U656"/>
    <mergeCell ref="A659:B659"/>
    <mergeCell ref="A660:U660"/>
    <mergeCell ref="A664:B664"/>
    <mergeCell ref="A665:U665"/>
    <mergeCell ref="A667:B667"/>
    <mergeCell ref="A668:U668"/>
    <mergeCell ref="A634:B634"/>
    <mergeCell ref="A635:U635"/>
    <mergeCell ref="A637:B637"/>
    <mergeCell ref="A638:U638"/>
    <mergeCell ref="A644:B644"/>
    <mergeCell ref="A645:U645"/>
    <mergeCell ref="A647:B647"/>
    <mergeCell ref="A648:U648"/>
    <mergeCell ref="A651:B651"/>
    <mergeCell ref="A610:U610"/>
    <mergeCell ref="A615:B615"/>
    <mergeCell ref="A616:U616"/>
    <mergeCell ref="A618:B618"/>
    <mergeCell ref="A619:U619"/>
    <mergeCell ref="A626:B626"/>
    <mergeCell ref="A627:U627"/>
    <mergeCell ref="A631:B631"/>
    <mergeCell ref="A632:U632"/>
    <mergeCell ref="A587:B587"/>
    <mergeCell ref="A588:U588"/>
    <mergeCell ref="A590:B590"/>
    <mergeCell ref="A591:U591"/>
    <mergeCell ref="A603:B603"/>
    <mergeCell ref="A604:U604"/>
    <mergeCell ref="A606:B606"/>
    <mergeCell ref="A607:U607"/>
    <mergeCell ref="A609:B609"/>
    <mergeCell ref="A571:U571"/>
    <mergeCell ref="A574:B574"/>
    <mergeCell ref="A575:U575"/>
    <mergeCell ref="A578:B578"/>
    <mergeCell ref="A579:U579"/>
    <mergeCell ref="A581:B581"/>
    <mergeCell ref="A582:U582"/>
    <mergeCell ref="A584:B584"/>
    <mergeCell ref="A585:U585"/>
    <mergeCell ref="A533:B533"/>
    <mergeCell ref="A534:U534"/>
    <mergeCell ref="A542:B542"/>
    <mergeCell ref="A543:U543"/>
    <mergeCell ref="A547:B547"/>
    <mergeCell ref="A548:U548"/>
    <mergeCell ref="A553:B553"/>
    <mergeCell ref="A554:U554"/>
    <mergeCell ref="A570:B570"/>
    <mergeCell ref="A359:U359"/>
    <mergeCell ref="A360:B360"/>
    <mergeCell ref="A361:U361"/>
    <mergeCell ref="A504:B504"/>
    <mergeCell ref="A505:U505"/>
    <mergeCell ref="A513:B513"/>
    <mergeCell ref="A514:U514"/>
    <mergeCell ref="A528:B528"/>
    <mergeCell ref="A529:U529"/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7" fitToHeight="0" orientation="landscape" r:id="rId1"/>
  <headerFooter alignWithMargins="0">
    <oddFooter>&amp;C&amp;"Arial Narrow,обычный"&amp;7&amp;P</oddFooter>
  </headerFooter>
  <rowBreaks count="1" manualBreakCount="1">
    <brk id="37" min="1" max="20" man="1"/>
  </rowBreaks>
  <colBreaks count="1" manualBreakCount="1">
    <brk id="21" max="1011" man="1"/>
  </colBreaks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1037"/>
  <sheetViews>
    <sheetView topLeftCell="A7" zoomScale="170" zoomScaleNormal="170" zoomScaleSheetLayoutView="140" workbookViewId="0">
      <selection activeCell="A15" sqref="A15:XFD15"/>
    </sheetView>
  </sheetViews>
  <sheetFormatPr defaultRowHeight="12.75"/>
  <cols>
    <col min="1" max="1" width="4" style="9" customWidth="1"/>
    <col min="2" max="2" width="38.33203125" style="9" customWidth="1"/>
    <col min="3" max="3" width="14.6640625" style="62" hidden="1" customWidth="1"/>
    <col min="4" max="4" width="13.5" style="62" hidden="1" customWidth="1"/>
    <col min="5" max="5" width="12" style="7" customWidth="1"/>
    <col min="6" max="6" width="10" style="7" customWidth="1"/>
    <col min="7" max="7" width="4.33203125" style="34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332031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4.83203125" style="10" customWidth="1"/>
    <col min="23" max="23" width="9.6640625" style="9" customWidth="1"/>
    <col min="24" max="24" width="17" style="9" customWidth="1"/>
    <col min="25" max="25" width="9.33203125" style="9" customWidth="1"/>
    <col min="26" max="26" width="15.33203125" style="9" customWidth="1"/>
    <col min="27" max="27" width="15.5" style="9" bestFit="1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891" t="s">
        <v>108</v>
      </c>
      <c r="N1" s="891"/>
      <c r="O1" s="891"/>
      <c r="P1" s="891"/>
      <c r="Q1" s="891"/>
      <c r="R1" s="891"/>
      <c r="S1" s="891"/>
      <c r="T1" s="891"/>
      <c r="U1" s="891"/>
      <c r="V1" s="891"/>
    </row>
    <row r="2" spans="1:27" ht="6" hidden="1" customHeight="1">
      <c r="E2" s="10"/>
      <c r="F2" s="10"/>
      <c r="L2" s="12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7" ht="47.25" hidden="1" customHeight="1">
      <c r="E3" s="10"/>
      <c r="F3" s="10"/>
      <c r="L3" s="12"/>
      <c r="M3" s="5"/>
      <c r="N3" s="5"/>
      <c r="O3" s="892" t="s">
        <v>463</v>
      </c>
      <c r="P3" s="892"/>
      <c r="Q3" s="892"/>
      <c r="R3" s="892"/>
      <c r="S3" s="892"/>
      <c r="T3" s="892"/>
      <c r="U3" s="892"/>
      <c r="V3" s="892"/>
    </row>
    <row r="4" spans="1:27" ht="2.25" hidden="1" customHeight="1">
      <c r="E4" s="10"/>
      <c r="F4" s="10"/>
      <c r="L4" s="12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894" t="s">
        <v>64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</row>
    <row r="7" spans="1:27" ht="45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878" t="s">
        <v>1056</v>
      </c>
      <c r="T7" s="878"/>
      <c r="U7" s="878"/>
      <c r="V7" s="878"/>
    </row>
    <row r="8" spans="1:27" ht="46.5" customHeight="1">
      <c r="A8" s="104"/>
      <c r="B8" s="104"/>
      <c r="C8" s="104"/>
      <c r="D8" s="104"/>
      <c r="E8" s="104"/>
      <c r="F8" s="104"/>
      <c r="G8" s="90"/>
      <c r="H8" s="104"/>
      <c r="I8" s="104"/>
      <c r="J8" s="104"/>
      <c r="K8" s="104"/>
      <c r="L8" s="104"/>
      <c r="M8" s="104"/>
      <c r="N8" s="104"/>
      <c r="O8" s="5"/>
      <c r="P8" s="878" t="s">
        <v>1057</v>
      </c>
      <c r="Q8" s="878"/>
      <c r="R8" s="878"/>
      <c r="S8" s="878"/>
      <c r="T8" s="878"/>
      <c r="U8" s="878"/>
      <c r="V8" s="878"/>
    </row>
    <row r="9" spans="1:27" ht="13.5" customHeight="1">
      <c r="A9" s="877" t="s">
        <v>64</v>
      </c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</row>
    <row r="10" spans="1:27" ht="21" customHeight="1">
      <c r="A10" s="879" t="s">
        <v>461</v>
      </c>
      <c r="B10" s="879" t="s">
        <v>66</v>
      </c>
      <c r="C10" s="58"/>
      <c r="D10" s="59"/>
      <c r="E10" s="898" t="s">
        <v>91</v>
      </c>
      <c r="F10" s="879" t="s">
        <v>464</v>
      </c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 t="s">
        <v>92</v>
      </c>
      <c r="T10" s="879"/>
      <c r="U10" s="879"/>
      <c r="V10" s="879"/>
    </row>
    <row r="11" spans="1:27" ht="78" customHeight="1">
      <c r="A11" s="879"/>
      <c r="B11" s="879"/>
      <c r="C11" s="58"/>
      <c r="D11" s="59"/>
      <c r="E11" s="898"/>
      <c r="F11" s="98" t="s">
        <v>93</v>
      </c>
      <c r="G11" s="879" t="s">
        <v>94</v>
      </c>
      <c r="H11" s="879"/>
      <c r="I11" s="879" t="s">
        <v>95</v>
      </c>
      <c r="J11" s="879"/>
      <c r="K11" s="879"/>
      <c r="L11" s="879"/>
      <c r="M11" s="879" t="s">
        <v>96</v>
      </c>
      <c r="N11" s="879"/>
      <c r="O11" s="879" t="s">
        <v>97</v>
      </c>
      <c r="P11" s="879"/>
      <c r="Q11" s="879" t="s">
        <v>98</v>
      </c>
      <c r="R11" s="879"/>
      <c r="S11" s="30" t="s">
        <v>60</v>
      </c>
      <c r="T11" s="30" t="s">
        <v>61</v>
      </c>
      <c r="U11" s="99" t="s">
        <v>62</v>
      </c>
      <c r="V11" s="99" t="s">
        <v>63</v>
      </c>
    </row>
    <row r="12" spans="1:27" ht="15" customHeight="1">
      <c r="A12" s="879"/>
      <c r="B12" s="879"/>
      <c r="C12" s="58"/>
      <c r="D12" s="59"/>
      <c r="E12" s="98" t="s">
        <v>376</v>
      </c>
      <c r="F12" s="98" t="s">
        <v>71</v>
      </c>
      <c r="G12" s="17" t="s">
        <v>99</v>
      </c>
      <c r="H12" s="99" t="s">
        <v>71</v>
      </c>
      <c r="I12" s="98" t="s">
        <v>465</v>
      </c>
      <c r="J12" s="98"/>
      <c r="K12" s="98"/>
      <c r="L12" s="98" t="s">
        <v>71</v>
      </c>
      <c r="M12" s="99" t="s">
        <v>465</v>
      </c>
      <c r="N12" s="99" t="s">
        <v>71</v>
      </c>
      <c r="O12" s="99" t="s">
        <v>465</v>
      </c>
      <c r="P12" s="99" t="s">
        <v>71</v>
      </c>
      <c r="Q12" s="14" t="s">
        <v>466</v>
      </c>
      <c r="R12" s="99" t="s">
        <v>71</v>
      </c>
      <c r="S12" s="99" t="s">
        <v>71</v>
      </c>
      <c r="T12" s="99" t="s">
        <v>71</v>
      </c>
      <c r="U12" s="99" t="s">
        <v>71</v>
      </c>
      <c r="V12" s="99" t="s">
        <v>71</v>
      </c>
      <c r="X12" s="38"/>
      <c r="AA12" s="38"/>
    </row>
    <row r="13" spans="1:27" ht="9" customHeight="1">
      <c r="A13" s="99" t="s">
        <v>72</v>
      </c>
      <c r="B13" s="99" t="s">
        <v>73</v>
      </c>
      <c r="C13" s="58"/>
      <c r="D13" s="59"/>
      <c r="E13" s="99" t="s">
        <v>74</v>
      </c>
      <c r="F13" s="98" t="s">
        <v>75</v>
      </c>
      <c r="G13" s="17" t="s">
        <v>76</v>
      </c>
      <c r="H13" s="99" t="s">
        <v>77</v>
      </c>
      <c r="I13" s="98" t="s">
        <v>78</v>
      </c>
      <c r="J13" s="98"/>
      <c r="K13" s="98"/>
      <c r="L13" s="98" t="s">
        <v>79</v>
      </c>
      <c r="M13" s="99" t="s">
        <v>80</v>
      </c>
      <c r="N13" s="99" t="s">
        <v>81</v>
      </c>
      <c r="O13" s="99" t="s">
        <v>82</v>
      </c>
      <c r="P13" s="99" t="s">
        <v>83</v>
      </c>
      <c r="Q13" s="99" t="s">
        <v>84</v>
      </c>
      <c r="R13" s="99" t="s">
        <v>85</v>
      </c>
      <c r="S13" s="99" t="s">
        <v>86</v>
      </c>
      <c r="T13" s="99" t="s">
        <v>87</v>
      </c>
      <c r="U13" s="99">
        <v>17</v>
      </c>
      <c r="V13" s="99">
        <v>18</v>
      </c>
    </row>
    <row r="14" spans="1:27" ht="12" hidden="1" customHeight="1">
      <c r="A14" s="881" t="s">
        <v>1022</v>
      </c>
      <c r="B14" s="881"/>
      <c r="C14" s="58"/>
      <c r="D14" s="58"/>
      <c r="E14" s="98" t="e">
        <f>E16+#REF!+#REF!</f>
        <v>#REF!</v>
      </c>
      <c r="F14" s="98" t="e">
        <f>F16+#REF!+#REF!</f>
        <v>#REF!</v>
      </c>
      <c r="G14" s="17" t="e">
        <f>G16+#REF!+#REF!</f>
        <v>#REF!</v>
      </c>
      <c r="H14" s="98" t="e">
        <f>H16+#REF!+#REF!</f>
        <v>#REF!</v>
      </c>
      <c r="I14" s="98" t="e">
        <f>I16+#REF!+#REF!</f>
        <v>#REF!</v>
      </c>
      <c r="J14" s="98" t="e">
        <f>J16+#REF!+#REF!</f>
        <v>#VALUE!</v>
      </c>
      <c r="K14" s="98" t="e">
        <f>K16+#REF!+#REF!</f>
        <v>#REF!</v>
      </c>
      <c r="L14" s="98" t="e">
        <f>L16+#REF!+#REF!</f>
        <v>#REF!</v>
      </c>
      <c r="M14" s="98" t="e">
        <f>M16+#REF!+#REF!</f>
        <v>#REF!</v>
      </c>
      <c r="N14" s="98" t="e">
        <f>N16+#REF!+#REF!</f>
        <v>#REF!</v>
      </c>
      <c r="O14" s="98" t="e">
        <f>O16+#REF!+#REF!</f>
        <v>#REF!</v>
      </c>
      <c r="P14" s="98" t="e">
        <f>P16+#REF!+#REF!</f>
        <v>#REF!</v>
      </c>
      <c r="Q14" s="98" t="e">
        <f>Q16+#REF!+#REF!</f>
        <v>#REF!</v>
      </c>
      <c r="R14" s="98" t="e">
        <f>R16+#REF!+#REF!</f>
        <v>#REF!</v>
      </c>
      <c r="S14" s="98" t="e">
        <f>S16+#REF!+#REF!</f>
        <v>#REF!</v>
      </c>
      <c r="T14" s="98" t="e">
        <f>T16+#REF!+#REF!</f>
        <v>#REF!</v>
      </c>
      <c r="U14" s="98" t="e">
        <f>U16+#REF!+#REF!</f>
        <v>#REF!</v>
      </c>
      <c r="V14" s="98" t="e">
        <f>V16+#REF!+#REF!</f>
        <v>#REF!</v>
      </c>
      <c r="X14" s="38" t="e">
        <f>F14+H14+L14+N14+P14+T14+U14</f>
        <v>#REF!</v>
      </c>
      <c r="AA14" s="38"/>
    </row>
    <row r="15" spans="1:27" ht="16.5" customHeight="1">
      <c r="A15" s="879" t="s">
        <v>1028</v>
      </c>
      <c r="B15" s="879"/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AA15" s="38"/>
    </row>
    <row r="16" spans="1:27" ht="12" customHeight="1">
      <c r="A16" s="881" t="s">
        <v>1023</v>
      </c>
      <c r="B16" s="881"/>
      <c r="C16" s="98"/>
      <c r="D16" s="58"/>
      <c r="E16" s="98">
        <f t="shared" ref="E16:V16" si="0">E18+E135+E147+E160+E165+E173+E177+E183+E186+E203+E207+E210+E213+E217+E220+E223+E226+E239+E243+E246+E249+E253+E257+E260+E268+E272+E278+E282+E285+E289+E292+E296+E299+E302+E306+E310+E316+E320+E323+E326+E330+E336+E341+E345</f>
        <v>594161776.54999995</v>
      </c>
      <c r="F16" s="98">
        <f t="shared" si="0"/>
        <v>55347598.359999999</v>
      </c>
      <c r="G16" s="17">
        <f t="shared" si="0"/>
        <v>1</v>
      </c>
      <c r="H16" s="98">
        <f t="shared" si="0"/>
        <v>2909823.25</v>
      </c>
      <c r="I16" s="98">
        <f t="shared" si="0"/>
        <v>162599.98999999996</v>
      </c>
      <c r="J16" s="98" t="e">
        <f t="shared" si="0"/>
        <v>#VALUE!</v>
      </c>
      <c r="K16" s="98">
        <f t="shared" si="0"/>
        <v>26135548.800000042</v>
      </c>
      <c r="L16" s="98">
        <f t="shared" si="0"/>
        <v>507203005.36000001</v>
      </c>
      <c r="M16" s="98">
        <f t="shared" si="0"/>
        <v>990.1</v>
      </c>
      <c r="N16" s="98">
        <f t="shared" si="0"/>
        <v>755106</v>
      </c>
      <c r="O16" s="98">
        <f t="shared" si="0"/>
        <v>19804.400000000001</v>
      </c>
      <c r="P16" s="98">
        <f t="shared" si="0"/>
        <v>22910139.530000001</v>
      </c>
      <c r="Q16" s="98">
        <f t="shared" si="0"/>
        <v>0</v>
      </c>
      <c r="R16" s="98">
        <f t="shared" si="0"/>
        <v>0</v>
      </c>
      <c r="S16" s="98">
        <f t="shared" si="0"/>
        <v>570000</v>
      </c>
      <c r="T16" s="98">
        <f t="shared" si="0"/>
        <v>3606258</v>
      </c>
      <c r="U16" s="98">
        <f t="shared" si="0"/>
        <v>859846.04999999993</v>
      </c>
      <c r="V16" s="98">
        <f t="shared" si="0"/>
        <v>0</v>
      </c>
      <c r="X16" s="38"/>
      <c r="AA16" s="38"/>
    </row>
    <row r="17" spans="1:26" ht="10.5" customHeight="1">
      <c r="A17" s="882" t="s">
        <v>217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</row>
    <row r="18" spans="1:26" ht="21" customHeight="1">
      <c r="A18" s="881" t="s">
        <v>109</v>
      </c>
      <c r="B18" s="881"/>
      <c r="C18" s="58"/>
      <c r="D18" s="58"/>
      <c r="E18" s="98">
        <f>SUM(E19:E133)</f>
        <v>322467366.57999992</v>
      </c>
      <c r="F18" s="503">
        <f t="shared" ref="F18:V18" si="1">SUM(F19:F133)</f>
        <v>43556002.25</v>
      </c>
      <c r="G18" s="8">
        <f t="shared" si="1"/>
        <v>1</v>
      </c>
      <c r="H18" s="503">
        <f t="shared" si="1"/>
        <v>2909823.25</v>
      </c>
      <c r="I18" s="503">
        <f t="shared" si="1"/>
        <v>83623.299999999988</v>
      </c>
      <c r="J18" s="503">
        <f t="shared" si="1"/>
        <v>33135967.699999999</v>
      </c>
      <c r="K18" s="503">
        <f t="shared" si="1"/>
        <v>25951263.130000032</v>
      </c>
      <c r="L18" s="503">
        <f t="shared" si="1"/>
        <v>254231214.39000005</v>
      </c>
      <c r="M18" s="503">
        <f t="shared" si="1"/>
        <v>0</v>
      </c>
      <c r="N18" s="503">
        <f t="shared" si="1"/>
        <v>0</v>
      </c>
      <c r="O18" s="503">
        <f t="shared" si="1"/>
        <v>17212.400000000001</v>
      </c>
      <c r="P18" s="503">
        <f t="shared" si="1"/>
        <v>20587434.390000001</v>
      </c>
      <c r="Q18" s="503">
        <f t="shared" si="1"/>
        <v>0</v>
      </c>
      <c r="R18" s="503">
        <f t="shared" si="1"/>
        <v>0</v>
      </c>
      <c r="S18" s="503">
        <f t="shared" si="1"/>
        <v>570000</v>
      </c>
      <c r="T18" s="503">
        <f t="shared" si="1"/>
        <v>0</v>
      </c>
      <c r="U18" s="503">
        <f t="shared" si="1"/>
        <v>612892.29999999993</v>
      </c>
      <c r="V18" s="503">
        <f t="shared" si="1"/>
        <v>0</v>
      </c>
      <c r="X18" s="108" t="s">
        <v>1089</v>
      </c>
      <c r="Y18" s="108" t="s">
        <v>1090</v>
      </c>
      <c r="Z18" s="108" t="s">
        <v>1091</v>
      </c>
    </row>
    <row r="19" spans="1:26" ht="9" customHeight="1">
      <c r="A19" s="99">
        <v>1</v>
      </c>
      <c r="B19" s="39" t="s">
        <v>112</v>
      </c>
      <c r="C19" s="39" t="s">
        <v>1005</v>
      </c>
      <c r="D19" s="39"/>
      <c r="E19" s="98">
        <f>F19+H19+L19+N19+P19+R19+S19+T19+U19+V19</f>
        <v>2179864.48</v>
      </c>
      <c r="F19" s="98">
        <v>0</v>
      </c>
      <c r="G19" s="17">
        <v>0</v>
      </c>
      <c r="H19" s="98">
        <v>0</v>
      </c>
      <c r="I19" s="19">
        <v>911.34</v>
      </c>
      <c r="J19" s="59" t="s">
        <v>110</v>
      </c>
      <c r="K19" s="99">
        <f>IF(J19="плоская",2022.07,3438.05)</f>
        <v>2022.07</v>
      </c>
      <c r="L19" s="98">
        <v>2179864.48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X19" s="404">
        <f>'Приложение 1'!T16</f>
        <v>4180</v>
      </c>
      <c r="Y19" s="404">
        <f>L19/I19</f>
        <v>2391.9332850527794</v>
      </c>
      <c r="Z19" s="19">
        <f>X19-Y19</f>
        <v>1788.0667149472206</v>
      </c>
    </row>
    <row r="20" spans="1:26" s="233" customFormat="1" ht="9" customHeight="1">
      <c r="A20" s="502">
        <v>2</v>
      </c>
      <c r="B20" s="228" t="s">
        <v>113</v>
      </c>
      <c r="C20" s="228" t="s">
        <v>1005</v>
      </c>
      <c r="D20" s="228"/>
      <c r="E20" s="229">
        <f t="shared" ref="E20:E67" si="2">F20+H20+L20+N20+P20+R20+S20+T20+U20+V20</f>
        <v>1698892.44</v>
      </c>
      <c r="F20" s="229">
        <v>0</v>
      </c>
      <c r="G20" s="230">
        <v>0</v>
      </c>
      <c r="H20" s="229">
        <v>0</v>
      </c>
      <c r="I20" s="234">
        <v>675.65</v>
      </c>
      <c r="J20" s="231" t="s">
        <v>110</v>
      </c>
      <c r="K20" s="227">
        <f t="shared" ref="K20:K60" si="3">IF(J20="плоская",2022.07,3438.05)</f>
        <v>2022.07</v>
      </c>
      <c r="L20" s="229">
        <v>1698892.44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X20" s="498">
        <f>'Приложение 1'!T17</f>
        <v>4180</v>
      </c>
      <c r="Y20" s="498">
        <f>L20/I20</f>
        <v>2514.4563605417006</v>
      </c>
      <c r="Z20" s="234">
        <f t="shared" ref="Z20:Z78" si="4">X20-Y20</f>
        <v>1665.5436394582994</v>
      </c>
    </row>
    <row r="21" spans="1:26" ht="9" customHeight="1">
      <c r="A21" s="502">
        <v>3</v>
      </c>
      <c r="B21" s="39" t="s">
        <v>114</v>
      </c>
      <c r="C21" s="39" t="s">
        <v>1006</v>
      </c>
      <c r="D21" s="39"/>
      <c r="E21" s="98">
        <f t="shared" si="2"/>
        <v>10834027.82</v>
      </c>
      <c r="F21" s="98">
        <v>0</v>
      </c>
      <c r="G21" s="17">
        <v>0</v>
      </c>
      <c r="H21" s="98">
        <v>0</v>
      </c>
      <c r="I21" s="19">
        <v>3870</v>
      </c>
      <c r="J21" s="59" t="s">
        <v>111</v>
      </c>
      <c r="K21" s="99">
        <f t="shared" si="3"/>
        <v>3438.05</v>
      </c>
      <c r="L21" s="98">
        <v>10834027.82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X21" s="404">
        <f>'Приложение 1'!T18</f>
        <v>4503.95</v>
      </c>
      <c r="Y21" s="404">
        <f t="shared" ref="Y21:Y78" si="5">L21/I21</f>
        <v>2799.4903927648579</v>
      </c>
      <c r="Z21" s="19">
        <f t="shared" si="4"/>
        <v>1704.4596072351419</v>
      </c>
    </row>
    <row r="22" spans="1:26" ht="8.25" customHeight="1">
      <c r="A22" s="502">
        <v>4</v>
      </c>
      <c r="B22" s="39" t="s">
        <v>115</v>
      </c>
      <c r="C22" s="39" t="s">
        <v>1005</v>
      </c>
      <c r="D22" s="39"/>
      <c r="E22" s="98">
        <f t="shared" si="2"/>
        <v>2274921.98</v>
      </c>
      <c r="F22" s="98">
        <v>0</v>
      </c>
      <c r="G22" s="17">
        <v>0</v>
      </c>
      <c r="H22" s="98">
        <v>0</v>
      </c>
      <c r="I22" s="19">
        <v>980</v>
      </c>
      <c r="J22" s="88" t="s">
        <v>110</v>
      </c>
      <c r="K22" s="99">
        <f t="shared" si="3"/>
        <v>2022.07</v>
      </c>
      <c r="L22" s="98">
        <v>2274921.98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X22" s="404">
        <f>'Приложение 1'!T19</f>
        <v>4180</v>
      </c>
      <c r="Y22" s="404">
        <f t="shared" si="5"/>
        <v>2321.3489591836733</v>
      </c>
      <c r="Z22" s="19">
        <f t="shared" si="4"/>
        <v>1858.6510408163267</v>
      </c>
    </row>
    <row r="23" spans="1:26" ht="9" customHeight="1">
      <c r="A23" s="502">
        <v>5</v>
      </c>
      <c r="B23" s="39" t="s">
        <v>116</v>
      </c>
      <c r="C23" s="39" t="s">
        <v>1006</v>
      </c>
      <c r="D23" s="39"/>
      <c r="E23" s="98">
        <f t="shared" si="2"/>
        <v>1581030.27</v>
      </c>
      <c r="F23" s="98">
        <v>0</v>
      </c>
      <c r="G23" s="17">
        <v>0</v>
      </c>
      <c r="H23" s="98">
        <v>0</v>
      </c>
      <c r="I23" s="19">
        <v>512</v>
      </c>
      <c r="J23" s="59" t="s">
        <v>111</v>
      </c>
      <c r="K23" s="99">
        <f t="shared" si="3"/>
        <v>3438.05</v>
      </c>
      <c r="L23" s="98">
        <v>1581030.27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X23" s="404">
        <f>'Приложение 1'!T20</f>
        <v>4503.95</v>
      </c>
      <c r="Y23" s="404">
        <f t="shared" si="5"/>
        <v>3087.94974609375</v>
      </c>
      <c r="Z23" s="19">
        <f t="shared" si="4"/>
        <v>1416.0002539062498</v>
      </c>
    </row>
    <row r="24" spans="1:26" ht="9" customHeight="1">
      <c r="A24" s="502">
        <v>6</v>
      </c>
      <c r="B24" s="39" t="s">
        <v>117</v>
      </c>
      <c r="C24" s="39" t="s">
        <v>1005</v>
      </c>
      <c r="D24" s="39"/>
      <c r="E24" s="98">
        <f t="shared" si="2"/>
        <v>1000478.42</v>
      </c>
      <c r="F24" s="98">
        <v>0</v>
      </c>
      <c r="G24" s="17">
        <v>0</v>
      </c>
      <c r="H24" s="98">
        <v>0</v>
      </c>
      <c r="I24" s="19">
        <v>310</v>
      </c>
      <c r="J24" s="59" t="s">
        <v>110</v>
      </c>
      <c r="K24" s="99">
        <f t="shared" si="3"/>
        <v>2022.07</v>
      </c>
      <c r="L24" s="98">
        <v>1000478.42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X24" s="404">
        <f>'Приложение 1'!T21</f>
        <v>4180</v>
      </c>
      <c r="Y24" s="404">
        <f t="shared" si="5"/>
        <v>3227.349741935484</v>
      </c>
      <c r="Z24" s="19">
        <f t="shared" si="4"/>
        <v>952.65025806451604</v>
      </c>
    </row>
    <row r="25" spans="1:26" ht="9" customHeight="1">
      <c r="A25" s="502">
        <v>7</v>
      </c>
      <c r="B25" s="39" t="s">
        <v>118</v>
      </c>
      <c r="C25" s="39" t="s">
        <v>1005</v>
      </c>
      <c r="D25" s="39"/>
      <c r="E25" s="98">
        <f t="shared" si="2"/>
        <v>2934226.36</v>
      </c>
      <c r="F25" s="98">
        <v>0</v>
      </c>
      <c r="G25" s="17">
        <v>0</v>
      </c>
      <c r="H25" s="98">
        <v>0</v>
      </c>
      <c r="I25" s="19">
        <v>1240.8</v>
      </c>
      <c r="J25" s="59" t="s">
        <v>110</v>
      </c>
      <c r="K25" s="99">
        <f t="shared" si="3"/>
        <v>2022.07</v>
      </c>
      <c r="L25" s="98">
        <v>2934226.36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X25" s="404">
        <f>'Приложение 1'!T22</f>
        <v>4180</v>
      </c>
      <c r="Y25" s="404">
        <f t="shared" si="5"/>
        <v>2364.7859123146359</v>
      </c>
      <c r="Z25" s="19">
        <f t="shared" si="4"/>
        <v>1815.2140876853641</v>
      </c>
    </row>
    <row r="26" spans="1:26" ht="9" customHeight="1">
      <c r="A26" s="502">
        <v>8</v>
      </c>
      <c r="B26" s="39" t="s">
        <v>119</v>
      </c>
      <c r="C26" s="39" t="s">
        <v>1005</v>
      </c>
      <c r="D26" s="39"/>
      <c r="E26" s="98">
        <f t="shared" si="2"/>
        <v>2979045.82</v>
      </c>
      <c r="F26" s="98">
        <v>0</v>
      </c>
      <c r="G26" s="17">
        <v>0</v>
      </c>
      <c r="H26" s="98">
        <v>0</v>
      </c>
      <c r="I26" s="19">
        <v>1240.8</v>
      </c>
      <c r="J26" s="88" t="s">
        <v>110</v>
      </c>
      <c r="K26" s="99">
        <f t="shared" si="3"/>
        <v>2022.07</v>
      </c>
      <c r="L26" s="98">
        <v>2979045.82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X26" s="404">
        <f>'Приложение 1'!T23</f>
        <v>4180</v>
      </c>
      <c r="Y26" s="404">
        <f t="shared" si="5"/>
        <v>2400.9073339780784</v>
      </c>
      <c r="Z26" s="19">
        <f t="shared" si="4"/>
        <v>1779.0926660219216</v>
      </c>
    </row>
    <row r="27" spans="1:26" ht="9" customHeight="1">
      <c r="A27" s="502">
        <v>9</v>
      </c>
      <c r="B27" s="39" t="s">
        <v>412</v>
      </c>
      <c r="C27" s="39" t="s">
        <v>1007</v>
      </c>
      <c r="D27" s="39"/>
      <c r="E27" s="98">
        <f t="shared" si="2"/>
        <v>2909823.25</v>
      </c>
      <c r="F27" s="98">
        <v>0</v>
      </c>
      <c r="G27" s="17">
        <v>1</v>
      </c>
      <c r="H27" s="98">
        <v>2909823.25</v>
      </c>
      <c r="I27" s="19">
        <v>0</v>
      </c>
      <c r="J27" s="88"/>
      <c r="K27" s="99"/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X27" s="404">
        <f>'Приложение 1'!T24</f>
        <v>693.96772592526054</v>
      </c>
      <c r="Y27" s="404" t="e">
        <f t="shared" si="5"/>
        <v>#DIV/0!</v>
      </c>
      <c r="Z27" s="19" t="e">
        <f t="shared" si="4"/>
        <v>#DIV/0!</v>
      </c>
    </row>
    <row r="28" spans="1:26" ht="9" customHeight="1">
      <c r="A28" s="502">
        <v>10</v>
      </c>
      <c r="B28" s="39" t="s">
        <v>120</v>
      </c>
      <c r="C28" s="39" t="s">
        <v>1005</v>
      </c>
      <c r="D28" s="39"/>
      <c r="E28" s="98">
        <f t="shared" si="2"/>
        <v>2260048.5099999998</v>
      </c>
      <c r="F28" s="98">
        <v>0</v>
      </c>
      <c r="G28" s="17">
        <v>0</v>
      </c>
      <c r="H28" s="98">
        <v>0</v>
      </c>
      <c r="I28" s="19">
        <v>892.42</v>
      </c>
      <c r="J28" s="59" t="s">
        <v>110</v>
      </c>
      <c r="K28" s="99">
        <f t="shared" si="3"/>
        <v>2022.07</v>
      </c>
      <c r="L28" s="98">
        <v>2260048.5099999998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X28" s="404">
        <f>'Приложение 1'!T25</f>
        <v>4180</v>
      </c>
      <c r="Y28" s="404">
        <f t="shared" si="5"/>
        <v>2532.4942403800901</v>
      </c>
      <c r="Z28" s="19">
        <f t="shared" si="4"/>
        <v>1647.5057596199099</v>
      </c>
    </row>
    <row r="29" spans="1:26" ht="9" customHeight="1">
      <c r="A29" s="502">
        <v>11</v>
      </c>
      <c r="B29" s="39" t="s">
        <v>121</v>
      </c>
      <c r="C29" s="39" t="s">
        <v>1008</v>
      </c>
      <c r="D29" s="39"/>
      <c r="E29" s="98">
        <f>F29+H29+L29+N29+P29+R29+S29+T29+U29+V29</f>
        <v>4502034.7</v>
      </c>
      <c r="F29" s="98">
        <v>4432617.3</v>
      </c>
      <c r="G29" s="17">
        <v>0</v>
      </c>
      <c r="H29" s="98">
        <v>0</v>
      </c>
      <c r="I29" s="98">
        <v>0</v>
      </c>
      <c r="J29" s="59" t="s">
        <v>411</v>
      </c>
      <c r="K29" s="99">
        <f>(190+270+260)*1.045</f>
        <v>752.4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69417.399999999994</v>
      </c>
      <c r="V29" s="98">
        <v>0</v>
      </c>
      <c r="X29" s="404">
        <f>'Приложение 1'!T26</f>
        <v>4984.6499999999996</v>
      </c>
      <c r="Y29" s="404" t="e">
        <f t="shared" si="5"/>
        <v>#DIV/0!</v>
      </c>
      <c r="Z29" s="19" t="e">
        <f t="shared" si="4"/>
        <v>#DIV/0!</v>
      </c>
    </row>
    <row r="30" spans="1:26" ht="9" customHeight="1">
      <c r="A30" s="502">
        <v>12</v>
      </c>
      <c r="B30" s="39" t="s">
        <v>122</v>
      </c>
      <c r="C30" s="39" t="s">
        <v>1006</v>
      </c>
      <c r="D30" s="39"/>
      <c r="E30" s="98">
        <f t="shared" si="2"/>
        <v>838771.23</v>
      </c>
      <c r="F30" s="98">
        <v>0</v>
      </c>
      <c r="G30" s="17">
        <v>0</v>
      </c>
      <c r="H30" s="98">
        <v>0</v>
      </c>
      <c r="I30" s="19">
        <v>262.10000000000002</v>
      </c>
      <c r="J30" s="59" t="s">
        <v>111</v>
      </c>
      <c r="K30" s="99">
        <f t="shared" si="3"/>
        <v>3438.05</v>
      </c>
      <c r="L30" s="98">
        <v>838771.23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X30" s="404">
        <f>'Приложение 1'!T27</f>
        <v>4503.95</v>
      </c>
      <c r="Y30" s="404">
        <f t="shared" si="5"/>
        <v>3200.1954597481872</v>
      </c>
      <c r="Z30" s="19">
        <f t="shared" si="4"/>
        <v>1303.7545402518126</v>
      </c>
    </row>
    <row r="31" spans="1:26" ht="9" customHeight="1">
      <c r="A31" s="502">
        <v>13</v>
      </c>
      <c r="B31" s="39" t="s">
        <v>123</v>
      </c>
      <c r="C31" s="39" t="s">
        <v>1006</v>
      </c>
      <c r="D31" s="39"/>
      <c r="E31" s="98">
        <f t="shared" si="2"/>
        <v>1285344.3999999999</v>
      </c>
      <c r="F31" s="98">
        <v>0</v>
      </c>
      <c r="G31" s="17">
        <v>0</v>
      </c>
      <c r="H31" s="98">
        <v>0</v>
      </c>
      <c r="I31" s="19">
        <v>424.3</v>
      </c>
      <c r="J31" s="59" t="s">
        <v>111</v>
      </c>
      <c r="K31" s="99">
        <f t="shared" si="3"/>
        <v>3438.05</v>
      </c>
      <c r="L31" s="98">
        <v>1285344.3999999999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X31" s="404">
        <f>'Приложение 1'!T28</f>
        <v>4503.95</v>
      </c>
      <c r="Y31" s="404">
        <f t="shared" si="5"/>
        <v>3029.329248173462</v>
      </c>
      <c r="Z31" s="19">
        <f t="shared" si="4"/>
        <v>1474.6207518265378</v>
      </c>
    </row>
    <row r="32" spans="1:26" ht="9" customHeight="1">
      <c r="A32" s="502">
        <v>14</v>
      </c>
      <c r="B32" s="39" t="s">
        <v>124</v>
      </c>
      <c r="C32" s="39" t="s">
        <v>1006</v>
      </c>
      <c r="D32" s="39"/>
      <c r="E32" s="98">
        <f t="shared" si="2"/>
        <v>2759817.8</v>
      </c>
      <c r="F32" s="98">
        <v>0</v>
      </c>
      <c r="G32" s="17">
        <v>0</v>
      </c>
      <c r="H32" s="98">
        <v>0</v>
      </c>
      <c r="I32" s="19">
        <v>738</v>
      </c>
      <c r="J32" s="59" t="s">
        <v>111</v>
      </c>
      <c r="K32" s="99">
        <f t="shared" si="3"/>
        <v>3438.05</v>
      </c>
      <c r="L32" s="98">
        <v>2759817.8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X32" s="404">
        <f>'Приложение 1'!T29</f>
        <v>4503.95</v>
      </c>
      <c r="Y32" s="404">
        <f t="shared" si="5"/>
        <v>3739.5905149051487</v>
      </c>
      <c r="Z32" s="19">
        <f t="shared" si="4"/>
        <v>764.35948509485115</v>
      </c>
    </row>
    <row r="33" spans="1:26" ht="9" customHeight="1">
      <c r="A33" s="502">
        <v>15</v>
      </c>
      <c r="B33" s="39" t="s">
        <v>125</v>
      </c>
      <c r="C33" s="39" t="s">
        <v>1008</v>
      </c>
      <c r="D33" s="39"/>
      <c r="E33" s="98">
        <f t="shared" si="2"/>
        <v>6293754.2000000002</v>
      </c>
      <c r="F33" s="98">
        <v>6220928.8700000001</v>
      </c>
      <c r="G33" s="17">
        <v>0</v>
      </c>
      <c r="H33" s="98">
        <v>0</v>
      </c>
      <c r="I33" s="19">
        <v>0</v>
      </c>
      <c r="J33" s="88" t="s">
        <v>420</v>
      </c>
      <c r="K33" s="99">
        <f>(271.7+198.55+1107.7+209+177.65)*'Приложение 1'!K30</f>
        <v>7434930.4699999997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72825.33</v>
      </c>
      <c r="V33" s="98">
        <v>0</v>
      </c>
      <c r="X33" s="404">
        <f>'Приложение 1'!T30</f>
        <v>4984.6499999999996</v>
      </c>
      <c r="Y33" s="404" t="e">
        <f t="shared" si="5"/>
        <v>#DIV/0!</v>
      </c>
      <c r="Z33" s="19" t="e">
        <f t="shared" si="4"/>
        <v>#DIV/0!</v>
      </c>
    </row>
    <row r="34" spans="1:26" ht="9" customHeight="1">
      <c r="A34" s="502">
        <v>16</v>
      </c>
      <c r="B34" s="39" t="s">
        <v>127</v>
      </c>
      <c r="C34" s="39" t="s">
        <v>1006</v>
      </c>
      <c r="D34" s="39"/>
      <c r="E34" s="98">
        <f t="shared" si="2"/>
        <v>2698512.99</v>
      </c>
      <c r="F34" s="98">
        <v>0</v>
      </c>
      <c r="G34" s="17">
        <v>0</v>
      </c>
      <c r="H34" s="98">
        <v>0</v>
      </c>
      <c r="I34" s="19">
        <v>769</v>
      </c>
      <c r="J34" s="59" t="s">
        <v>111</v>
      </c>
      <c r="K34" s="99">
        <f t="shared" si="3"/>
        <v>3438.05</v>
      </c>
      <c r="L34" s="98">
        <v>2698512.99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X34" s="404">
        <f>'Приложение 1'!T31</f>
        <v>4503.95</v>
      </c>
      <c r="Y34" s="404">
        <f t="shared" si="5"/>
        <v>3509.1196228868662</v>
      </c>
      <c r="Z34" s="19">
        <f t="shared" si="4"/>
        <v>994.83037711313364</v>
      </c>
    </row>
    <row r="35" spans="1:26" ht="9" customHeight="1">
      <c r="A35" s="502">
        <v>17</v>
      </c>
      <c r="B35" s="39" t="s">
        <v>128</v>
      </c>
      <c r="C35" s="39" t="s">
        <v>1006</v>
      </c>
      <c r="D35" s="39"/>
      <c r="E35" s="98">
        <f t="shared" si="2"/>
        <v>1347073.2</v>
      </c>
      <c r="F35" s="98">
        <v>0</v>
      </c>
      <c r="G35" s="17">
        <v>0</v>
      </c>
      <c r="H35" s="98">
        <v>0</v>
      </c>
      <c r="I35" s="19">
        <v>435</v>
      </c>
      <c r="J35" s="59" t="s">
        <v>111</v>
      </c>
      <c r="K35" s="99">
        <f t="shared" si="3"/>
        <v>3438.05</v>
      </c>
      <c r="L35" s="98">
        <v>1347073.2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X35" s="404">
        <f>'Приложение 1'!T32</f>
        <v>4503.95</v>
      </c>
      <c r="Y35" s="404">
        <f t="shared" si="5"/>
        <v>3096.72</v>
      </c>
      <c r="Z35" s="19">
        <f t="shared" si="4"/>
        <v>1407.23</v>
      </c>
    </row>
    <row r="36" spans="1:26" ht="9" customHeight="1">
      <c r="A36" s="502">
        <v>18</v>
      </c>
      <c r="B36" s="39" t="s">
        <v>129</v>
      </c>
      <c r="C36" s="39" t="s">
        <v>1006</v>
      </c>
      <c r="D36" s="39"/>
      <c r="E36" s="98">
        <f t="shared" si="2"/>
        <v>2481689.17</v>
      </c>
      <c r="F36" s="98">
        <v>0</v>
      </c>
      <c r="G36" s="17">
        <v>0</v>
      </c>
      <c r="H36" s="98">
        <v>0</v>
      </c>
      <c r="I36" s="19">
        <v>744</v>
      </c>
      <c r="J36" s="59" t="s">
        <v>111</v>
      </c>
      <c r="K36" s="99">
        <f t="shared" si="3"/>
        <v>3438.05</v>
      </c>
      <c r="L36" s="98">
        <v>2481689.17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X36" s="404">
        <f>'Приложение 1'!T33</f>
        <v>4503.95</v>
      </c>
      <c r="Y36" s="404">
        <f t="shared" si="5"/>
        <v>3335.6037231182795</v>
      </c>
      <c r="Z36" s="19">
        <f t="shared" si="4"/>
        <v>1168.3462768817203</v>
      </c>
    </row>
    <row r="37" spans="1:26" ht="9" customHeight="1">
      <c r="A37" s="502">
        <v>19</v>
      </c>
      <c r="B37" s="39" t="s">
        <v>130</v>
      </c>
      <c r="C37" s="39" t="s">
        <v>1009</v>
      </c>
      <c r="D37" s="39"/>
      <c r="E37" s="98">
        <f t="shared" si="2"/>
        <v>15391428.949999999</v>
      </c>
      <c r="F37" s="98">
        <v>0</v>
      </c>
      <c r="G37" s="17">
        <v>0</v>
      </c>
      <c r="H37" s="98">
        <v>0</v>
      </c>
      <c r="I37" s="19">
        <v>0</v>
      </c>
      <c r="J37" s="59">
        <f>K37*'Приложение 1'!K34</f>
        <v>33135967.699999999</v>
      </c>
      <c r="K37" s="98">
        <f>(200+1060+170+260+190+270)*1.045</f>
        <v>2246.75</v>
      </c>
      <c r="L37" s="98">
        <f>I37*K37</f>
        <v>0</v>
      </c>
      <c r="M37" s="98">
        <v>0</v>
      </c>
      <c r="N37" s="98">
        <v>0</v>
      </c>
      <c r="O37" s="98">
        <v>7475</v>
      </c>
      <c r="P37" s="98">
        <v>15391428.949999999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X37" s="404">
        <f>'Приложение 1'!T34</f>
        <v>2194.5</v>
      </c>
      <c r="Y37" s="404">
        <f>P37/O37</f>
        <v>2059.0540401337794</v>
      </c>
      <c r="Z37" s="19">
        <f t="shared" si="4"/>
        <v>135.44595986622062</v>
      </c>
    </row>
    <row r="38" spans="1:26" ht="9" customHeight="1">
      <c r="A38" s="502">
        <v>20</v>
      </c>
      <c r="B38" s="39" t="s">
        <v>131</v>
      </c>
      <c r="C38" s="39" t="s">
        <v>1006</v>
      </c>
      <c r="D38" s="39"/>
      <c r="E38" s="98">
        <f t="shared" si="2"/>
        <v>1926039.32</v>
      </c>
      <c r="F38" s="98">
        <v>0</v>
      </c>
      <c r="G38" s="17">
        <v>0</v>
      </c>
      <c r="H38" s="98">
        <v>0</v>
      </c>
      <c r="I38" s="19">
        <v>573.24</v>
      </c>
      <c r="J38" s="59" t="s">
        <v>111</v>
      </c>
      <c r="K38" s="99">
        <f t="shared" si="3"/>
        <v>3438.05</v>
      </c>
      <c r="L38" s="98">
        <v>1926039.32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X38" s="404">
        <f>'Приложение 1'!T35</f>
        <v>4503.95</v>
      </c>
      <c r="Y38" s="404">
        <f t="shared" si="5"/>
        <v>3359.9178703509874</v>
      </c>
      <c r="Z38" s="19">
        <f t="shared" si="4"/>
        <v>1144.0321296490124</v>
      </c>
    </row>
    <row r="39" spans="1:26" ht="9" customHeight="1">
      <c r="A39" s="502">
        <v>21</v>
      </c>
      <c r="B39" s="39" t="s">
        <v>132</v>
      </c>
      <c r="C39" s="39" t="s">
        <v>1006</v>
      </c>
      <c r="D39" s="39"/>
      <c r="E39" s="98">
        <f t="shared" si="2"/>
        <v>1947900.92</v>
      </c>
      <c r="F39" s="98">
        <v>0</v>
      </c>
      <c r="G39" s="17">
        <v>0</v>
      </c>
      <c r="H39" s="98">
        <v>0</v>
      </c>
      <c r="I39" s="19">
        <v>593.70000000000005</v>
      </c>
      <c r="J39" s="59" t="s">
        <v>111</v>
      </c>
      <c r="K39" s="99">
        <f t="shared" si="3"/>
        <v>3438.05</v>
      </c>
      <c r="L39" s="98">
        <v>1947900.92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X39" s="404">
        <f>'Приложение 1'!T36</f>
        <v>4503.95</v>
      </c>
      <c r="Y39" s="404">
        <f t="shared" si="5"/>
        <v>3280.9515243388914</v>
      </c>
      <c r="Z39" s="19">
        <f t="shared" si="4"/>
        <v>1222.9984756611084</v>
      </c>
    </row>
    <row r="40" spans="1:26" ht="9" customHeight="1">
      <c r="A40" s="502">
        <v>22</v>
      </c>
      <c r="B40" s="39" t="s">
        <v>133</v>
      </c>
      <c r="C40" s="39" t="s">
        <v>1009</v>
      </c>
      <c r="D40" s="39"/>
      <c r="E40" s="98">
        <f t="shared" si="2"/>
        <v>4092005.44</v>
      </c>
      <c r="F40" s="98">
        <v>0</v>
      </c>
      <c r="G40" s="17">
        <v>0</v>
      </c>
      <c r="H40" s="98">
        <v>0</v>
      </c>
      <c r="I40" s="19">
        <v>0</v>
      </c>
      <c r="J40" s="59"/>
      <c r="K40" s="99">
        <v>0</v>
      </c>
      <c r="L40" s="98">
        <v>0</v>
      </c>
      <c r="M40" s="98">
        <v>0</v>
      </c>
      <c r="N40" s="98">
        <v>0</v>
      </c>
      <c r="O40" s="98">
        <v>1993</v>
      </c>
      <c r="P40" s="98">
        <v>4092005.44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X40" s="404">
        <f>'Приложение 1'!T37</f>
        <v>3929.2</v>
      </c>
      <c r="Y40" s="404">
        <f>P40/O40</f>
        <v>2053.1888810837931</v>
      </c>
      <c r="Z40" s="19">
        <f t="shared" si="4"/>
        <v>1876.0111189162067</v>
      </c>
    </row>
    <row r="41" spans="1:26" ht="9" customHeight="1">
      <c r="A41" s="502">
        <v>23</v>
      </c>
      <c r="B41" s="39" t="s">
        <v>134</v>
      </c>
      <c r="C41" s="39" t="s">
        <v>1005</v>
      </c>
      <c r="D41" s="39"/>
      <c r="E41" s="98">
        <f t="shared" si="2"/>
        <v>3859085.66</v>
      </c>
      <c r="F41" s="98">
        <v>0</v>
      </c>
      <c r="G41" s="17">
        <v>0</v>
      </c>
      <c r="H41" s="98">
        <v>0</v>
      </c>
      <c r="I41" s="19">
        <v>924.3</v>
      </c>
      <c r="J41" s="59" t="s">
        <v>110</v>
      </c>
      <c r="K41" s="99">
        <f t="shared" si="3"/>
        <v>2022.07</v>
      </c>
      <c r="L41" s="98">
        <v>3859085.66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X41" s="404">
        <f>'Приложение 1'!T38</f>
        <v>4180</v>
      </c>
      <c r="Y41" s="404">
        <f t="shared" si="5"/>
        <v>4175.1440657795092</v>
      </c>
      <c r="Z41" s="19">
        <f t="shared" si="4"/>
        <v>4.8559342204907807</v>
      </c>
    </row>
    <row r="42" spans="1:26" ht="9" customHeight="1">
      <c r="A42" s="502">
        <v>24</v>
      </c>
      <c r="B42" s="39" t="s">
        <v>135</v>
      </c>
      <c r="C42" s="39" t="s">
        <v>1006</v>
      </c>
      <c r="D42" s="39"/>
      <c r="E42" s="98">
        <f t="shared" si="2"/>
        <v>2413625.36</v>
      </c>
      <c r="F42" s="98">
        <v>0</v>
      </c>
      <c r="G42" s="17">
        <v>0</v>
      </c>
      <c r="H42" s="98">
        <v>0</v>
      </c>
      <c r="I42" s="19">
        <v>839</v>
      </c>
      <c r="J42" s="59" t="s">
        <v>111</v>
      </c>
      <c r="K42" s="99">
        <f t="shared" si="3"/>
        <v>3438.05</v>
      </c>
      <c r="L42" s="98">
        <v>2413625.36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X42" s="404">
        <f>'Приложение 1'!T39</f>
        <v>4503.95</v>
      </c>
      <c r="Y42" s="404">
        <f t="shared" si="5"/>
        <v>2876.7882717520856</v>
      </c>
      <c r="Z42" s="19">
        <f t="shared" si="4"/>
        <v>1627.1617282479142</v>
      </c>
    </row>
    <row r="43" spans="1:26" ht="9" customHeight="1">
      <c r="A43" s="502">
        <v>25</v>
      </c>
      <c r="B43" s="39" t="s">
        <v>136</v>
      </c>
      <c r="C43" s="39" t="s">
        <v>1006</v>
      </c>
      <c r="D43" s="39"/>
      <c r="E43" s="98">
        <f t="shared" si="2"/>
        <v>1656158.28</v>
      </c>
      <c r="F43" s="98">
        <v>0</v>
      </c>
      <c r="G43" s="17">
        <v>0</v>
      </c>
      <c r="H43" s="98">
        <v>0</v>
      </c>
      <c r="I43" s="19">
        <v>459</v>
      </c>
      <c r="J43" s="59" t="s">
        <v>111</v>
      </c>
      <c r="K43" s="99">
        <f t="shared" si="3"/>
        <v>3438.05</v>
      </c>
      <c r="L43" s="98">
        <v>1656158.28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X43" s="404">
        <f>'Приложение 1'!T40</f>
        <v>4503.95</v>
      </c>
      <c r="Y43" s="404">
        <f t="shared" si="5"/>
        <v>3608.1879738562093</v>
      </c>
      <c r="Z43" s="19">
        <f t="shared" si="4"/>
        <v>895.76202614379054</v>
      </c>
    </row>
    <row r="44" spans="1:26" ht="9" customHeight="1">
      <c r="A44" s="502">
        <v>26</v>
      </c>
      <c r="B44" s="39" t="s">
        <v>137</v>
      </c>
      <c r="C44" s="39" t="s">
        <v>1005</v>
      </c>
      <c r="D44" s="39"/>
      <c r="E44" s="98">
        <f t="shared" si="2"/>
        <v>3253567.42</v>
      </c>
      <c r="F44" s="98">
        <v>0</v>
      </c>
      <c r="G44" s="17">
        <v>0</v>
      </c>
      <c r="H44" s="98">
        <v>0</v>
      </c>
      <c r="I44" s="19">
        <v>931</v>
      </c>
      <c r="J44" s="88" t="s">
        <v>110</v>
      </c>
      <c r="K44" s="99">
        <f t="shared" si="3"/>
        <v>2022.07</v>
      </c>
      <c r="L44" s="98">
        <v>3253567.42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X44" s="404">
        <f>'Приложение 1'!T41</f>
        <v>4180</v>
      </c>
      <c r="Y44" s="404">
        <f t="shared" si="5"/>
        <v>3494.7018474758324</v>
      </c>
      <c r="Z44" s="19">
        <f t="shared" si="4"/>
        <v>685.29815252416756</v>
      </c>
    </row>
    <row r="45" spans="1:26" ht="9" customHeight="1">
      <c r="A45" s="502">
        <v>27</v>
      </c>
      <c r="B45" s="39" t="s">
        <v>138</v>
      </c>
      <c r="C45" s="39" t="s">
        <v>1008</v>
      </c>
      <c r="D45" s="39"/>
      <c r="E45" s="98">
        <f t="shared" si="2"/>
        <v>4482770.3499999996</v>
      </c>
      <c r="F45" s="98">
        <v>4482770.3499999996</v>
      </c>
      <c r="G45" s="17">
        <v>0</v>
      </c>
      <c r="H45" s="98">
        <v>0</v>
      </c>
      <c r="I45" s="19">
        <v>0</v>
      </c>
      <c r="J45" s="88" t="s">
        <v>420</v>
      </c>
      <c r="K45" s="99">
        <f>(271.7+198.55+1107.7+209+177.65)*'Приложение 1'!K42</f>
        <v>5140768.82</v>
      </c>
      <c r="L45" s="98">
        <f>I45*K45</f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X45" s="404">
        <f>'Приложение 1'!T42</f>
        <v>4984.6499999999996</v>
      </c>
      <c r="Y45" s="404" t="e">
        <f t="shared" si="5"/>
        <v>#DIV/0!</v>
      </c>
      <c r="Z45" s="19" t="e">
        <f t="shared" si="4"/>
        <v>#DIV/0!</v>
      </c>
    </row>
    <row r="46" spans="1:26" ht="9" customHeight="1">
      <c r="A46" s="502">
        <v>28</v>
      </c>
      <c r="B46" s="39" t="s">
        <v>139</v>
      </c>
      <c r="C46" s="39" t="s">
        <v>1006</v>
      </c>
      <c r="D46" s="39"/>
      <c r="E46" s="98">
        <f t="shared" si="2"/>
        <v>1282926.6499999999</v>
      </c>
      <c r="F46" s="98">
        <v>0</v>
      </c>
      <c r="G46" s="17">
        <v>0</v>
      </c>
      <c r="H46" s="98">
        <v>0</v>
      </c>
      <c r="I46" s="19">
        <v>386</v>
      </c>
      <c r="J46" s="59" t="s">
        <v>111</v>
      </c>
      <c r="K46" s="99">
        <f t="shared" si="3"/>
        <v>3438.05</v>
      </c>
      <c r="L46" s="98">
        <v>1282926.6499999999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X46" s="404">
        <f>'Приложение 1'!T43</f>
        <v>4503.95</v>
      </c>
      <c r="Y46" s="404">
        <f t="shared" si="5"/>
        <v>3323.6441709844557</v>
      </c>
      <c r="Z46" s="19">
        <f t="shared" si="4"/>
        <v>1180.3058290155441</v>
      </c>
    </row>
    <row r="47" spans="1:26" ht="9" customHeight="1">
      <c r="A47" s="502">
        <v>29</v>
      </c>
      <c r="B47" s="39" t="s">
        <v>140</v>
      </c>
      <c r="C47" s="39" t="s">
        <v>1006</v>
      </c>
      <c r="D47" s="39"/>
      <c r="E47" s="98">
        <f t="shared" si="2"/>
        <v>3296467.75</v>
      </c>
      <c r="F47" s="98">
        <v>0</v>
      </c>
      <c r="G47" s="17">
        <v>0</v>
      </c>
      <c r="H47" s="98">
        <v>0</v>
      </c>
      <c r="I47" s="19">
        <v>995</v>
      </c>
      <c r="J47" s="59" t="s">
        <v>111</v>
      </c>
      <c r="K47" s="99">
        <f t="shared" si="3"/>
        <v>3438.05</v>
      </c>
      <c r="L47" s="98">
        <v>3296467.75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X47" s="404">
        <f>'Приложение 1'!T44</f>
        <v>4503.95</v>
      </c>
      <c r="Y47" s="404">
        <f t="shared" si="5"/>
        <v>3313.0329145728642</v>
      </c>
      <c r="Z47" s="19">
        <f t="shared" si="4"/>
        <v>1190.9170854271356</v>
      </c>
    </row>
    <row r="48" spans="1:26" ht="9" customHeight="1">
      <c r="A48" s="502">
        <v>30</v>
      </c>
      <c r="B48" s="39" t="s">
        <v>141</v>
      </c>
      <c r="C48" s="39" t="s">
        <v>1006</v>
      </c>
      <c r="D48" s="39"/>
      <c r="E48" s="98">
        <f t="shared" si="2"/>
        <v>1843490.35</v>
      </c>
      <c r="F48" s="98">
        <v>0</v>
      </c>
      <c r="G48" s="17">
        <v>0</v>
      </c>
      <c r="H48" s="98">
        <v>0</v>
      </c>
      <c r="I48" s="19">
        <v>508.7</v>
      </c>
      <c r="J48" s="59" t="s">
        <v>111</v>
      </c>
      <c r="K48" s="99">
        <f t="shared" si="3"/>
        <v>3438.05</v>
      </c>
      <c r="L48" s="98">
        <v>1843490.35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X48" s="404">
        <f>'Приложение 1'!T45</f>
        <v>4503.95</v>
      </c>
      <c r="Y48" s="404">
        <f t="shared" si="5"/>
        <v>3623.924415175939</v>
      </c>
      <c r="Z48" s="19">
        <f t="shared" si="4"/>
        <v>880.02558482406084</v>
      </c>
    </row>
    <row r="49" spans="1:26" ht="9" customHeight="1">
      <c r="A49" s="502">
        <v>31</v>
      </c>
      <c r="B49" s="39" t="s">
        <v>142</v>
      </c>
      <c r="C49" s="39" t="s">
        <v>1005</v>
      </c>
      <c r="D49" s="39"/>
      <c r="E49" s="98">
        <f t="shared" si="2"/>
        <v>2613699.2599999998</v>
      </c>
      <c r="F49" s="98">
        <v>0</v>
      </c>
      <c r="G49" s="17">
        <v>0</v>
      </c>
      <c r="H49" s="98">
        <v>0</v>
      </c>
      <c r="I49" s="19">
        <v>634</v>
      </c>
      <c r="J49" s="59" t="s">
        <v>110</v>
      </c>
      <c r="K49" s="99">
        <f t="shared" si="3"/>
        <v>2022.07</v>
      </c>
      <c r="L49" s="98">
        <v>2613699.2599999998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X49" s="404">
        <f>'Приложение 1'!T46</f>
        <v>4180</v>
      </c>
      <c r="Y49" s="404">
        <f t="shared" si="5"/>
        <v>4122.5540378548894</v>
      </c>
      <c r="Z49" s="19">
        <f t="shared" si="4"/>
        <v>57.44596214511057</v>
      </c>
    </row>
    <row r="50" spans="1:26" ht="9" customHeight="1">
      <c r="A50" s="502">
        <v>32</v>
      </c>
      <c r="B50" s="39" t="s">
        <v>143</v>
      </c>
      <c r="C50" s="39" t="s">
        <v>1005</v>
      </c>
      <c r="D50" s="39"/>
      <c r="E50" s="98">
        <f t="shared" si="2"/>
        <v>1411234.78</v>
      </c>
      <c r="F50" s="98">
        <v>0</v>
      </c>
      <c r="G50" s="17">
        <v>0</v>
      </c>
      <c r="H50" s="98">
        <v>0</v>
      </c>
      <c r="I50" s="19">
        <v>463</v>
      </c>
      <c r="J50" s="59" t="s">
        <v>110</v>
      </c>
      <c r="K50" s="99">
        <f t="shared" si="3"/>
        <v>2022.07</v>
      </c>
      <c r="L50" s="98">
        <v>1411234.78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X50" s="404">
        <f>'Приложение 1'!T47</f>
        <v>4180</v>
      </c>
      <c r="Y50" s="404">
        <f t="shared" si="5"/>
        <v>3048.0232829373649</v>
      </c>
      <c r="Z50" s="19">
        <f t="shared" si="4"/>
        <v>1131.9767170626351</v>
      </c>
    </row>
    <row r="51" spans="1:26" ht="9" customHeight="1">
      <c r="A51" s="502">
        <v>33</v>
      </c>
      <c r="B51" s="39" t="s">
        <v>144</v>
      </c>
      <c r="C51" s="39" t="s">
        <v>1005</v>
      </c>
      <c r="D51" s="39"/>
      <c r="E51" s="98">
        <f t="shared" si="2"/>
        <v>2584113.1800000002</v>
      </c>
      <c r="F51" s="98">
        <v>0</v>
      </c>
      <c r="G51" s="17">
        <v>0</v>
      </c>
      <c r="H51" s="98">
        <v>0</v>
      </c>
      <c r="I51" s="19">
        <v>940</v>
      </c>
      <c r="J51" s="59" t="s">
        <v>110</v>
      </c>
      <c r="K51" s="99">
        <f t="shared" si="3"/>
        <v>2022.07</v>
      </c>
      <c r="L51" s="98">
        <v>2584113.1800000002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X51" s="404">
        <f>'Приложение 1'!T48</f>
        <v>4180</v>
      </c>
      <c r="Y51" s="404">
        <f t="shared" si="5"/>
        <v>2749.0565744680853</v>
      </c>
      <c r="Z51" s="19">
        <f t="shared" si="4"/>
        <v>1430.9434255319147</v>
      </c>
    </row>
    <row r="52" spans="1:26" ht="9" customHeight="1">
      <c r="A52" s="502">
        <v>34</v>
      </c>
      <c r="B52" s="39" t="s">
        <v>145</v>
      </c>
      <c r="C52" s="39" t="s">
        <v>1005</v>
      </c>
      <c r="D52" s="39"/>
      <c r="E52" s="98">
        <f t="shared" si="2"/>
        <v>2262899.7500000005</v>
      </c>
      <c r="F52" s="98">
        <v>0</v>
      </c>
      <c r="G52" s="17">
        <v>0</v>
      </c>
      <c r="H52" s="98">
        <v>0</v>
      </c>
      <c r="I52" s="98">
        <v>838</v>
      </c>
      <c r="J52" s="59" t="s">
        <v>110</v>
      </c>
      <c r="K52" s="99">
        <f t="shared" si="3"/>
        <v>2022.07</v>
      </c>
      <c r="L52" s="98">
        <v>2262899.7500000005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X52" s="404">
        <f>'Приложение 1'!T49</f>
        <v>4180</v>
      </c>
      <c r="Y52" s="404">
        <f t="shared" si="5"/>
        <v>2700.3576968973753</v>
      </c>
      <c r="Z52" s="19">
        <f t="shared" si="4"/>
        <v>1479.6423031026247</v>
      </c>
    </row>
    <row r="53" spans="1:26" ht="9" customHeight="1">
      <c r="A53" s="502">
        <v>35</v>
      </c>
      <c r="B53" s="39" t="s">
        <v>146</v>
      </c>
      <c r="C53" s="39" t="s">
        <v>1005</v>
      </c>
      <c r="D53" s="39"/>
      <c r="E53" s="98">
        <f t="shared" si="2"/>
        <v>2950917.31</v>
      </c>
      <c r="F53" s="98">
        <v>0</v>
      </c>
      <c r="G53" s="17">
        <v>0</v>
      </c>
      <c r="H53" s="98">
        <v>0</v>
      </c>
      <c r="I53" s="98">
        <v>898.57</v>
      </c>
      <c r="J53" s="59" t="s">
        <v>110</v>
      </c>
      <c r="K53" s="99">
        <f t="shared" si="3"/>
        <v>2022.07</v>
      </c>
      <c r="L53" s="98">
        <v>2950917.31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X53" s="404">
        <f>'Приложение 1'!T50</f>
        <v>4180</v>
      </c>
      <c r="Y53" s="404">
        <f t="shared" si="5"/>
        <v>3284.0149459697072</v>
      </c>
      <c r="Z53" s="19">
        <f t="shared" si="4"/>
        <v>895.98505403029276</v>
      </c>
    </row>
    <row r="54" spans="1:26" ht="9" customHeight="1">
      <c r="A54" s="502">
        <v>36</v>
      </c>
      <c r="B54" s="39" t="s">
        <v>147</v>
      </c>
      <c r="C54" s="39" t="s">
        <v>1006</v>
      </c>
      <c r="D54" s="39"/>
      <c r="E54" s="98">
        <f t="shared" si="2"/>
        <v>2580263.1800000002</v>
      </c>
      <c r="F54" s="98">
        <v>0</v>
      </c>
      <c r="G54" s="17">
        <v>0</v>
      </c>
      <c r="H54" s="98">
        <v>0</v>
      </c>
      <c r="I54" s="98">
        <v>756.6</v>
      </c>
      <c r="J54" s="59" t="s">
        <v>111</v>
      </c>
      <c r="K54" s="99">
        <f t="shared" si="3"/>
        <v>3438.05</v>
      </c>
      <c r="L54" s="98">
        <v>2580263.1800000002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X54" s="404">
        <f>'Приложение 1'!T51</f>
        <v>4503.95</v>
      </c>
      <c r="Y54" s="404">
        <f t="shared" si="5"/>
        <v>3410.3399154110493</v>
      </c>
      <c r="Z54" s="19">
        <f t="shared" si="4"/>
        <v>1093.6100845889505</v>
      </c>
    </row>
    <row r="55" spans="1:26" s="233" customFormat="1" ht="9" customHeight="1">
      <c r="A55" s="502">
        <v>37</v>
      </c>
      <c r="B55" s="228" t="s">
        <v>148</v>
      </c>
      <c r="C55" s="228" t="s">
        <v>1005</v>
      </c>
      <c r="D55" s="228"/>
      <c r="E55" s="229">
        <f t="shared" si="2"/>
        <v>1775203.61</v>
      </c>
      <c r="F55" s="229">
        <v>0</v>
      </c>
      <c r="G55" s="230">
        <v>0</v>
      </c>
      <c r="H55" s="229">
        <v>0</v>
      </c>
      <c r="I55" s="229">
        <v>852</v>
      </c>
      <c r="J55" s="231" t="s">
        <v>110</v>
      </c>
      <c r="K55" s="227">
        <f t="shared" si="3"/>
        <v>2022.07</v>
      </c>
      <c r="L55" s="229">
        <v>1775203.61</v>
      </c>
      <c r="M55" s="229">
        <v>0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29">
        <v>0</v>
      </c>
      <c r="T55" s="229">
        <v>0</v>
      </c>
      <c r="U55" s="229">
        <v>0</v>
      </c>
      <c r="V55" s="229">
        <v>0</v>
      </c>
      <c r="X55" s="498">
        <f>'Приложение 1'!T52</f>
        <v>4180</v>
      </c>
      <c r="Y55" s="498">
        <f t="shared" si="5"/>
        <v>2083.5723122065729</v>
      </c>
      <c r="Z55" s="234">
        <f t="shared" si="4"/>
        <v>2096.4276877934271</v>
      </c>
    </row>
    <row r="56" spans="1:26" ht="9" customHeight="1">
      <c r="A56" s="502">
        <v>38</v>
      </c>
      <c r="B56" s="39" t="s">
        <v>149</v>
      </c>
      <c r="C56" s="39" t="s">
        <v>1006</v>
      </c>
      <c r="D56" s="39"/>
      <c r="E56" s="98">
        <f t="shared" si="2"/>
        <v>3629959.63</v>
      </c>
      <c r="F56" s="98">
        <v>0</v>
      </c>
      <c r="G56" s="17">
        <v>0</v>
      </c>
      <c r="H56" s="98">
        <v>0</v>
      </c>
      <c r="I56" s="98">
        <v>1057.5</v>
      </c>
      <c r="J56" s="59" t="s">
        <v>111</v>
      </c>
      <c r="K56" s="99">
        <f t="shared" si="3"/>
        <v>3438.05</v>
      </c>
      <c r="L56" s="98">
        <v>3629959.63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X56" s="404">
        <f>'Приложение 1'!T53</f>
        <v>4503.95</v>
      </c>
      <c r="Y56" s="404">
        <f t="shared" si="5"/>
        <v>3432.5859385342787</v>
      </c>
      <c r="Z56" s="19">
        <f t="shared" si="4"/>
        <v>1071.3640614657211</v>
      </c>
    </row>
    <row r="57" spans="1:26" ht="9" customHeight="1">
      <c r="A57" s="502">
        <v>39</v>
      </c>
      <c r="B57" s="39" t="s">
        <v>211</v>
      </c>
      <c r="C57" s="39" t="s">
        <v>1005</v>
      </c>
      <c r="D57" s="39"/>
      <c r="E57" s="98">
        <f t="shared" si="2"/>
        <v>2902118.73</v>
      </c>
      <c r="F57" s="98">
        <v>0</v>
      </c>
      <c r="G57" s="17">
        <v>0</v>
      </c>
      <c r="H57" s="98">
        <v>0</v>
      </c>
      <c r="I57" s="98">
        <v>954</v>
      </c>
      <c r="J57" s="59" t="s">
        <v>111</v>
      </c>
      <c r="K57" s="99">
        <f t="shared" si="3"/>
        <v>3438.05</v>
      </c>
      <c r="L57" s="98">
        <v>2902118.73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X57" s="404">
        <f>'Приложение 1'!T54</f>
        <v>4180</v>
      </c>
      <c r="Y57" s="404">
        <f t="shared" si="5"/>
        <v>3042.0531761006291</v>
      </c>
      <c r="Z57" s="19">
        <f t="shared" si="4"/>
        <v>1137.9468238993709</v>
      </c>
    </row>
    <row r="58" spans="1:26" ht="9" customHeight="1">
      <c r="A58" s="502">
        <v>40</v>
      </c>
      <c r="B58" s="39" t="s">
        <v>150</v>
      </c>
      <c r="C58" s="39" t="s">
        <v>1005</v>
      </c>
      <c r="D58" s="39"/>
      <c r="E58" s="98">
        <f t="shared" si="2"/>
        <v>4897921.6100000003</v>
      </c>
      <c r="F58" s="98">
        <v>0</v>
      </c>
      <c r="G58" s="17">
        <v>0</v>
      </c>
      <c r="H58" s="98">
        <v>0</v>
      </c>
      <c r="I58" s="98">
        <v>1651.7</v>
      </c>
      <c r="J58" s="59" t="s">
        <v>110</v>
      </c>
      <c r="K58" s="99">
        <f t="shared" si="3"/>
        <v>2022.07</v>
      </c>
      <c r="L58" s="98">
        <v>4897921.6100000003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X58" s="404">
        <f>'Приложение 1'!T55</f>
        <v>4180</v>
      </c>
      <c r="Y58" s="404">
        <f t="shared" si="5"/>
        <v>2965.3820972331537</v>
      </c>
      <c r="Z58" s="19">
        <f t="shared" si="4"/>
        <v>1214.6179027668463</v>
      </c>
    </row>
    <row r="59" spans="1:26" ht="9" customHeight="1">
      <c r="A59" s="502">
        <v>41</v>
      </c>
      <c r="B59" s="39" t="s">
        <v>212</v>
      </c>
      <c r="C59" s="39" t="s">
        <v>1005</v>
      </c>
      <c r="D59" s="39"/>
      <c r="E59" s="98">
        <f t="shared" si="2"/>
        <v>2307087.5499999998</v>
      </c>
      <c r="F59" s="98">
        <v>0</v>
      </c>
      <c r="G59" s="17">
        <v>0</v>
      </c>
      <c r="H59" s="98">
        <v>0</v>
      </c>
      <c r="I59" s="98">
        <v>929.4</v>
      </c>
      <c r="J59" s="89" t="s">
        <v>110</v>
      </c>
      <c r="K59" s="99">
        <f t="shared" si="3"/>
        <v>2022.07</v>
      </c>
      <c r="L59" s="98">
        <v>2307087.5499999998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X59" s="404">
        <f>'Приложение 1'!T56</f>
        <v>4180</v>
      </c>
      <c r="Y59" s="404">
        <f t="shared" si="5"/>
        <v>2482.3408112760922</v>
      </c>
      <c r="Z59" s="19">
        <f t="shared" si="4"/>
        <v>1697.6591887239078</v>
      </c>
    </row>
    <row r="60" spans="1:26" ht="9" customHeight="1">
      <c r="A60" s="502">
        <v>42</v>
      </c>
      <c r="B60" s="39" t="s">
        <v>151</v>
      </c>
      <c r="C60" s="39" t="s">
        <v>1005</v>
      </c>
      <c r="D60" s="39"/>
      <c r="E60" s="98">
        <f t="shared" si="2"/>
        <v>5834564.6200000001</v>
      </c>
      <c r="F60" s="98">
        <v>0</v>
      </c>
      <c r="G60" s="17">
        <v>0</v>
      </c>
      <c r="H60" s="98">
        <v>0</v>
      </c>
      <c r="I60" s="98">
        <v>1701</v>
      </c>
      <c r="J60" s="59" t="s">
        <v>110</v>
      </c>
      <c r="K60" s="99">
        <f t="shared" si="3"/>
        <v>2022.07</v>
      </c>
      <c r="L60" s="98">
        <v>5834564.6200000001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X60" s="404">
        <f>'Приложение 1'!T57</f>
        <v>4180</v>
      </c>
      <c r="Y60" s="404">
        <f t="shared" si="5"/>
        <v>3430.079141681364</v>
      </c>
      <c r="Z60" s="19">
        <f t="shared" si="4"/>
        <v>749.92085831863596</v>
      </c>
    </row>
    <row r="61" spans="1:26" ht="9" customHeight="1">
      <c r="A61" s="502">
        <v>43</v>
      </c>
      <c r="B61" s="39" t="s">
        <v>213</v>
      </c>
      <c r="C61" s="39" t="s">
        <v>1005</v>
      </c>
      <c r="D61" s="39"/>
      <c r="E61" s="98">
        <f t="shared" si="2"/>
        <v>4239724.47</v>
      </c>
      <c r="F61" s="98">
        <v>0</v>
      </c>
      <c r="G61" s="17">
        <v>0</v>
      </c>
      <c r="H61" s="98">
        <v>0</v>
      </c>
      <c r="I61" s="98">
        <v>1361</v>
      </c>
      <c r="J61" s="89" t="s">
        <v>110</v>
      </c>
      <c r="K61" s="99">
        <f t="shared" ref="K61:K117" si="6">IF(J61="плоская",2022.07,3438.05)</f>
        <v>2022.07</v>
      </c>
      <c r="L61" s="98">
        <v>4239724.47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X61" s="404">
        <f>'Приложение 1'!T58</f>
        <v>4503.95</v>
      </c>
      <c r="Y61" s="404">
        <f t="shared" si="5"/>
        <v>3115.1539088905215</v>
      </c>
      <c r="Z61" s="19">
        <f t="shared" si="4"/>
        <v>1388.7960911094783</v>
      </c>
    </row>
    <row r="62" spans="1:26" ht="9" customHeight="1">
      <c r="A62" s="502">
        <v>44</v>
      </c>
      <c r="B62" s="39" t="s">
        <v>214</v>
      </c>
      <c r="C62" s="39" t="s">
        <v>1006</v>
      </c>
      <c r="D62" s="39"/>
      <c r="E62" s="98">
        <f t="shared" si="2"/>
        <v>2533048.6500000004</v>
      </c>
      <c r="F62" s="98">
        <v>0</v>
      </c>
      <c r="G62" s="17">
        <v>0</v>
      </c>
      <c r="H62" s="98">
        <v>0</v>
      </c>
      <c r="I62" s="98">
        <v>702.6</v>
      </c>
      <c r="J62" s="89" t="s">
        <v>111</v>
      </c>
      <c r="K62" s="99">
        <f t="shared" si="6"/>
        <v>3438.05</v>
      </c>
      <c r="L62" s="98">
        <v>2533048.6500000004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X62" s="404">
        <f>'Приложение 1'!T59</f>
        <v>4503.95</v>
      </c>
      <c r="Y62" s="404">
        <f t="shared" si="5"/>
        <v>3605.2500000000005</v>
      </c>
      <c r="Z62" s="19">
        <f t="shared" si="4"/>
        <v>898.69999999999936</v>
      </c>
    </row>
    <row r="63" spans="1:26" ht="9" customHeight="1">
      <c r="A63" s="502">
        <v>45</v>
      </c>
      <c r="B63" s="39" t="s">
        <v>215</v>
      </c>
      <c r="C63" s="39" t="s">
        <v>1005</v>
      </c>
      <c r="D63" s="39"/>
      <c r="E63" s="98">
        <f t="shared" si="2"/>
        <v>1862776.16</v>
      </c>
      <c r="F63" s="98">
        <v>0</v>
      </c>
      <c r="G63" s="17">
        <v>0</v>
      </c>
      <c r="H63" s="98">
        <v>0</v>
      </c>
      <c r="I63" s="98">
        <v>924</v>
      </c>
      <c r="J63" s="89" t="s">
        <v>110</v>
      </c>
      <c r="K63" s="99">
        <f t="shared" si="6"/>
        <v>2022.07</v>
      </c>
      <c r="L63" s="98">
        <v>1862776.16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X63" s="404">
        <f>'Приложение 1'!T60</f>
        <v>4180</v>
      </c>
      <c r="Y63" s="404">
        <f t="shared" si="5"/>
        <v>2015.9915151515152</v>
      </c>
      <c r="Z63" s="19">
        <f t="shared" si="4"/>
        <v>2164.0084848484848</v>
      </c>
    </row>
    <row r="64" spans="1:26" s="233" customFormat="1" ht="9" customHeight="1">
      <c r="A64" s="502">
        <v>46</v>
      </c>
      <c r="B64" s="228" t="s">
        <v>152</v>
      </c>
      <c r="C64" s="228" t="s">
        <v>1005</v>
      </c>
      <c r="D64" s="228"/>
      <c r="E64" s="229">
        <f t="shared" si="2"/>
        <v>1857863.91</v>
      </c>
      <c r="F64" s="229">
        <v>0</v>
      </c>
      <c r="G64" s="230">
        <v>0</v>
      </c>
      <c r="H64" s="229">
        <v>0</v>
      </c>
      <c r="I64" s="229">
        <v>791.5</v>
      </c>
      <c r="J64" s="231" t="s">
        <v>110</v>
      </c>
      <c r="K64" s="227">
        <f t="shared" si="6"/>
        <v>2022.07</v>
      </c>
      <c r="L64" s="229">
        <v>1857863.91</v>
      </c>
      <c r="M64" s="229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9">
        <v>0</v>
      </c>
      <c r="T64" s="229">
        <v>0</v>
      </c>
      <c r="U64" s="229">
        <v>0</v>
      </c>
      <c r="V64" s="229">
        <v>0</v>
      </c>
      <c r="X64" s="498">
        <f>'Приложение 1'!T61</f>
        <v>4180</v>
      </c>
      <c r="Y64" s="498">
        <f t="shared" si="5"/>
        <v>2347.2696272899557</v>
      </c>
      <c r="Z64" s="234">
        <f t="shared" si="4"/>
        <v>1832.7303727100443</v>
      </c>
    </row>
    <row r="65" spans="1:26" ht="9" customHeight="1">
      <c r="A65" s="502">
        <v>47</v>
      </c>
      <c r="B65" s="39" t="s">
        <v>153</v>
      </c>
      <c r="C65" s="39" t="s">
        <v>1006</v>
      </c>
      <c r="D65" s="39"/>
      <c r="E65" s="98">
        <f t="shared" si="2"/>
        <v>2472473.6999999997</v>
      </c>
      <c r="F65" s="98">
        <v>0</v>
      </c>
      <c r="G65" s="17">
        <v>0</v>
      </c>
      <c r="H65" s="98">
        <v>0</v>
      </c>
      <c r="I65" s="98">
        <v>718.4</v>
      </c>
      <c r="J65" s="59" t="s">
        <v>111</v>
      </c>
      <c r="K65" s="99">
        <f t="shared" si="6"/>
        <v>3438.05</v>
      </c>
      <c r="L65" s="98">
        <v>2472473.6999999997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X65" s="404">
        <f>'Приложение 1'!T62</f>
        <v>4503.95</v>
      </c>
      <c r="Y65" s="404">
        <f t="shared" si="5"/>
        <v>3441.6393374164809</v>
      </c>
      <c r="Z65" s="19">
        <f t="shared" si="4"/>
        <v>1062.3106625835189</v>
      </c>
    </row>
    <row r="66" spans="1:26" ht="9" customHeight="1">
      <c r="A66" s="502">
        <v>48</v>
      </c>
      <c r="B66" s="39" t="s">
        <v>154</v>
      </c>
      <c r="C66" s="39" t="s">
        <v>1006</v>
      </c>
      <c r="D66" s="39"/>
      <c r="E66" s="98">
        <f t="shared" si="2"/>
        <v>1918291.93</v>
      </c>
      <c r="F66" s="98">
        <v>0</v>
      </c>
      <c r="G66" s="17">
        <v>0</v>
      </c>
      <c r="H66" s="98">
        <v>0</v>
      </c>
      <c r="I66" s="98">
        <v>538</v>
      </c>
      <c r="J66" s="59" t="s">
        <v>111</v>
      </c>
      <c r="K66" s="99">
        <f t="shared" si="6"/>
        <v>3438.05</v>
      </c>
      <c r="L66" s="98">
        <v>1918291.93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X66" s="404">
        <f>'Приложение 1'!T63</f>
        <v>4503.95</v>
      </c>
      <c r="Y66" s="404">
        <f t="shared" si="5"/>
        <v>3565.5983828996282</v>
      </c>
      <c r="Z66" s="19">
        <f t="shared" si="4"/>
        <v>938.35161710037164</v>
      </c>
    </row>
    <row r="67" spans="1:26" ht="9" customHeight="1">
      <c r="A67" s="502">
        <v>49</v>
      </c>
      <c r="B67" s="39" t="s">
        <v>155</v>
      </c>
      <c r="C67" s="39" t="s">
        <v>1005</v>
      </c>
      <c r="D67" s="39"/>
      <c r="E67" s="98">
        <f t="shared" si="2"/>
        <v>6235033.6500000004</v>
      </c>
      <c r="F67" s="98">
        <v>0</v>
      </c>
      <c r="G67" s="17">
        <v>0</v>
      </c>
      <c r="H67" s="98">
        <v>0</v>
      </c>
      <c r="I67" s="98">
        <v>1852</v>
      </c>
      <c r="J67" s="59" t="s">
        <v>110</v>
      </c>
      <c r="K67" s="99">
        <f t="shared" si="6"/>
        <v>2022.07</v>
      </c>
      <c r="L67" s="98">
        <v>6235033.6500000004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X67" s="404">
        <f>'Приложение 1'!T64</f>
        <v>4180</v>
      </c>
      <c r="Y67" s="404">
        <f t="shared" si="5"/>
        <v>3366.6488390928725</v>
      </c>
      <c r="Z67" s="19">
        <f t="shared" si="4"/>
        <v>813.35116090712745</v>
      </c>
    </row>
    <row r="68" spans="1:26" ht="9" customHeight="1">
      <c r="A68" s="502">
        <v>50</v>
      </c>
      <c r="B68" s="39" t="s">
        <v>156</v>
      </c>
      <c r="C68" s="39" t="s">
        <v>1005</v>
      </c>
      <c r="D68" s="39"/>
      <c r="E68" s="98">
        <f t="shared" ref="E68:E124" si="7">F68+H68+L68+N68+P68+R68+S68+T68+U68+V68</f>
        <v>4586954.66</v>
      </c>
      <c r="F68" s="98">
        <v>0</v>
      </c>
      <c r="G68" s="17">
        <v>0</v>
      </c>
      <c r="H68" s="98">
        <v>0</v>
      </c>
      <c r="I68" s="98">
        <v>1240</v>
      </c>
      <c r="J68" s="59" t="s">
        <v>110</v>
      </c>
      <c r="K68" s="99">
        <f t="shared" si="6"/>
        <v>2022.07</v>
      </c>
      <c r="L68" s="98">
        <v>4586954.66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X68" s="404">
        <f>'Приложение 1'!T65</f>
        <v>4180</v>
      </c>
      <c r="Y68" s="404">
        <f t="shared" si="5"/>
        <v>3699.1569838709679</v>
      </c>
      <c r="Z68" s="19">
        <f t="shared" si="4"/>
        <v>480.84301612903209</v>
      </c>
    </row>
    <row r="69" spans="1:26" ht="9" customHeight="1">
      <c r="A69" s="502">
        <v>51</v>
      </c>
      <c r="B69" s="39" t="s">
        <v>157</v>
      </c>
      <c r="C69" s="39" t="s">
        <v>1005</v>
      </c>
      <c r="D69" s="39"/>
      <c r="E69" s="98">
        <f t="shared" si="7"/>
        <v>2976904.46</v>
      </c>
      <c r="F69" s="98">
        <v>0</v>
      </c>
      <c r="G69" s="17">
        <v>0</v>
      </c>
      <c r="H69" s="98">
        <v>0</v>
      </c>
      <c r="I69" s="98">
        <v>862.97</v>
      </c>
      <c r="J69" s="59" t="s">
        <v>110</v>
      </c>
      <c r="K69" s="99">
        <f t="shared" si="6"/>
        <v>2022.07</v>
      </c>
      <c r="L69" s="98">
        <v>2976904.46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X69" s="404">
        <f>'Приложение 1'!T66</f>
        <v>4180</v>
      </c>
      <c r="Y69" s="404">
        <f t="shared" si="5"/>
        <v>3449.603647867249</v>
      </c>
      <c r="Z69" s="19">
        <f t="shared" si="4"/>
        <v>730.39635213275096</v>
      </c>
    </row>
    <row r="70" spans="1:26" ht="9" customHeight="1">
      <c r="A70" s="502">
        <v>52</v>
      </c>
      <c r="B70" s="39" t="s">
        <v>158</v>
      </c>
      <c r="C70" s="39" t="s">
        <v>1005</v>
      </c>
      <c r="D70" s="39"/>
      <c r="E70" s="98">
        <f t="shared" si="7"/>
        <v>1204026.3600000001</v>
      </c>
      <c r="F70" s="98">
        <v>0</v>
      </c>
      <c r="G70" s="17">
        <v>0</v>
      </c>
      <c r="H70" s="98">
        <v>0</v>
      </c>
      <c r="I70" s="98">
        <v>497</v>
      </c>
      <c r="J70" s="59" t="s">
        <v>110</v>
      </c>
      <c r="K70" s="99">
        <f t="shared" si="6"/>
        <v>2022.07</v>
      </c>
      <c r="L70" s="98">
        <v>1204026.3600000001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  <c r="U70" s="98">
        <v>0</v>
      </c>
      <c r="V70" s="98">
        <v>0</v>
      </c>
      <c r="X70" s="404">
        <f>'Приложение 1'!T67</f>
        <v>4180</v>
      </c>
      <c r="Y70" s="404">
        <f t="shared" si="5"/>
        <v>2422.5882494969819</v>
      </c>
      <c r="Z70" s="19">
        <f t="shared" si="4"/>
        <v>1757.4117505030181</v>
      </c>
    </row>
    <row r="71" spans="1:26" ht="9" customHeight="1">
      <c r="A71" s="502">
        <v>53</v>
      </c>
      <c r="B71" s="39" t="s">
        <v>159</v>
      </c>
      <c r="C71" s="39" t="s">
        <v>1006</v>
      </c>
      <c r="D71" s="39"/>
      <c r="E71" s="98">
        <f t="shared" si="7"/>
        <v>1830945.57</v>
      </c>
      <c r="F71" s="98">
        <v>0</v>
      </c>
      <c r="G71" s="17">
        <v>0</v>
      </c>
      <c r="H71" s="98">
        <v>0</v>
      </c>
      <c r="I71" s="98">
        <v>530.5</v>
      </c>
      <c r="J71" s="59" t="s">
        <v>111</v>
      </c>
      <c r="K71" s="99">
        <f t="shared" si="6"/>
        <v>3438.05</v>
      </c>
      <c r="L71" s="98">
        <v>1830945.57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X71" s="404">
        <f>'Приложение 1'!T68</f>
        <v>4503.95</v>
      </c>
      <c r="Y71" s="404">
        <f t="shared" si="5"/>
        <v>3451.3582846371351</v>
      </c>
      <c r="Z71" s="19">
        <f t="shared" si="4"/>
        <v>1052.5917153628648</v>
      </c>
    </row>
    <row r="72" spans="1:26" ht="9" customHeight="1">
      <c r="A72" s="502">
        <v>54</v>
      </c>
      <c r="B72" s="39" t="s">
        <v>160</v>
      </c>
      <c r="C72" s="39" t="s">
        <v>1005</v>
      </c>
      <c r="D72" s="39"/>
      <c r="E72" s="98">
        <f t="shared" si="7"/>
        <v>1200062.53</v>
      </c>
      <c r="F72" s="98">
        <v>0</v>
      </c>
      <c r="G72" s="17">
        <v>0</v>
      </c>
      <c r="H72" s="98">
        <v>0</v>
      </c>
      <c r="I72" s="98">
        <v>439</v>
      </c>
      <c r="J72" s="59" t="s">
        <v>110</v>
      </c>
      <c r="K72" s="99">
        <f t="shared" si="6"/>
        <v>2022.07</v>
      </c>
      <c r="L72" s="98">
        <v>1200062.53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X72" s="404">
        <f>'Приложение 1'!T69</f>
        <v>4180</v>
      </c>
      <c r="Y72" s="404">
        <f t="shared" si="5"/>
        <v>2733.6276309794989</v>
      </c>
      <c r="Z72" s="19">
        <f t="shared" si="4"/>
        <v>1446.3723690205011</v>
      </c>
    </row>
    <row r="73" spans="1:26" ht="9" customHeight="1">
      <c r="A73" s="502">
        <v>55</v>
      </c>
      <c r="B73" s="39" t="s">
        <v>161</v>
      </c>
      <c r="C73" s="39" t="s">
        <v>1005</v>
      </c>
      <c r="D73" s="39"/>
      <c r="E73" s="98">
        <f t="shared" si="7"/>
        <v>3061197.6</v>
      </c>
      <c r="F73" s="98">
        <v>0</v>
      </c>
      <c r="G73" s="17">
        <v>0</v>
      </c>
      <c r="H73" s="98">
        <v>0</v>
      </c>
      <c r="I73" s="98">
        <v>1265</v>
      </c>
      <c r="J73" s="59" t="s">
        <v>110</v>
      </c>
      <c r="K73" s="99">
        <f t="shared" si="6"/>
        <v>2022.07</v>
      </c>
      <c r="L73" s="98">
        <v>3061197.6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X73" s="404">
        <f>'Приложение 1'!T70</f>
        <v>4180</v>
      </c>
      <c r="Y73" s="404">
        <f t="shared" si="5"/>
        <v>2419.9190513833992</v>
      </c>
      <c r="Z73" s="19">
        <f t="shared" si="4"/>
        <v>1760.0809486166008</v>
      </c>
    </row>
    <row r="74" spans="1:26" ht="9" customHeight="1">
      <c r="A74" s="502">
        <v>56</v>
      </c>
      <c r="B74" s="39" t="s">
        <v>162</v>
      </c>
      <c r="C74" s="39" t="s">
        <v>1005</v>
      </c>
      <c r="D74" s="39"/>
      <c r="E74" s="98">
        <f>F74+H74+L74+N74+P74+R74+S74+T74+U74+V74</f>
        <v>2504137.98</v>
      </c>
      <c r="F74" s="98">
        <v>2504137.98</v>
      </c>
      <c r="G74" s="17">
        <v>0</v>
      </c>
      <c r="H74" s="98">
        <v>0</v>
      </c>
      <c r="I74" s="98">
        <v>0</v>
      </c>
      <c r="J74" s="59" t="s">
        <v>110</v>
      </c>
      <c r="K74" s="99">
        <f t="shared" si="6"/>
        <v>2022.07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X74" s="404">
        <f>'Приложение 1'!T71</f>
        <v>5307.56</v>
      </c>
      <c r="Y74" s="404" t="e">
        <f t="shared" si="5"/>
        <v>#DIV/0!</v>
      </c>
      <c r="Z74" s="19" t="e">
        <f t="shared" si="4"/>
        <v>#DIV/0!</v>
      </c>
    </row>
    <row r="75" spans="1:26" s="233" customFormat="1" ht="9" customHeight="1">
      <c r="A75" s="502">
        <v>57</v>
      </c>
      <c r="B75" s="228" t="s">
        <v>419</v>
      </c>
      <c r="C75" s="228" t="s">
        <v>1005</v>
      </c>
      <c r="D75" s="228"/>
      <c r="E75" s="229">
        <f t="shared" si="7"/>
        <v>2624889.88</v>
      </c>
      <c r="F75" s="229">
        <v>0</v>
      </c>
      <c r="G75" s="230">
        <v>0</v>
      </c>
      <c r="H75" s="229">
        <v>0</v>
      </c>
      <c r="I75" s="229">
        <v>970.42</v>
      </c>
      <c r="J75" s="231" t="s">
        <v>110</v>
      </c>
      <c r="K75" s="232">
        <f>3672155+13230.35+39414.15</f>
        <v>3724799.5</v>
      </c>
      <c r="L75" s="229">
        <v>2624889.88</v>
      </c>
      <c r="M75" s="229">
        <v>0</v>
      </c>
      <c r="N75" s="229">
        <v>0</v>
      </c>
      <c r="O75" s="229">
        <v>0</v>
      </c>
      <c r="P75" s="229">
        <v>0</v>
      </c>
      <c r="Q75" s="229">
        <v>0</v>
      </c>
      <c r="R75" s="229">
        <v>0</v>
      </c>
      <c r="S75" s="229">
        <v>0</v>
      </c>
      <c r="T75" s="229">
        <v>0</v>
      </c>
      <c r="U75" s="229">
        <v>0</v>
      </c>
      <c r="V75" s="229">
        <v>0</v>
      </c>
      <c r="X75" s="498">
        <f>'Приложение 1'!T72</f>
        <v>4180</v>
      </c>
      <c r="Y75" s="498">
        <f t="shared" si="5"/>
        <v>2704.9008470559138</v>
      </c>
      <c r="Z75" s="234">
        <f t="shared" si="4"/>
        <v>1475.0991529440862</v>
      </c>
    </row>
    <row r="76" spans="1:26" s="233" customFormat="1" ht="9" customHeight="1">
      <c r="A76" s="502">
        <v>58</v>
      </c>
      <c r="B76" s="228" t="s">
        <v>418</v>
      </c>
      <c r="C76" s="228" t="s">
        <v>1005</v>
      </c>
      <c r="D76" s="228"/>
      <c r="E76" s="229">
        <f t="shared" si="7"/>
        <v>2747312.93</v>
      </c>
      <c r="F76" s="229">
        <v>0</v>
      </c>
      <c r="G76" s="230">
        <v>0</v>
      </c>
      <c r="H76" s="229">
        <v>0</v>
      </c>
      <c r="I76" s="229">
        <v>969.03</v>
      </c>
      <c r="J76" s="231" t="s">
        <v>110</v>
      </c>
      <c r="K76" s="232">
        <f>3672155+13039.4+39414.15</f>
        <v>3724608.55</v>
      </c>
      <c r="L76" s="229">
        <v>2747312.93</v>
      </c>
      <c r="M76" s="229">
        <v>0</v>
      </c>
      <c r="N76" s="229">
        <v>0</v>
      </c>
      <c r="O76" s="229">
        <v>0</v>
      </c>
      <c r="P76" s="229">
        <v>0</v>
      </c>
      <c r="Q76" s="229">
        <v>0</v>
      </c>
      <c r="R76" s="229">
        <v>0</v>
      </c>
      <c r="S76" s="229">
        <v>0</v>
      </c>
      <c r="T76" s="229">
        <v>0</v>
      </c>
      <c r="U76" s="229">
        <v>0</v>
      </c>
      <c r="V76" s="229">
        <v>0</v>
      </c>
      <c r="X76" s="498">
        <f>'Приложение 1'!T73</f>
        <v>4180</v>
      </c>
      <c r="Y76" s="498">
        <f t="shared" si="5"/>
        <v>2835.1164876216426</v>
      </c>
      <c r="Z76" s="234">
        <f t="shared" si="4"/>
        <v>1344.8835123783574</v>
      </c>
    </row>
    <row r="77" spans="1:26" ht="9" customHeight="1">
      <c r="A77" s="502">
        <v>59</v>
      </c>
      <c r="B77" s="39" t="s">
        <v>417</v>
      </c>
      <c r="C77" s="39" t="s">
        <v>1005</v>
      </c>
      <c r="D77" s="39"/>
      <c r="E77" s="98">
        <f t="shared" si="7"/>
        <v>2607514.44</v>
      </c>
      <c r="F77" s="98">
        <v>0</v>
      </c>
      <c r="G77" s="17">
        <v>0</v>
      </c>
      <c r="H77" s="98">
        <v>0</v>
      </c>
      <c r="I77" s="98">
        <v>965</v>
      </c>
      <c r="J77" s="59" t="s">
        <v>110</v>
      </c>
      <c r="K77" s="56">
        <f>3630307+13284.91+39414.15</f>
        <v>3683006.06</v>
      </c>
      <c r="L77" s="98">
        <v>2607514.44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X77" s="404">
        <f>'Приложение 1'!T74</f>
        <v>4180</v>
      </c>
      <c r="Y77" s="404">
        <f t="shared" si="5"/>
        <v>2702.0875025906735</v>
      </c>
      <c r="Z77" s="19">
        <f t="shared" si="4"/>
        <v>1477.9124974093265</v>
      </c>
    </row>
    <row r="78" spans="1:26" ht="9" customHeight="1">
      <c r="A78" s="502">
        <v>60</v>
      </c>
      <c r="B78" s="39" t="s">
        <v>163</v>
      </c>
      <c r="C78" s="39" t="s">
        <v>1008</v>
      </c>
      <c r="D78" s="39"/>
      <c r="E78" s="98">
        <f t="shared" si="7"/>
        <v>3046446.62</v>
      </c>
      <c r="F78" s="98">
        <v>3026435.1</v>
      </c>
      <c r="G78" s="17">
        <v>0</v>
      </c>
      <c r="H78" s="98">
        <v>0</v>
      </c>
      <c r="I78" s="98">
        <v>0</v>
      </c>
      <c r="J78" s="59" t="s">
        <v>460</v>
      </c>
      <c r="K78" s="93">
        <f>(198.55+1107.7+271.7)*'Приложение 1'!K75</f>
        <v>1989794.95</v>
      </c>
      <c r="L78" s="98">
        <f t="shared" ref="L78" si="8">ROUND(K78*I78,2)</f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  <c r="U78" s="98">
        <v>20011.52</v>
      </c>
      <c r="V78" s="98">
        <v>0</v>
      </c>
      <c r="X78" s="404">
        <f>'Приложение 1'!T75</f>
        <v>4984.6499999999996</v>
      </c>
      <c r="Y78" s="404" t="e">
        <f t="shared" si="5"/>
        <v>#DIV/0!</v>
      </c>
      <c r="Z78" s="19" t="e">
        <f t="shared" si="4"/>
        <v>#DIV/0!</v>
      </c>
    </row>
    <row r="79" spans="1:26" ht="9" customHeight="1">
      <c r="A79" s="502">
        <v>61</v>
      </c>
      <c r="B79" s="39" t="s">
        <v>164</v>
      </c>
      <c r="C79" s="39" t="s">
        <v>1006</v>
      </c>
      <c r="D79" s="39"/>
      <c r="E79" s="98">
        <f t="shared" si="7"/>
        <v>2374615.48</v>
      </c>
      <c r="F79" s="98">
        <v>0</v>
      </c>
      <c r="G79" s="17">
        <v>0</v>
      </c>
      <c r="H79" s="98">
        <v>0</v>
      </c>
      <c r="I79" s="98">
        <v>746.2</v>
      </c>
      <c r="J79" s="59" t="s">
        <v>111</v>
      </c>
      <c r="K79" s="99">
        <f t="shared" si="6"/>
        <v>3438.05</v>
      </c>
      <c r="L79" s="98">
        <v>2374615.48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  <c r="U79" s="98">
        <v>0</v>
      </c>
      <c r="V79" s="98">
        <v>0</v>
      </c>
      <c r="X79" s="404">
        <f>'Приложение 1'!T76</f>
        <v>4503.95</v>
      </c>
      <c r="Y79" s="404">
        <f t="shared" ref="Y79:Y147" si="9">L79/I79</f>
        <v>3182.2775127311711</v>
      </c>
      <c r="Z79" s="19">
        <f t="shared" ref="Z79:Z148" si="10">X79-Y79</f>
        <v>1321.6724872688287</v>
      </c>
    </row>
    <row r="80" spans="1:26" ht="9" customHeight="1">
      <c r="A80" s="502">
        <v>62</v>
      </c>
      <c r="B80" s="39" t="s">
        <v>165</v>
      </c>
      <c r="C80" s="39" t="s">
        <v>1008</v>
      </c>
      <c r="D80" s="39"/>
      <c r="E80" s="98">
        <f t="shared" si="7"/>
        <v>3827781.7600000002</v>
      </c>
      <c r="F80" s="98">
        <v>3827781.7600000002</v>
      </c>
      <c r="G80" s="17">
        <v>0</v>
      </c>
      <c r="H80" s="98">
        <v>0</v>
      </c>
      <c r="I80" s="98">
        <v>0</v>
      </c>
      <c r="J80" s="59"/>
      <c r="K80" s="99"/>
      <c r="L80" s="98">
        <f>I80*K80</f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X80" s="404">
        <f>'Приложение 1'!T77</f>
        <v>4984.6499999999996</v>
      </c>
      <c r="Y80" s="404" t="e">
        <f t="shared" si="9"/>
        <v>#DIV/0!</v>
      </c>
      <c r="Z80" s="19" t="e">
        <f t="shared" si="10"/>
        <v>#DIV/0!</v>
      </c>
    </row>
    <row r="81" spans="1:26" ht="9" customHeight="1">
      <c r="A81" s="502">
        <v>63</v>
      </c>
      <c r="B81" s="39" t="s">
        <v>166</v>
      </c>
      <c r="C81" s="39" t="s">
        <v>1005</v>
      </c>
      <c r="D81" s="39"/>
      <c r="E81" s="98">
        <f t="shared" si="7"/>
        <v>2561975.35</v>
      </c>
      <c r="F81" s="98">
        <v>0</v>
      </c>
      <c r="G81" s="17">
        <v>0</v>
      </c>
      <c r="H81" s="98">
        <v>0</v>
      </c>
      <c r="I81" s="98">
        <v>928.7</v>
      </c>
      <c r="J81" s="59" t="s">
        <v>110</v>
      </c>
      <c r="K81" s="99">
        <f t="shared" si="6"/>
        <v>2022.07</v>
      </c>
      <c r="L81" s="98">
        <v>2561975.35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X81" s="404">
        <f>'Приложение 1'!T78</f>
        <v>4180</v>
      </c>
      <c r="Y81" s="404">
        <f t="shared" si="9"/>
        <v>2758.6684074512759</v>
      </c>
      <c r="Z81" s="19">
        <f t="shared" si="10"/>
        <v>1421.3315925487241</v>
      </c>
    </row>
    <row r="82" spans="1:26" ht="9" customHeight="1">
      <c r="A82" s="502">
        <v>64</v>
      </c>
      <c r="B82" s="39" t="s">
        <v>167</v>
      </c>
      <c r="C82" s="39" t="s">
        <v>1005</v>
      </c>
      <c r="D82" s="39"/>
      <c r="E82" s="98">
        <f t="shared" si="7"/>
        <v>3028641.67</v>
      </c>
      <c r="F82" s="98">
        <v>0</v>
      </c>
      <c r="G82" s="17">
        <v>0</v>
      </c>
      <c r="H82" s="98">
        <v>0</v>
      </c>
      <c r="I82" s="98">
        <v>1219</v>
      </c>
      <c r="J82" s="59" t="s">
        <v>110</v>
      </c>
      <c r="K82" s="99">
        <f t="shared" si="6"/>
        <v>2022.07</v>
      </c>
      <c r="L82" s="98">
        <v>3028641.67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X82" s="404">
        <f>'Приложение 1'!T79</f>
        <v>4180</v>
      </c>
      <c r="Y82" s="404">
        <f t="shared" si="9"/>
        <v>2484.5296718621821</v>
      </c>
      <c r="Z82" s="19">
        <f t="shared" si="10"/>
        <v>1695.4703281378179</v>
      </c>
    </row>
    <row r="83" spans="1:26" ht="9" customHeight="1">
      <c r="A83" s="502">
        <v>65</v>
      </c>
      <c r="B83" s="39" t="s">
        <v>168</v>
      </c>
      <c r="C83" s="39" t="s">
        <v>1005</v>
      </c>
      <c r="D83" s="39"/>
      <c r="E83" s="98">
        <f t="shared" si="7"/>
        <v>2320425.7799999998</v>
      </c>
      <c r="F83" s="98">
        <v>0</v>
      </c>
      <c r="G83" s="17">
        <v>0</v>
      </c>
      <c r="H83" s="98">
        <v>0</v>
      </c>
      <c r="I83" s="98">
        <v>829.16</v>
      </c>
      <c r="J83" s="59" t="s">
        <v>110</v>
      </c>
      <c r="K83" s="99">
        <f t="shared" si="6"/>
        <v>2022.07</v>
      </c>
      <c r="L83" s="98">
        <v>2320425.7799999998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X83" s="404">
        <f>'Приложение 1'!T80</f>
        <v>4180</v>
      </c>
      <c r="Y83" s="404">
        <f t="shared" si="9"/>
        <v>2798.5259539775193</v>
      </c>
      <c r="Z83" s="19">
        <f t="shared" si="10"/>
        <v>1381.4740460224807</v>
      </c>
    </row>
    <row r="84" spans="1:26" ht="9" customHeight="1">
      <c r="A84" s="502">
        <v>66</v>
      </c>
      <c r="B84" s="39" t="s">
        <v>169</v>
      </c>
      <c r="C84" s="39" t="s">
        <v>1006</v>
      </c>
      <c r="D84" s="39"/>
      <c r="E84" s="98">
        <f t="shared" si="7"/>
        <v>1525314.28</v>
      </c>
      <c r="F84" s="98">
        <v>0</v>
      </c>
      <c r="G84" s="17">
        <v>0</v>
      </c>
      <c r="H84" s="98">
        <v>0</v>
      </c>
      <c r="I84" s="98">
        <v>452</v>
      </c>
      <c r="J84" s="59" t="s">
        <v>111</v>
      </c>
      <c r="K84" s="99">
        <f t="shared" si="6"/>
        <v>3438.05</v>
      </c>
      <c r="L84" s="98">
        <v>1525314.28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X84" s="404">
        <f>'Приложение 1'!T81</f>
        <v>4503.95</v>
      </c>
      <c r="Y84" s="404">
        <f t="shared" si="9"/>
        <v>3374.589115044248</v>
      </c>
      <c r="Z84" s="19">
        <f t="shared" si="10"/>
        <v>1129.3608849557518</v>
      </c>
    </row>
    <row r="85" spans="1:26" ht="9" customHeight="1">
      <c r="A85" s="502">
        <v>67</v>
      </c>
      <c r="B85" s="39" t="s">
        <v>170</v>
      </c>
      <c r="C85" s="39" t="s">
        <v>1006</v>
      </c>
      <c r="D85" s="39"/>
      <c r="E85" s="98">
        <f t="shared" si="7"/>
        <v>2442918.9900000002</v>
      </c>
      <c r="F85" s="98">
        <v>0</v>
      </c>
      <c r="G85" s="17">
        <v>0</v>
      </c>
      <c r="H85" s="98">
        <v>0</v>
      </c>
      <c r="I85" s="98">
        <v>735</v>
      </c>
      <c r="J85" s="59" t="s">
        <v>111</v>
      </c>
      <c r="K85" s="99">
        <f t="shared" si="6"/>
        <v>3438.05</v>
      </c>
      <c r="L85" s="98">
        <v>2442918.9900000002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X85" s="404">
        <f>'Приложение 1'!T82</f>
        <v>4503.95</v>
      </c>
      <c r="Y85" s="404">
        <f t="shared" si="9"/>
        <v>3323.6993061224493</v>
      </c>
      <c r="Z85" s="19">
        <f t="shared" si="10"/>
        <v>1180.2506938775505</v>
      </c>
    </row>
    <row r="86" spans="1:26" ht="9" customHeight="1">
      <c r="A86" s="502">
        <v>68</v>
      </c>
      <c r="B86" s="39" t="s">
        <v>171</v>
      </c>
      <c r="C86" s="39" t="s">
        <v>1005</v>
      </c>
      <c r="D86" s="39"/>
      <c r="E86" s="98">
        <f t="shared" si="7"/>
        <v>1364257.25</v>
      </c>
      <c r="F86" s="98">
        <v>0</v>
      </c>
      <c r="G86" s="17">
        <v>0</v>
      </c>
      <c r="H86" s="98">
        <v>0</v>
      </c>
      <c r="I86" s="98">
        <v>488.06</v>
      </c>
      <c r="J86" s="59" t="s">
        <v>110</v>
      </c>
      <c r="K86" s="99">
        <f t="shared" si="6"/>
        <v>2022.07</v>
      </c>
      <c r="L86" s="98">
        <v>1364257.25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X86" s="404">
        <f>'Приложение 1'!T83</f>
        <v>4180</v>
      </c>
      <c r="Y86" s="404">
        <f t="shared" si="9"/>
        <v>2795.2654386755726</v>
      </c>
      <c r="Z86" s="19">
        <f t="shared" si="10"/>
        <v>1384.7345613244274</v>
      </c>
    </row>
    <row r="87" spans="1:26" ht="9" customHeight="1">
      <c r="A87" s="502">
        <v>69</v>
      </c>
      <c r="B87" s="39" t="s">
        <v>172</v>
      </c>
      <c r="C87" s="39" t="s">
        <v>1006</v>
      </c>
      <c r="D87" s="39"/>
      <c r="E87" s="98">
        <f t="shared" si="7"/>
        <v>3827798.52</v>
      </c>
      <c r="F87" s="98">
        <v>0</v>
      </c>
      <c r="G87" s="17">
        <v>0</v>
      </c>
      <c r="H87" s="98">
        <v>0</v>
      </c>
      <c r="I87" s="98">
        <v>1054</v>
      </c>
      <c r="J87" s="59" t="s">
        <v>111</v>
      </c>
      <c r="K87" s="99">
        <f t="shared" si="6"/>
        <v>3438.05</v>
      </c>
      <c r="L87" s="98">
        <v>3827798.52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X87" s="404">
        <f>'Приложение 1'!T84</f>
        <v>4503.95</v>
      </c>
      <c r="Y87" s="404">
        <f t="shared" si="9"/>
        <v>3631.6874003795065</v>
      </c>
      <c r="Z87" s="19">
        <f t="shared" si="10"/>
        <v>872.26259962049335</v>
      </c>
    </row>
    <row r="88" spans="1:26" ht="9" customHeight="1">
      <c r="A88" s="502">
        <v>70</v>
      </c>
      <c r="B88" s="39" t="s">
        <v>173</v>
      </c>
      <c r="C88" s="39" t="s">
        <v>1006</v>
      </c>
      <c r="D88" s="40"/>
      <c r="E88" s="98">
        <f t="shared" si="7"/>
        <v>2020205.08</v>
      </c>
      <c r="F88" s="98">
        <v>0</v>
      </c>
      <c r="G88" s="17">
        <v>0</v>
      </c>
      <c r="H88" s="98">
        <v>0</v>
      </c>
      <c r="I88" s="98">
        <v>551.83000000000004</v>
      </c>
      <c r="J88" s="88" t="s">
        <v>111</v>
      </c>
      <c r="K88" s="99">
        <f t="shared" si="6"/>
        <v>3438.05</v>
      </c>
      <c r="L88" s="98">
        <v>2020205.08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X88" s="404">
        <f>'Приложение 1'!T85</f>
        <v>4503.95</v>
      </c>
      <c r="Y88" s="404">
        <f t="shared" si="9"/>
        <v>3660.9192686153342</v>
      </c>
      <c r="Z88" s="19">
        <f t="shared" si="10"/>
        <v>843.03073138466561</v>
      </c>
    </row>
    <row r="89" spans="1:26" ht="9" customHeight="1">
      <c r="A89" s="502">
        <v>71</v>
      </c>
      <c r="B89" s="39" t="s">
        <v>174</v>
      </c>
      <c r="C89" s="39" t="s">
        <v>1008</v>
      </c>
      <c r="D89" s="40"/>
      <c r="E89" s="98">
        <f t="shared" si="7"/>
        <v>9994355.3999999985</v>
      </c>
      <c r="F89" s="98">
        <v>9994355.3999999985</v>
      </c>
      <c r="G89" s="17">
        <v>0</v>
      </c>
      <c r="H89" s="98">
        <v>0</v>
      </c>
      <c r="I89" s="98">
        <v>0</v>
      </c>
      <c r="J89" s="59"/>
      <c r="K89" s="99"/>
      <c r="L89" s="98">
        <f>I89*K89</f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X89" s="404">
        <f>'Приложение 1'!T86</f>
        <v>4984.6499999999996</v>
      </c>
      <c r="Y89" s="404" t="e">
        <f t="shared" si="9"/>
        <v>#DIV/0!</v>
      </c>
      <c r="Z89" s="19" t="e">
        <f t="shared" si="10"/>
        <v>#DIV/0!</v>
      </c>
    </row>
    <row r="90" spans="1:26" ht="9" customHeight="1">
      <c r="A90" s="502">
        <v>72</v>
      </c>
      <c r="B90" s="39" t="s">
        <v>175</v>
      </c>
      <c r="C90" s="39" t="s">
        <v>1006</v>
      </c>
      <c r="D90" s="40"/>
      <c r="E90" s="98">
        <f t="shared" si="7"/>
        <v>1827393.07</v>
      </c>
      <c r="F90" s="98">
        <v>0</v>
      </c>
      <c r="G90" s="17">
        <v>0</v>
      </c>
      <c r="H90" s="98">
        <v>0</v>
      </c>
      <c r="I90" s="98">
        <v>586.70000000000005</v>
      </c>
      <c r="J90" s="88" t="s">
        <v>111</v>
      </c>
      <c r="K90" s="99">
        <f t="shared" si="6"/>
        <v>3438.05</v>
      </c>
      <c r="L90" s="98">
        <v>1827393.07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98">
        <v>0</v>
      </c>
      <c r="X90" s="404">
        <f>'Приложение 1'!T87</f>
        <v>4503.95</v>
      </c>
      <c r="Y90" s="404">
        <f t="shared" si="9"/>
        <v>3114.6975796829724</v>
      </c>
      <c r="Z90" s="19">
        <f t="shared" si="10"/>
        <v>1389.2524203170274</v>
      </c>
    </row>
    <row r="91" spans="1:26" ht="9" customHeight="1">
      <c r="A91" s="502">
        <v>73</v>
      </c>
      <c r="B91" s="39" t="s">
        <v>176</v>
      </c>
      <c r="C91" s="39" t="s">
        <v>1006</v>
      </c>
      <c r="D91" s="40"/>
      <c r="E91" s="98">
        <f t="shared" si="7"/>
        <v>2130482.73</v>
      </c>
      <c r="F91" s="98">
        <v>0</v>
      </c>
      <c r="G91" s="17">
        <v>0</v>
      </c>
      <c r="H91" s="98">
        <v>0</v>
      </c>
      <c r="I91" s="98">
        <v>620</v>
      </c>
      <c r="J91" s="88" t="s">
        <v>111</v>
      </c>
      <c r="K91" s="99">
        <f t="shared" si="6"/>
        <v>3438.05</v>
      </c>
      <c r="L91" s="98">
        <v>2130482.73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X91" s="404">
        <f>'Приложение 1'!T88</f>
        <v>4503.95</v>
      </c>
      <c r="Y91" s="404">
        <f t="shared" si="9"/>
        <v>3436.2624677419353</v>
      </c>
      <c r="Z91" s="19">
        <f t="shared" si="10"/>
        <v>1067.6875322580645</v>
      </c>
    </row>
    <row r="92" spans="1:26" ht="9" customHeight="1">
      <c r="A92" s="502">
        <v>74</v>
      </c>
      <c r="B92" s="39" t="s">
        <v>177</v>
      </c>
      <c r="C92" s="39" t="s">
        <v>1005</v>
      </c>
      <c r="D92" s="40"/>
      <c r="E92" s="98">
        <f t="shared" si="7"/>
        <v>2151018.02</v>
      </c>
      <c r="F92" s="98">
        <v>0</v>
      </c>
      <c r="G92" s="17">
        <v>0</v>
      </c>
      <c r="H92" s="98">
        <v>0</v>
      </c>
      <c r="I92" s="98">
        <v>730</v>
      </c>
      <c r="J92" s="88" t="s">
        <v>110</v>
      </c>
      <c r="K92" s="99">
        <f t="shared" si="6"/>
        <v>2022.07</v>
      </c>
      <c r="L92" s="98">
        <v>2151018.02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X92" s="404">
        <f>'Приложение 1'!T89</f>
        <v>4180</v>
      </c>
      <c r="Y92" s="404">
        <f t="shared" si="9"/>
        <v>2946.6000273972604</v>
      </c>
      <c r="Z92" s="19">
        <f t="shared" si="10"/>
        <v>1233.3999726027396</v>
      </c>
    </row>
    <row r="93" spans="1:26" ht="9" customHeight="1">
      <c r="A93" s="502">
        <v>75</v>
      </c>
      <c r="B93" s="39" t="s">
        <v>178</v>
      </c>
      <c r="C93" s="39" t="s">
        <v>1005</v>
      </c>
      <c r="D93" s="40"/>
      <c r="E93" s="98">
        <f t="shared" si="7"/>
        <v>3115364.86</v>
      </c>
      <c r="F93" s="98">
        <v>0</v>
      </c>
      <c r="G93" s="17">
        <v>0</v>
      </c>
      <c r="H93" s="98">
        <v>0</v>
      </c>
      <c r="I93" s="98">
        <v>886</v>
      </c>
      <c r="J93" s="59" t="s">
        <v>110</v>
      </c>
      <c r="K93" s="99">
        <f t="shared" si="6"/>
        <v>2022.07</v>
      </c>
      <c r="L93" s="98">
        <v>3115364.86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X93" s="404">
        <f>'Приложение 1'!T90</f>
        <v>4180</v>
      </c>
      <c r="Y93" s="404">
        <f t="shared" si="9"/>
        <v>3516.2131602708801</v>
      </c>
      <c r="Z93" s="19">
        <f t="shared" si="10"/>
        <v>663.78683972911995</v>
      </c>
    </row>
    <row r="94" spans="1:26" ht="9" customHeight="1">
      <c r="A94" s="502">
        <v>76</v>
      </c>
      <c r="B94" s="39" t="s">
        <v>179</v>
      </c>
      <c r="C94" s="39" t="s">
        <v>1005</v>
      </c>
      <c r="D94" s="40"/>
      <c r="E94" s="98">
        <f t="shared" si="7"/>
        <v>3010204.83</v>
      </c>
      <c r="F94" s="98">
        <v>0</v>
      </c>
      <c r="G94" s="17">
        <v>0</v>
      </c>
      <c r="H94" s="98">
        <v>0</v>
      </c>
      <c r="I94" s="98">
        <v>1068</v>
      </c>
      <c r="J94" s="88" t="s">
        <v>110</v>
      </c>
      <c r="K94" s="99">
        <f t="shared" si="6"/>
        <v>2022.07</v>
      </c>
      <c r="L94" s="98">
        <v>3010204.83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X94" s="404">
        <f>'Приложение 1'!T91</f>
        <v>4180</v>
      </c>
      <c r="Y94" s="404">
        <f t="shared" si="9"/>
        <v>2818.5438483146067</v>
      </c>
      <c r="Z94" s="19">
        <f t="shared" si="10"/>
        <v>1361.4561516853933</v>
      </c>
    </row>
    <row r="95" spans="1:26" ht="9" customHeight="1">
      <c r="A95" s="502">
        <v>77</v>
      </c>
      <c r="B95" s="39" t="s">
        <v>180</v>
      </c>
      <c r="C95" s="39" t="s">
        <v>1006</v>
      </c>
      <c r="D95" s="40"/>
      <c r="E95" s="98">
        <f t="shared" si="7"/>
        <v>1760498</v>
      </c>
      <c r="F95" s="98">
        <v>0</v>
      </c>
      <c r="G95" s="17">
        <v>0</v>
      </c>
      <c r="H95" s="98">
        <v>0</v>
      </c>
      <c r="I95" s="98">
        <v>533.9</v>
      </c>
      <c r="J95" s="88" t="s">
        <v>111</v>
      </c>
      <c r="K95" s="99">
        <f t="shared" si="6"/>
        <v>3438.05</v>
      </c>
      <c r="L95" s="98">
        <v>1760498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X95" s="404">
        <f>'Приложение 1'!T92</f>
        <v>4503.95</v>
      </c>
      <c r="Y95" s="404">
        <f t="shared" si="9"/>
        <v>3297.430230380221</v>
      </c>
      <c r="Z95" s="19">
        <f t="shared" si="10"/>
        <v>1206.5197696197788</v>
      </c>
    </row>
    <row r="96" spans="1:26" ht="9" customHeight="1">
      <c r="A96" s="502">
        <v>78</v>
      </c>
      <c r="B96" s="39" t="s">
        <v>181</v>
      </c>
      <c r="C96" s="39" t="s">
        <v>1005</v>
      </c>
      <c r="D96" s="40"/>
      <c r="E96" s="98">
        <f t="shared" si="7"/>
        <v>782580.19</v>
      </c>
      <c r="F96" s="98">
        <v>0</v>
      </c>
      <c r="G96" s="17">
        <v>0</v>
      </c>
      <c r="H96" s="98">
        <v>0</v>
      </c>
      <c r="I96" s="98">
        <v>233</v>
      </c>
      <c r="J96" s="88" t="s">
        <v>110</v>
      </c>
      <c r="K96" s="99">
        <f t="shared" si="6"/>
        <v>2022.07</v>
      </c>
      <c r="L96" s="98">
        <v>782580.19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X96" s="404">
        <f>'Приложение 1'!T93</f>
        <v>4180</v>
      </c>
      <c r="Y96" s="404">
        <f t="shared" si="9"/>
        <v>3358.7132618025748</v>
      </c>
      <c r="Z96" s="19">
        <f t="shared" si="10"/>
        <v>821.28673819742517</v>
      </c>
    </row>
    <row r="97" spans="1:26" ht="9" customHeight="1">
      <c r="A97" s="502">
        <v>79</v>
      </c>
      <c r="B97" s="39" t="s">
        <v>8</v>
      </c>
      <c r="C97" s="39" t="s">
        <v>1005</v>
      </c>
      <c r="D97" s="40"/>
      <c r="E97" s="98">
        <f>F97+H97+L97+N97+P97+R97+S97+T97+U97+V97</f>
        <v>3996863.38</v>
      </c>
      <c r="F97" s="98">
        <v>0</v>
      </c>
      <c r="G97" s="17">
        <v>0</v>
      </c>
      <c r="H97" s="98">
        <v>0</v>
      </c>
      <c r="I97" s="98">
        <v>2061.5</v>
      </c>
      <c r="J97" s="88" t="s">
        <v>110</v>
      </c>
      <c r="K97" s="99">
        <f>IF(J97="плоская",2022.07,3438.05)</f>
        <v>2022.07</v>
      </c>
      <c r="L97" s="98">
        <v>3996863.38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X97" s="404">
        <f>'Приложение 1'!T94</f>
        <v>4180</v>
      </c>
      <c r="Y97" s="404">
        <f t="shared" si="9"/>
        <v>1938.8131845743389</v>
      </c>
      <c r="Z97" s="19">
        <f t="shared" si="10"/>
        <v>2241.1868154256608</v>
      </c>
    </row>
    <row r="98" spans="1:26" ht="9" customHeight="1">
      <c r="A98" s="502">
        <v>80</v>
      </c>
      <c r="B98" s="39" t="s">
        <v>182</v>
      </c>
      <c r="C98" s="39" t="s">
        <v>1006</v>
      </c>
      <c r="D98" s="40"/>
      <c r="E98" s="98">
        <f t="shared" si="7"/>
        <v>2223789.4500000002</v>
      </c>
      <c r="F98" s="98">
        <v>0</v>
      </c>
      <c r="G98" s="17">
        <v>0</v>
      </c>
      <c r="H98" s="98">
        <v>0</v>
      </c>
      <c r="I98" s="98">
        <v>611</v>
      </c>
      <c r="J98" s="88" t="s">
        <v>111</v>
      </c>
      <c r="K98" s="99">
        <f t="shared" si="6"/>
        <v>3438.05</v>
      </c>
      <c r="L98" s="98">
        <v>2223789.4500000002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98">
        <v>0</v>
      </c>
      <c r="S98" s="98">
        <v>0</v>
      </c>
      <c r="T98" s="98">
        <v>0</v>
      </c>
      <c r="U98" s="98">
        <v>0</v>
      </c>
      <c r="V98" s="98">
        <v>0</v>
      </c>
      <c r="X98" s="404">
        <f>'Приложение 1'!T95</f>
        <v>4503.95</v>
      </c>
      <c r="Y98" s="404">
        <f t="shared" si="9"/>
        <v>3639.589934533552</v>
      </c>
      <c r="Z98" s="19">
        <f t="shared" si="10"/>
        <v>864.36006546644785</v>
      </c>
    </row>
    <row r="99" spans="1:26" ht="9" customHeight="1">
      <c r="A99" s="502">
        <v>81</v>
      </c>
      <c r="B99" s="39" t="s">
        <v>183</v>
      </c>
      <c r="C99" s="39" t="s">
        <v>1008</v>
      </c>
      <c r="D99" s="40"/>
      <c r="E99" s="98">
        <f t="shared" si="7"/>
        <v>5303563.66</v>
      </c>
      <c r="F99" s="98">
        <v>5303563.66</v>
      </c>
      <c r="G99" s="17">
        <v>0</v>
      </c>
      <c r="H99" s="98">
        <v>0</v>
      </c>
      <c r="I99" s="98">
        <v>0</v>
      </c>
      <c r="J99" s="88"/>
      <c r="K99" s="99"/>
      <c r="L99" s="98">
        <f>I99*K99</f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v>0</v>
      </c>
      <c r="V99" s="98">
        <v>0</v>
      </c>
      <c r="X99" s="404">
        <f>'Приложение 1'!T96</f>
        <v>4984.6499999999996</v>
      </c>
      <c r="Y99" s="404" t="e">
        <f t="shared" si="9"/>
        <v>#DIV/0!</v>
      </c>
      <c r="Z99" s="19" t="e">
        <f t="shared" si="10"/>
        <v>#DIV/0!</v>
      </c>
    </row>
    <row r="100" spans="1:26" s="233" customFormat="1" ht="9" customHeight="1">
      <c r="A100" s="502">
        <v>82</v>
      </c>
      <c r="B100" s="228" t="s">
        <v>184</v>
      </c>
      <c r="C100" s="228" t="s">
        <v>1005</v>
      </c>
      <c r="D100" s="238"/>
      <c r="E100" s="229">
        <f t="shared" si="7"/>
        <v>2271445.9900000002</v>
      </c>
      <c r="F100" s="229">
        <v>0</v>
      </c>
      <c r="G100" s="230">
        <v>0</v>
      </c>
      <c r="H100" s="229">
        <v>0</v>
      </c>
      <c r="I100" s="229">
        <v>622.16999999999996</v>
      </c>
      <c r="J100" s="237" t="s">
        <v>110</v>
      </c>
      <c r="K100" s="227">
        <f t="shared" si="6"/>
        <v>2022.07</v>
      </c>
      <c r="L100" s="229">
        <v>2271445.9900000002</v>
      </c>
      <c r="M100" s="229">
        <v>0</v>
      </c>
      <c r="N100" s="229">
        <v>0</v>
      </c>
      <c r="O100" s="229">
        <v>0</v>
      </c>
      <c r="P100" s="229">
        <v>0</v>
      </c>
      <c r="Q100" s="229">
        <v>0</v>
      </c>
      <c r="R100" s="229">
        <v>0</v>
      </c>
      <c r="S100" s="229">
        <v>0</v>
      </c>
      <c r="T100" s="229">
        <v>0</v>
      </c>
      <c r="U100" s="229">
        <v>0</v>
      </c>
      <c r="V100" s="229">
        <v>0</v>
      </c>
      <c r="X100" s="498">
        <f>'Приложение 1'!T97</f>
        <v>4180</v>
      </c>
      <c r="Y100" s="498">
        <f t="shared" si="9"/>
        <v>3650.8446083867761</v>
      </c>
      <c r="Z100" s="234">
        <f t="shared" si="10"/>
        <v>529.15539161322386</v>
      </c>
    </row>
    <row r="101" spans="1:26" ht="9" customHeight="1">
      <c r="A101" s="502">
        <v>83</v>
      </c>
      <c r="B101" s="39" t="s">
        <v>185</v>
      </c>
      <c r="C101" s="39" t="s">
        <v>1005</v>
      </c>
      <c r="D101" s="40"/>
      <c r="E101" s="98">
        <f t="shared" si="7"/>
        <v>2838710.62</v>
      </c>
      <c r="F101" s="98">
        <v>0</v>
      </c>
      <c r="G101" s="17">
        <v>0</v>
      </c>
      <c r="H101" s="98">
        <v>0</v>
      </c>
      <c r="I101" s="98">
        <v>785</v>
      </c>
      <c r="J101" s="88" t="s">
        <v>110</v>
      </c>
      <c r="K101" s="99">
        <f t="shared" si="6"/>
        <v>2022.07</v>
      </c>
      <c r="L101" s="98">
        <v>2838710.62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X101" s="404">
        <f>'Приложение 1'!T98</f>
        <v>4180</v>
      </c>
      <c r="Y101" s="404">
        <f t="shared" si="9"/>
        <v>3616.191872611465</v>
      </c>
      <c r="Z101" s="19">
        <f t="shared" si="10"/>
        <v>563.80812738853501</v>
      </c>
    </row>
    <row r="102" spans="1:26" ht="9" customHeight="1">
      <c r="A102" s="502">
        <v>84</v>
      </c>
      <c r="B102" s="39" t="s">
        <v>394</v>
      </c>
      <c r="C102" s="39" t="s">
        <v>1005</v>
      </c>
      <c r="D102" s="40"/>
      <c r="E102" s="98">
        <f t="shared" si="7"/>
        <v>3213295.51</v>
      </c>
      <c r="F102" s="98">
        <v>0</v>
      </c>
      <c r="G102" s="17">
        <v>0</v>
      </c>
      <c r="H102" s="98">
        <v>0</v>
      </c>
      <c r="I102" s="98">
        <v>916.5</v>
      </c>
      <c r="J102" s="88" t="s">
        <v>216</v>
      </c>
      <c r="K102" s="99">
        <f t="shared" si="6"/>
        <v>2022.07</v>
      </c>
      <c r="L102" s="98">
        <v>3213295.51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X102" s="404">
        <f>'Приложение 1'!T99</f>
        <v>4180</v>
      </c>
      <c r="Y102" s="404">
        <f t="shared" si="9"/>
        <v>3506.0507474086194</v>
      </c>
      <c r="Z102" s="19">
        <f t="shared" si="10"/>
        <v>673.94925259138063</v>
      </c>
    </row>
    <row r="103" spans="1:26" ht="9" customHeight="1">
      <c r="A103" s="502">
        <v>85</v>
      </c>
      <c r="B103" s="39" t="s">
        <v>186</v>
      </c>
      <c r="C103" s="39" t="s">
        <v>1005</v>
      </c>
      <c r="D103" s="40"/>
      <c r="E103" s="98">
        <f t="shared" si="7"/>
        <v>1227007.33</v>
      </c>
      <c r="F103" s="98">
        <v>0</v>
      </c>
      <c r="G103" s="17">
        <v>0</v>
      </c>
      <c r="H103" s="98">
        <v>0</v>
      </c>
      <c r="I103" s="98">
        <v>342.34</v>
      </c>
      <c r="J103" s="88" t="s">
        <v>110</v>
      </c>
      <c r="K103" s="99">
        <f t="shared" si="6"/>
        <v>2022.07</v>
      </c>
      <c r="L103" s="98">
        <v>1227007.33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X103" s="404">
        <f>'Приложение 1'!T100</f>
        <v>4180</v>
      </c>
      <c r="Y103" s="404">
        <f t="shared" si="9"/>
        <v>3584.177513582988</v>
      </c>
      <c r="Z103" s="19">
        <f t="shared" si="10"/>
        <v>595.82248641701199</v>
      </c>
    </row>
    <row r="104" spans="1:26" ht="9" customHeight="1">
      <c r="A104" s="502">
        <v>86</v>
      </c>
      <c r="B104" s="39" t="s">
        <v>218</v>
      </c>
      <c r="C104" s="39" t="s">
        <v>1008</v>
      </c>
      <c r="D104" s="40"/>
      <c r="E104" s="98">
        <f t="shared" si="7"/>
        <v>1117783.42</v>
      </c>
      <c r="F104" s="500">
        <v>924826.37</v>
      </c>
      <c r="G104" s="17">
        <v>0</v>
      </c>
      <c r="H104" s="98">
        <v>0</v>
      </c>
      <c r="I104" s="98">
        <v>0</v>
      </c>
      <c r="J104" s="88"/>
      <c r="K104" s="99"/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  <c r="U104" s="98">
        <v>192957.05</v>
      </c>
      <c r="V104" s="98">
        <v>0</v>
      </c>
      <c r="X104" s="404">
        <f>'Приложение 1'!T101</f>
        <v>4984.6499999999996</v>
      </c>
      <c r="Y104" s="404" t="e">
        <f t="shared" si="9"/>
        <v>#DIV/0!</v>
      </c>
      <c r="Z104" s="19" t="e">
        <f t="shared" si="10"/>
        <v>#DIV/0!</v>
      </c>
    </row>
    <row r="105" spans="1:26" ht="9" customHeight="1">
      <c r="A105" s="502">
        <v>87</v>
      </c>
      <c r="B105" s="39" t="s">
        <v>187</v>
      </c>
      <c r="C105" s="39" t="s">
        <v>1006</v>
      </c>
      <c r="D105" s="40"/>
      <c r="E105" s="98">
        <f t="shared" si="7"/>
        <v>6411159.7699999996</v>
      </c>
      <c r="F105" s="98">
        <v>0</v>
      </c>
      <c r="G105" s="17">
        <v>0</v>
      </c>
      <c r="H105" s="98">
        <v>0</v>
      </c>
      <c r="I105" s="98">
        <v>1987.3</v>
      </c>
      <c r="J105" s="88" t="s">
        <v>111</v>
      </c>
      <c r="K105" s="99">
        <f t="shared" si="6"/>
        <v>3438.05</v>
      </c>
      <c r="L105" s="98">
        <v>6411159.7699999996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X105" s="404">
        <f>'Приложение 1'!T102</f>
        <v>4503.95</v>
      </c>
      <c r="Y105" s="404">
        <f t="shared" si="9"/>
        <v>3226.0654002918532</v>
      </c>
      <c r="Z105" s="19">
        <f t="shared" si="10"/>
        <v>1277.8845997081467</v>
      </c>
    </row>
    <row r="106" spans="1:26" s="233" customFormat="1" ht="9" customHeight="1">
      <c r="A106" s="502">
        <v>88</v>
      </c>
      <c r="B106" s="228" t="s">
        <v>188</v>
      </c>
      <c r="C106" s="228" t="s">
        <v>1006</v>
      </c>
      <c r="D106" s="238"/>
      <c r="E106" s="229">
        <f t="shared" si="7"/>
        <v>2856268</v>
      </c>
      <c r="F106" s="229">
        <v>0</v>
      </c>
      <c r="G106" s="230">
        <v>0</v>
      </c>
      <c r="H106" s="229">
        <v>0</v>
      </c>
      <c r="I106" s="229">
        <v>760.78</v>
      </c>
      <c r="J106" s="237" t="s">
        <v>111</v>
      </c>
      <c r="K106" s="227">
        <f t="shared" si="6"/>
        <v>3438.05</v>
      </c>
      <c r="L106" s="229">
        <v>2856268</v>
      </c>
      <c r="M106" s="229">
        <v>0</v>
      </c>
      <c r="N106" s="229">
        <v>0</v>
      </c>
      <c r="O106" s="229">
        <v>0</v>
      </c>
      <c r="P106" s="229">
        <v>0</v>
      </c>
      <c r="Q106" s="229">
        <v>0</v>
      </c>
      <c r="R106" s="229">
        <v>0</v>
      </c>
      <c r="S106" s="229">
        <v>0</v>
      </c>
      <c r="T106" s="229">
        <v>0</v>
      </c>
      <c r="U106" s="229">
        <v>0</v>
      </c>
      <c r="V106" s="229">
        <v>0</v>
      </c>
      <c r="X106" s="498">
        <f>'Приложение 1'!T103</f>
        <v>4503.95</v>
      </c>
      <c r="Y106" s="498">
        <f t="shared" si="9"/>
        <v>3754.394174399958</v>
      </c>
      <c r="Z106" s="234">
        <f t="shared" si="10"/>
        <v>749.55582560004177</v>
      </c>
    </row>
    <row r="107" spans="1:26" ht="9" customHeight="1">
      <c r="A107" s="502">
        <v>89</v>
      </c>
      <c r="B107" s="39" t="s">
        <v>189</v>
      </c>
      <c r="C107" s="39" t="s">
        <v>1006</v>
      </c>
      <c r="D107" s="40"/>
      <c r="E107" s="98">
        <f t="shared" si="7"/>
        <v>3409279.78</v>
      </c>
      <c r="F107" s="98">
        <v>0</v>
      </c>
      <c r="G107" s="17">
        <v>0</v>
      </c>
      <c r="H107" s="98">
        <v>0</v>
      </c>
      <c r="I107" s="98">
        <v>1099</v>
      </c>
      <c r="J107" s="88" t="s">
        <v>111</v>
      </c>
      <c r="K107" s="99">
        <f t="shared" si="6"/>
        <v>3438.05</v>
      </c>
      <c r="L107" s="98">
        <v>3409279.78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98">
        <v>0</v>
      </c>
      <c r="S107" s="98">
        <v>0</v>
      </c>
      <c r="T107" s="98">
        <v>0</v>
      </c>
      <c r="U107" s="98">
        <v>0</v>
      </c>
      <c r="V107" s="98">
        <v>0</v>
      </c>
      <c r="X107" s="404">
        <f>'Приложение 1'!T104</f>
        <v>4503.95</v>
      </c>
      <c r="Y107" s="404">
        <f t="shared" si="9"/>
        <v>3102.1654049135577</v>
      </c>
      <c r="Z107" s="19">
        <f t="shared" si="10"/>
        <v>1401.7845950864421</v>
      </c>
    </row>
    <row r="108" spans="1:26" ht="9" customHeight="1">
      <c r="A108" s="502">
        <v>90</v>
      </c>
      <c r="B108" s="39" t="s">
        <v>190</v>
      </c>
      <c r="C108" s="39" t="s">
        <v>1005</v>
      </c>
      <c r="D108" s="40"/>
      <c r="E108" s="98">
        <f t="shared" si="7"/>
        <v>3520956.94</v>
      </c>
      <c r="F108" s="98">
        <v>0</v>
      </c>
      <c r="G108" s="17">
        <v>0</v>
      </c>
      <c r="H108" s="98">
        <v>0</v>
      </c>
      <c r="I108" s="98">
        <v>1031</v>
      </c>
      <c r="J108" s="88" t="s">
        <v>110</v>
      </c>
      <c r="K108" s="99">
        <f t="shared" si="6"/>
        <v>2022.07</v>
      </c>
      <c r="L108" s="98">
        <v>3520956.94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X108" s="404">
        <f>'Приложение 1'!T105</f>
        <v>4180</v>
      </c>
      <c r="Y108" s="404">
        <f t="shared" si="9"/>
        <v>3415.0891755577109</v>
      </c>
      <c r="Z108" s="19">
        <f t="shared" si="10"/>
        <v>764.91082444228914</v>
      </c>
    </row>
    <row r="109" spans="1:26" ht="9" customHeight="1">
      <c r="A109" s="502">
        <v>91</v>
      </c>
      <c r="B109" s="39" t="s">
        <v>191</v>
      </c>
      <c r="C109" s="39" t="s">
        <v>1006</v>
      </c>
      <c r="D109" s="40"/>
      <c r="E109" s="98">
        <f t="shared" si="7"/>
        <v>4171971.74</v>
      </c>
      <c r="F109" s="98">
        <v>0</v>
      </c>
      <c r="G109" s="17">
        <v>0</v>
      </c>
      <c r="H109" s="98">
        <v>0</v>
      </c>
      <c r="I109" s="98">
        <v>1468</v>
      </c>
      <c r="J109" s="88" t="s">
        <v>111</v>
      </c>
      <c r="K109" s="99">
        <f t="shared" si="6"/>
        <v>3438.05</v>
      </c>
      <c r="L109" s="98">
        <v>4171971.74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X109" s="404">
        <f>'Приложение 1'!T106</f>
        <v>4503.95</v>
      </c>
      <c r="Y109" s="404">
        <f t="shared" si="9"/>
        <v>2841.9426021798367</v>
      </c>
      <c r="Z109" s="19">
        <f t="shared" si="10"/>
        <v>1662.0073978201631</v>
      </c>
    </row>
    <row r="110" spans="1:26" ht="9" customHeight="1">
      <c r="A110" s="502">
        <v>92</v>
      </c>
      <c r="B110" s="39" t="s">
        <v>192</v>
      </c>
      <c r="C110" s="39" t="s">
        <v>1006</v>
      </c>
      <c r="D110" s="40"/>
      <c r="E110" s="98">
        <f t="shared" si="7"/>
        <v>2667853.1800000002</v>
      </c>
      <c r="F110" s="98">
        <v>0</v>
      </c>
      <c r="G110" s="17">
        <v>0</v>
      </c>
      <c r="H110" s="98">
        <v>0</v>
      </c>
      <c r="I110" s="98">
        <v>740</v>
      </c>
      <c r="J110" s="88" t="s">
        <v>111</v>
      </c>
      <c r="K110" s="99">
        <f t="shared" si="6"/>
        <v>3438.05</v>
      </c>
      <c r="L110" s="98">
        <v>2667853.1800000002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  <c r="U110" s="98">
        <v>0</v>
      </c>
      <c r="V110" s="98">
        <v>0</v>
      </c>
      <c r="X110" s="404">
        <f>'Приложение 1'!T107</f>
        <v>4503.95</v>
      </c>
      <c r="Y110" s="404">
        <f t="shared" si="9"/>
        <v>3605.2070000000003</v>
      </c>
      <c r="Z110" s="19">
        <f t="shared" si="10"/>
        <v>898.74299999999948</v>
      </c>
    </row>
    <row r="111" spans="1:26" ht="9" customHeight="1">
      <c r="A111" s="502">
        <v>93</v>
      </c>
      <c r="B111" s="39" t="s">
        <v>326</v>
      </c>
      <c r="C111" s="39" t="s">
        <v>1005</v>
      </c>
      <c r="D111" s="40"/>
      <c r="E111" s="98">
        <f>F111+H111+L111+N111+P111+R111+S111+T111+U111+V111</f>
        <v>5381896.7199999997</v>
      </c>
      <c r="F111" s="98">
        <v>0</v>
      </c>
      <c r="G111" s="17">
        <v>0</v>
      </c>
      <c r="H111" s="98">
        <v>0</v>
      </c>
      <c r="I111" s="98">
        <v>1928.22</v>
      </c>
      <c r="J111" s="88" t="s">
        <v>110</v>
      </c>
      <c r="K111" s="99">
        <f>IF(J111="плоская",2022.07,3438.05)</f>
        <v>2022.07</v>
      </c>
      <c r="L111" s="98">
        <v>5381896.7199999997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X111" s="404">
        <f>'Приложение 1'!T108</f>
        <v>4180</v>
      </c>
      <c r="Y111" s="404">
        <f t="shared" si="9"/>
        <v>2791.1217184761072</v>
      </c>
      <c r="Z111" s="19">
        <f t="shared" si="10"/>
        <v>1388.8782815238928</v>
      </c>
    </row>
    <row r="112" spans="1:26" ht="9" customHeight="1">
      <c r="A112" s="502">
        <v>94</v>
      </c>
      <c r="B112" s="39" t="s">
        <v>327</v>
      </c>
      <c r="C112" s="39" t="s">
        <v>1005</v>
      </c>
      <c r="D112" s="40"/>
      <c r="E112" s="98">
        <f>F112+H112+L112+N112+P112+R112+S112+T112+U112+V112</f>
        <v>5868278.0899999999</v>
      </c>
      <c r="F112" s="98">
        <v>0</v>
      </c>
      <c r="G112" s="17">
        <v>0</v>
      </c>
      <c r="H112" s="98">
        <v>0</v>
      </c>
      <c r="I112" s="98">
        <v>1997</v>
      </c>
      <c r="J112" s="88" t="s">
        <v>110</v>
      </c>
      <c r="K112" s="99">
        <f>IF(J112="плоская",2022.07,3438.05)</f>
        <v>2022.07</v>
      </c>
      <c r="L112" s="98">
        <v>5868278.0899999999</v>
      </c>
      <c r="M112" s="98">
        <v>0</v>
      </c>
      <c r="N112" s="98">
        <v>0</v>
      </c>
      <c r="O112" s="98">
        <v>0</v>
      </c>
      <c r="P112" s="98">
        <v>0</v>
      </c>
      <c r="Q112" s="98">
        <v>0</v>
      </c>
      <c r="R112" s="98">
        <v>0</v>
      </c>
      <c r="S112" s="98">
        <v>0</v>
      </c>
      <c r="T112" s="98">
        <v>0</v>
      </c>
      <c r="U112" s="98">
        <v>0</v>
      </c>
      <c r="V112" s="98">
        <v>0</v>
      </c>
      <c r="X112" s="404">
        <f>'Приложение 1'!T109</f>
        <v>4180</v>
      </c>
      <c r="Y112" s="404">
        <f t="shared" si="9"/>
        <v>2938.5468652979466</v>
      </c>
      <c r="Z112" s="19">
        <f t="shared" si="10"/>
        <v>1241.4531347020534</v>
      </c>
    </row>
    <row r="113" spans="1:26" ht="9" customHeight="1">
      <c r="A113" s="502">
        <v>95</v>
      </c>
      <c r="B113" s="39" t="s">
        <v>7</v>
      </c>
      <c r="C113" s="39" t="s">
        <v>1005</v>
      </c>
      <c r="D113" s="40"/>
      <c r="E113" s="98">
        <f>F113+H113+L113+N113+P113+R113+S113+T113+U113+V113</f>
        <v>3342271.24</v>
      </c>
      <c r="F113" s="98">
        <v>0</v>
      </c>
      <c r="G113" s="17">
        <v>0</v>
      </c>
      <c r="H113" s="98">
        <v>0</v>
      </c>
      <c r="I113" s="98">
        <v>1110.08</v>
      </c>
      <c r="J113" s="88" t="s">
        <v>110</v>
      </c>
      <c r="K113" s="99">
        <f>IF(J113="плоская",2022.07,3438.05)</f>
        <v>2022.07</v>
      </c>
      <c r="L113" s="98">
        <v>3342271.24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98">
        <v>0</v>
      </c>
      <c r="U113" s="98">
        <v>0</v>
      </c>
      <c r="V113" s="98">
        <v>0</v>
      </c>
      <c r="X113" s="404">
        <f>'Приложение 1'!T110</f>
        <v>4180</v>
      </c>
      <c r="Y113" s="404">
        <f t="shared" si="9"/>
        <v>3010.8381738253102</v>
      </c>
      <c r="Z113" s="19">
        <f t="shared" si="10"/>
        <v>1169.1618261746898</v>
      </c>
    </row>
    <row r="114" spans="1:26" ht="9" customHeight="1">
      <c r="A114" s="502">
        <v>96</v>
      </c>
      <c r="B114" s="39" t="s">
        <v>416</v>
      </c>
      <c r="C114" s="39" t="s">
        <v>1006</v>
      </c>
      <c r="D114" s="40"/>
      <c r="E114" s="98">
        <f>F114+H114+L114+N114+P114+R114+S114+T114+U114+V114</f>
        <v>2680912.9900000002</v>
      </c>
      <c r="F114" s="98">
        <v>0</v>
      </c>
      <c r="G114" s="17">
        <v>0</v>
      </c>
      <c r="H114" s="98">
        <v>0</v>
      </c>
      <c r="I114" s="98">
        <v>787</v>
      </c>
      <c r="J114" s="88" t="s">
        <v>111</v>
      </c>
      <c r="K114" s="99">
        <f>IF(J114="плоская",2022.07,3438.05)</f>
        <v>3438.05</v>
      </c>
      <c r="L114" s="98">
        <v>2680912.9900000002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  <c r="U114" s="98">
        <v>0</v>
      </c>
      <c r="V114" s="98">
        <v>0</v>
      </c>
      <c r="X114" s="404">
        <f>'Приложение 1'!T111</f>
        <v>4503.95</v>
      </c>
      <c r="Y114" s="404">
        <f t="shared" si="9"/>
        <v>3406.4968106734436</v>
      </c>
      <c r="Z114" s="19">
        <f t="shared" si="10"/>
        <v>1097.4531893265562</v>
      </c>
    </row>
    <row r="115" spans="1:26" ht="9" customHeight="1">
      <c r="A115" s="502">
        <v>97</v>
      </c>
      <c r="B115" s="39" t="s">
        <v>193</v>
      </c>
      <c r="C115" s="39" t="s">
        <v>1006</v>
      </c>
      <c r="D115" s="40"/>
      <c r="E115" s="98">
        <f t="shared" si="7"/>
        <v>1234829.32</v>
      </c>
      <c r="F115" s="98">
        <v>0</v>
      </c>
      <c r="G115" s="17">
        <v>0</v>
      </c>
      <c r="H115" s="98">
        <v>0</v>
      </c>
      <c r="I115" s="98">
        <v>430</v>
      </c>
      <c r="J115" s="88" t="s">
        <v>111</v>
      </c>
      <c r="K115" s="99">
        <f t="shared" si="6"/>
        <v>3438.05</v>
      </c>
      <c r="L115" s="98">
        <v>1234829.32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98">
        <v>0</v>
      </c>
      <c r="U115" s="98">
        <v>0</v>
      </c>
      <c r="V115" s="98">
        <v>0</v>
      </c>
      <c r="X115" s="404">
        <f>'Приложение 1'!T112</f>
        <v>4503.95</v>
      </c>
      <c r="Y115" s="404">
        <f t="shared" si="9"/>
        <v>2871.6960930232558</v>
      </c>
      <c r="Z115" s="19">
        <f t="shared" si="10"/>
        <v>1632.253906976744</v>
      </c>
    </row>
    <row r="116" spans="1:26" ht="9" customHeight="1">
      <c r="A116" s="502">
        <v>98</v>
      </c>
      <c r="B116" s="39" t="s">
        <v>194</v>
      </c>
      <c r="C116" s="39" t="s">
        <v>1006</v>
      </c>
      <c r="D116" s="40"/>
      <c r="E116" s="98">
        <f t="shared" si="7"/>
        <v>3050969.89</v>
      </c>
      <c r="F116" s="98">
        <v>0</v>
      </c>
      <c r="G116" s="17">
        <v>0</v>
      </c>
      <c r="H116" s="98">
        <v>0</v>
      </c>
      <c r="I116" s="98">
        <v>900</v>
      </c>
      <c r="J116" s="88" t="s">
        <v>111</v>
      </c>
      <c r="K116" s="99">
        <f t="shared" si="6"/>
        <v>3438.05</v>
      </c>
      <c r="L116" s="98">
        <v>3050969.89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0</v>
      </c>
      <c r="T116" s="98">
        <v>0</v>
      </c>
      <c r="U116" s="98">
        <v>0</v>
      </c>
      <c r="V116" s="98">
        <v>0</v>
      </c>
      <c r="X116" s="404">
        <f>'Приложение 1'!T113</f>
        <v>4503.95</v>
      </c>
      <c r="Y116" s="404">
        <f t="shared" si="9"/>
        <v>3389.9665444444445</v>
      </c>
      <c r="Z116" s="19">
        <f t="shared" si="10"/>
        <v>1113.9834555555553</v>
      </c>
    </row>
    <row r="117" spans="1:26" ht="9" customHeight="1">
      <c r="A117" s="502">
        <v>99</v>
      </c>
      <c r="B117" s="39" t="s">
        <v>195</v>
      </c>
      <c r="C117" s="39" t="s">
        <v>1006</v>
      </c>
      <c r="D117" s="39"/>
      <c r="E117" s="98">
        <f t="shared" si="7"/>
        <v>2009946.46</v>
      </c>
      <c r="F117" s="98">
        <v>0</v>
      </c>
      <c r="G117" s="17">
        <v>0</v>
      </c>
      <c r="H117" s="98">
        <v>0</v>
      </c>
      <c r="I117" s="98">
        <v>603</v>
      </c>
      <c r="J117" s="88" t="s">
        <v>111</v>
      </c>
      <c r="K117" s="99">
        <f t="shared" si="6"/>
        <v>3438.05</v>
      </c>
      <c r="L117" s="98">
        <v>2009946.46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X117" s="404">
        <f>'Приложение 1'!T114</f>
        <v>4503.95</v>
      </c>
      <c r="Y117" s="404">
        <f t="shared" si="9"/>
        <v>3333.244543946932</v>
      </c>
      <c r="Z117" s="19">
        <f t="shared" si="10"/>
        <v>1170.7054560530678</v>
      </c>
    </row>
    <row r="118" spans="1:26" ht="9" customHeight="1">
      <c r="A118" s="502">
        <v>100</v>
      </c>
      <c r="B118" s="39" t="s">
        <v>196</v>
      </c>
      <c r="C118" s="39" t="s">
        <v>1005</v>
      </c>
      <c r="D118" s="39"/>
      <c r="E118" s="98">
        <f t="shared" si="7"/>
        <v>2308002.58</v>
      </c>
      <c r="F118" s="98">
        <v>0</v>
      </c>
      <c r="G118" s="17">
        <v>0</v>
      </c>
      <c r="H118" s="98">
        <v>0</v>
      </c>
      <c r="I118" s="98">
        <v>898</v>
      </c>
      <c r="J118" s="88" t="s">
        <v>110</v>
      </c>
      <c r="K118" s="99">
        <f t="shared" ref="K118:K124" si="11">IF(J118="плоская",2022.07,3438.05)</f>
        <v>2022.07</v>
      </c>
      <c r="L118" s="98">
        <v>2308002.58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X118" s="404">
        <f>'Приложение 1'!T115</f>
        <v>4180</v>
      </c>
      <c r="Y118" s="404">
        <f t="shared" si="9"/>
        <v>2570.1587750556791</v>
      </c>
      <c r="Z118" s="19">
        <f t="shared" si="10"/>
        <v>1609.8412249443209</v>
      </c>
    </row>
    <row r="119" spans="1:26" ht="9" customHeight="1">
      <c r="A119" s="502">
        <v>101</v>
      </c>
      <c r="B119" s="39" t="s">
        <v>197</v>
      </c>
      <c r="C119" s="39" t="s">
        <v>1005</v>
      </c>
      <c r="D119" s="39"/>
      <c r="E119" s="98">
        <f t="shared" si="7"/>
        <v>1286141.6400000001</v>
      </c>
      <c r="F119" s="98">
        <v>0</v>
      </c>
      <c r="G119" s="17">
        <v>0</v>
      </c>
      <c r="H119" s="98">
        <v>0</v>
      </c>
      <c r="I119" s="98">
        <v>481</v>
      </c>
      <c r="J119" s="88" t="s">
        <v>110</v>
      </c>
      <c r="K119" s="99">
        <f t="shared" si="11"/>
        <v>2022.07</v>
      </c>
      <c r="L119" s="98">
        <v>1286141.6400000001</v>
      </c>
      <c r="M119" s="98">
        <v>0</v>
      </c>
      <c r="N119" s="98">
        <v>0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X119" s="404">
        <f>'Приложение 1'!T116</f>
        <v>4180</v>
      </c>
      <c r="Y119" s="404">
        <f t="shared" si="9"/>
        <v>2673.8911434511438</v>
      </c>
      <c r="Z119" s="19">
        <f t="shared" si="10"/>
        <v>1506.1088565488562</v>
      </c>
    </row>
    <row r="120" spans="1:26" s="233" customFormat="1" ht="9" customHeight="1">
      <c r="A120" s="502">
        <v>102</v>
      </c>
      <c r="B120" s="228" t="s">
        <v>198</v>
      </c>
      <c r="C120" s="228" t="s">
        <v>1006</v>
      </c>
      <c r="D120" s="228"/>
      <c r="E120" s="229">
        <f t="shared" si="7"/>
        <v>615919.81999999995</v>
      </c>
      <c r="F120" s="229">
        <v>0</v>
      </c>
      <c r="G120" s="230">
        <v>0</v>
      </c>
      <c r="H120" s="229">
        <v>0</v>
      </c>
      <c r="I120" s="229">
        <v>257</v>
      </c>
      <c r="J120" s="237" t="s">
        <v>111</v>
      </c>
      <c r="K120" s="227">
        <f t="shared" si="11"/>
        <v>3438.05</v>
      </c>
      <c r="L120" s="229">
        <v>615919.81999999995</v>
      </c>
      <c r="M120" s="229">
        <v>0</v>
      </c>
      <c r="N120" s="229">
        <v>0</v>
      </c>
      <c r="O120" s="229">
        <v>0</v>
      </c>
      <c r="P120" s="229">
        <v>0</v>
      </c>
      <c r="Q120" s="229">
        <v>0</v>
      </c>
      <c r="R120" s="229">
        <v>0</v>
      </c>
      <c r="S120" s="229">
        <v>0</v>
      </c>
      <c r="T120" s="229">
        <v>0</v>
      </c>
      <c r="U120" s="229">
        <v>0</v>
      </c>
      <c r="V120" s="229">
        <v>0</v>
      </c>
      <c r="X120" s="498">
        <f>'Приложение 1'!T117</f>
        <v>4503.95</v>
      </c>
      <c r="Y120" s="498">
        <f t="shared" si="9"/>
        <v>2396.5751750972759</v>
      </c>
      <c r="Z120" s="234">
        <f t="shared" si="10"/>
        <v>2107.374824902724</v>
      </c>
    </row>
    <row r="121" spans="1:26" s="233" customFormat="1" ht="9" customHeight="1">
      <c r="A121" s="502">
        <v>103</v>
      </c>
      <c r="B121" s="228" t="s">
        <v>199</v>
      </c>
      <c r="C121" s="228" t="s">
        <v>1006</v>
      </c>
      <c r="D121" s="228"/>
      <c r="E121" s="229">
        <f t="shared" si="7"/>
        <v>618007.39</v>
      </c>
      <c r="F121" s="229">
        <v>0</v>
      </c>
      <c r="G121" s="230">
        <v>0</v>
      </c>
      <c r="H121" s="229">
        <v>0</v>
      </c>
      <c r="I121" s="229">
        <v>248</v>
      </c>
      <c r="J121" s="237" t="s">
        <v>111</v>
      </c>
      <c r="K121" s="227">
        <f t="shared" si="11"/>
        <v>3438.05</v>
      </c>
      <c r="L121" s="229">
        <v>618007.39</v>
      </c>
      <c r="M121" s="229">
        <v>0</v>
      </c>
      <c r="N121" s="229">
        <v>0</v>
      </c>
      <c r="O121" s="229">
        <v>0</v>
      </c>
      <c r="P121" s="229">
        <v>0</v>
      </c>
      <c r="Q121" s="229">
        <v>0</v>
      </c>
      <c r="R121" s="229">
        <v>0</v>
      </c>
      <c r="S121" s="229">
        <v>0</v>
      </c>
      <c r="T121" s="229">
        <v>0</v>
      </c>
      <c r="U121" s="229">
        <v>0</v>
      </c>
      <c r="V121" s="229">
        <v>0</v>
      </c>
      <c r="X121" s="498">
        <f>'Приложение 1'!T118</f>
        <v>4503.95</v>
      </c>
      <c r="Y121" s="498">
        <f t="shared" si="9"/>
        <v>2491.9652822580647</v>
      </c>
      <c r="Z121" s="234">
        <f t="shared" si="10"/>
        <v>2011.9847177419351</v>
      </c>
    </row>
    <row r="122" spans="1:26" s="233" customFormat="1" ht="9" customHeight="1">
      <c r="A122" s="502">
        <v>104</v>
      </c>
      <c r="B122" s="228" t="s">
        <v>200</v>
      </c>
      <c r="C122" s="228" t="s">
        <v>1005</v>
      </c>
      <c r="D122" s="228"/>
      <c r="E122" s="229">
        <f t="shared" si="7"/>
        <v>2690517</v>
      </c>
      <c r="F122" s="229">
        <v>0</v>
      </c>
      <c r="G122" s="230">
        <v>0</v>
      </c>
      <c r="H122" s="229">
        <v>0</v>
      </c>
      <c r="I122" s="229">
        <v>917.92</v>
      </c>
      <c r="J122" s="237" t="s">
        <v>110</v>
      </c>
      <c r="K122" s="227">
        <f t="shared" si="11"/>
        <v>2022.07</v>
      </c>
      <c r="L122" s="229">
        <v>2690517</v>
      </c>
      <c r="M122" s="229">
        <v>0</v>
      </c>
      <c r="N122" s="229">
        <v>0</v>
      </c>
      <c r="O122" s="229">
        <v>0</v>
      </c>
      <c r="P122" s="229">
        <v>0</v>
      </c>
      <c r="Q122" s="229">
        <v>0</v>
      </c>
      <c r="R122" s="229">
        <v>0</v>
      </c>
      <c r="S122" s="229">
        <v>0</v>
      </c>
      <c r="T122" s="229">
        <v>0</v>
      </c>
      <c r="U122" s="229">
        <v>0</v>
      </c>
      <c r="V122" s="229">
        <v>0</v>
      </c>
      <c r="X122" s="498">
        <f>'Приложение 1'!T119</f>
        <v>4180</v>
      </c>
      <c r="Y122" s="498">
        <f t="shared" si="9"/>
        <v>2931.1018389402129</v>
      </c>
      <c r="Z122" s="234">
        <f t="shared" si="10"/>
        <v>1248.8981610597871</v>
      </c>
    </row>
    <row r="123" spans="1:26" ht="9" customHeight="1">
      <c r="A123" s="502">
        <v>105</v>
      </c>
      <c r="B123" s="39" t="s">
        <v>201</v>
      </c>
      <c r="C123" s="39" t="s">
        <v>1006</v>
      </c>
      <c r="D123" s="39"/>
      <c r="E123" s="98">
        <f t="shared" si="7"/>
        <v>1163314.4099999999</v>
      </c>
      <c r="F123" s="98">
        <v>0</v>
      </c>
      <c r="G123" s="17">
        <v>0</v>
      </c>
      <c r="H123" s="98">
        <v>0</v>
      </c>
      <c r="I123" s="98">
        <v>374.4</v>
      </c>
      <c r="J123" s="88" t="s">
        <v>111</v>
      </c>
      <c r="K123" s="99">
        <f t="shared" si="11"/>
        <v>3438.05</v>
      </c>
      <c r="L123" s="98">
        <v>1163314.4099999999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  <c r="U123" s="98">
        <v>0</v>
      </c>
      <c r="V123" s="98">
        <v>0</v>
      </c>
      <c r="X123" s="404">
        <f>'Приложение 1'!T120</f>
        <v>4503.95</v>
      </c>
      <c r="Y123" s="404">
        <f t="shared" si="9"/>
        <v>3107.1431891025641</v>
      </c>
      <c r="Z123" s="19">
        <f t="shared" si="10"/>
        <v>1396.8068108974358</v>
      </c>
    </row>
    <row r="124" spans="1:26" ht="9" customHeight="1">
      <c r="A124" s="502">
        <v>106</v>
      </c>
      <c r="B124" s="39" t="s">
        <v>202</v>
      </c>
      <c r="C124" s="39" t="s">
        <v>1006</v>
      </c>
      <c r="D124" s="39"/>
      <c r="E124" s="98">
        <f t="shared" si="7"/>
        <v>2391339.38</v>
      </c>
      <c r="F124" s="98">
        <v>0</v>
      </c>
      <c r="G124" s="17">
        <v>0</v>
      </c>
      <c r="H124" s="98">
        <v>0</v>
      </c>
      <c r="I124" s="98">
        <v>700</v>
      </c>
      <c r="J124" s="88" t="s">
        <v>111</v>
      </c>
      <c r="K124" s="99">
        <f t="shared" si="11"/>
        <v>3438.05</v>
      </c>
      <c r="L124" s="98">
        <v>2391339.38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X124" s="404">
        <f>'Приложение 1'!T121</f>
        <v>4503.95</v>
      </c>
      <c r="Y124" s="404">
        <f t="shared" si="9"/>
        <v>3416.1991142857141</v>
      </c>
      <c r="Z124" s="19">
        <f t="shared" si="10"/>
        <v>1087.7508857142857</v>
      </c>
    </row>
    <row r="125" spans="1:26" ht="9" customHeight="1">
      <c r="A125" s="502">
        <v>107</v>
      </c>
      <c r="B125" s="39" t="s">
        <v>205</v>
      </c>
      <c r="C125" s="39" t="s">
        <v>1005</v>
      </c>
      <c r="D125" s="39"/>
      <c r="E125" s="98">
        <f>F125+H125+L125+N125+P125+R125+S125+T125+U125+V125</f>
        <v>4194560.96</v>
      </c>
      <c r="F125" s="98">
        <v>0</v>
      </c>
      <c r="G125" s="17">
        <v>0</v>
      </c>
      <c r="H125" s="98">
        <v>0</v>
      </c>
      <c r="I125" s="98">
        <v>1388</v>
      </c>
      <c r="J125" s="88" t="s">
        <v>110</v>
      </c>
      <c r="K125" s="99">
        <f>IF(J125="плоская",2022.07,3438.05)</f>
        <v>2022.07</v>
      </c>
      <c r="L125" s="98">
        <v>4194560.96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X125" s="404">
        <f>'Приложение 1'!T122</f>
        <v>4180</v>
      </c>
      <c r="Y125" s="404">
        <f t="shared" si="9"/>
        <v>3022.0179827089337</v>
      </c>
      <c r="Z125" s="19">
        <f t="shared" si="10"/>
        <v>1157.9820172910663</v>
      </c>
    </row>
    <row r="126" spans="1:26" ht="9" customHeight="1">
      <c r="A126" s="502">
        <v>108</v>
      </c>
      <c r="B126" s="250" t="s">
        <v>1104</v>
      </c>
      <c r="C126" s="254"/>
      <c r="D126" s="254"/>
      <c r="E126" s="255">
        <f>F126+H126+L126+N126+P126+R126+S126+T126+U126+V126</f>
        <v>390000</v>
      </c>
      <c r="F126" s="255">
        <v>0</v>
      </c>
      <c r="G126" s="256">
        <v>0</v>
      </c>
      <c r="H126" s="255">
        <v>0</v>
      </c>
      <c r="I126" s="255">
        <v>0</v>
      </c>
      <c r="J126" s="257"/>
      <c r="K126" s="253"/>
      <c r="L126" s="255">
        <v>0</v>
      </c>
      <c r="M126" s="255">
        <v>0</v>
      </c>
      <c r="N126" s="255">
        <v>0</v>
      </c>
      <c r="O126" s="255">
        <v>2319</v>
      </c>
      <c r="P126" s="255">
        <v>390000</v>
      </c>
      <c r="Q126" s="255">
        <v>0</v>
      </c>
      <c r="R126" s="255">
        <v>0</v>
      </c>
      <c r="S126" s="255">
        <v>0</v>
      </c>
      <c r="T126" s="255">
        <v>0</v>
      </c>
      <c r="U126" s="255">
        <v>0</v>
      </c>
      <c r="V126" s="255">
        <v>0</v>
      </c>
      <c r="W126" s="264" t="s">
        <v>1107</v>
      </c>
      <c r="X126" s="404">
        <f>'Приложение 1'!T123</f>
        <v>2194.5</v>
      </c>
      <c r="Y126" s="404">
        <f>P126/O126</f>
        <v>168.17593790426909</v>
      </c>
      <c r="Z126" s="19"/>
    </row>
    <row r="127" spans="1:26" ht="9" customHeight="1">
      <c r="A127" s="502">
        <v>109</v>
      </c>
      <c r="B127" s="250" t="s">
        <v>1105</v>
      </c>
      <c r="C127" s="254"/>
      <c r="D127" s="254"/>
      <c r="E127" s="255">
        <f>F127+H127+L127+N127+P127+R127+S127+T127+U127+V127</f>
        <v>961041.56</v>
      </c>
      <c r="F127" s="255">
        <v>961041.56</v>
      </c>
      <c r="G127" s="256">
        <v>0</v>
      </c>
      <c r="H127" s="255">
        <v>0</v>
      </c>
      <c r="I127" s="255">
        <v>0</v>
      </c>
      <c r="J127" s="257"/>
      <c r="K127" s="253"/>
      <c r="L127" s="255">
        <v>0</v>
      </c>
      <c r="M127" s="255">
        <v>0</v>
      </c>
      <c r="N127" s="255">
        <v>0</v>
      </c>
      <c r="O127" s="255">
        <v>0</v>
      </c>
      <c r="P127" s="255">
        <v>0</v>
      </c>
      <c r="Q127" s="255">
        <v>0</v>
      </c>
      <c r="R127" s="255">
        <v>0</v>
      </c>
      <c r="S127" s="255">
        <v>0</v>
      </c>
      <c r="T127" s="255">
        <v>0</v>
      </c>
      <c r="U127" s="255">
        <v>0</v>
      </c>
      <c r="V127" s="255">
        <v>0</v>
      </c>
      <c r="W127" s="264" t="s">
        <v>1107</v>
      </c>
      <c r="X127" s="404"/>
      <c r="Y127" s="404" t="e">
        <f t="shared" si="9"/>
        <v>#DIV/0!</v>
      </c>
      <c r="Z127" s="19"/>
    </row>
    <row r="128" spans="1:26" ht="9" customHeight="1">
      <c r="A128" s="502">
        <v>110</v>
      </c>
      <c r="B128" s="250" t="s">
        <v>1117</v>
      </c>
      <c r="C128" s="254"/>
      <c r="D128" s="254"/>
      <c r="E128" s="255">
        <f t="shared" ref="E128:E133" si="12">F128+H128+L128+N128+P128+R128+S128+T128+U128+V128</f>
        <v>379884</v>
      </c>
      <c r="F128" s="255">
        <v>379884</v>
      </c>
      <c r="G128" s="256">
        <v>0</v>
      </c>
      <c r="H128" s="255">
        <v>0</v>
      </c>
      <c r="I128" s="255">
        <v>0</v>
      </c>
      <c r="J128" s="257"/>
      <c r="K128" s="253"/>
      <c r="L128" s="255">
        <v>0</v>
      </c>
      <c r="M128" s="255">
        <v>0</v>
      </c>
      <c r="N128" s="255">
        <v>0</v>
      </c>
      <c r="O128" s="255">
        <v>0</v>
      </c>
      <c r="P128" s="255">
        <v>0</v>
      </c>
      <c r="Q128" s="255">
        <v>0</v>
      </c>
      <c r="R128" s="255">
        <v>0</v>
      </c>
      <c r="S128" s="255">
        <v>0</v>
      </c>
      <c r="T128" s="255">
        <v>0</v>
      </c>
      <c r="U128" s="255">
        <v>0</v>
      </c>
      <c r="V128" s="255">
        <v>0</v>
      </c>
      <c r="W128" s="264" t="s">
        <v>1107</v>
      </c>
      <c r="X128" s="404"/>
      <c r="Y128" s="404"/>
      <c r="Z128" s="19"/>
    </row>
    <row r="129" spans="1:26" ht="9" customHeight="1">
      <c r="A129" s="502">
        <v>111</v>
      </c>
      <c r="B129" s="250" t="s">
        <v>1118</v>
      </c>
      <c r="C129" s="254"/>
      <c r="D129" s="254"/>
      <c r="E129" s="255">
        <f t="shared" si="12"/>
        <v>570000</v>
      </c>
      <c r="F129" s="255">
        <v>0</v>
      </c>
      <c r="G129" s="256">
        <v>0</v>
      </c>
      <c r="H129" s="255">
        <v>0</v>
      </c>
      <c r="I129" s="255">
        <v>0</v>
      </c>
      <c r="J129" s="257"/>
      <c r="K129" s="253"/>
      <c r="L129" s="255">
        <v>0</v>
      </c>
      <c r="M129" s="255">
        <v>0</v>
      </c>
      <c r="N129" s="255">
        <v>0</v>
      </c>
      <c r="O129" s="255">
        <v>0</v>
      </c>
      <c r="P129" s="255">
        <v>0</v>
      </c>
      <c r="Q129" s="255">
        <v>0</v>
      </c>
      <c r="R129" s="255">
        <v>0</v>
      </c>
      <c r="S129" s="255">
        <v>570000</v>
      </c>
      <c r="T129" s="255">
        <v>0</v>
      </c>
      <c r="U129" s="255">
        <v>0</v>
      </c>
      <c r="V129" s="255">
        <v>0</v>
      </c>
      <c r="W129" s="264" t="s">
        <v>1107</v>
      </c>
      <c r="X129" s="404"/>
      <c r="Y129" s="404"/>
      <c r="Z129" s="19"/>
    </row>
    <row r="130" spans="1:26" ht="9" customHeight="1">
      <c r="A130" s="502">
        <v>112</v>
      </c>
      <c r="B130" s="250" t="s">
        <v>1119</v>
      </c>
      <c r="C130" s="254"/>
      <c r="D130" s="254"/>
      <c r="E130" s="255">
        <f t="shared" si="12"/>
        <v>979618</v>
      </c>
      <c r="F130" s="255">
        <v>979618</v>
      </c>
      <c r="G130" s="256">
        <v>0</v>
      </c>
      <c r="H130" s="255">
        <v>0</v>
      </c>
      <c r="I130" s="255">
        <v>0</v>
      </c>
      <c r="J130" s="257"/>
      <c r="K130" s="253"/>
      <c r="L130" s="255">
        <v>0</v>
      </c>
      <c r="M130" s="255">
        <v>0</v>
      </c>
      <c r="N130" s="255">
        <v>0</v>
      </c>
      <c r="O130" s="255">
        <v>0</v>
      </c>
      <c r="P130" s="255">
        <v>0</v>
      </c>
      <c r="Q130" s="255">
        <v>0</v>
      </c>
      <c r="R130" s="255">
        <v>0</v>
      </c>
      <c r="S130" s="255">
        <v>0</v>
      </c>
      <c r="T130" s="255">
        <v>0</v>
      </c>
      <c r="U130" s="255">
        <v>0</v>
      </c>
      <c r="V130" s="255">
        <v>0</v>
      </c>
      <c r="W130" s="264" t="s">
        <v>1107</v>
      </c>
      <c r="X130" s="404"/>
      <c r="Y130" s="404"/>
      <c r="Z130" s="19"/>
    </row>
    <row r="131" spans="1:26" ht="9" customHeight="1">
      <c r="A131" s="502">
        <v>113</v>
      </c>
      <c r="B131" s="250" t="s">
        <v>1120</v>
      </c>
      <c r="C131" s="254"/>
      <c r="D131" s="254"/>
      <c r="E131" s="255">
        <f t="shared" si="12"/>
        <v>854447</v>
      </c>
      <c r="F131" s="255">
        <v>239766</v>
      </c>
      <c r="G131" s="256">
        <v>0</v>
      </c>
      <c r="H131" s="255">
        <v>0</v>
      </c>
      <c r="I131" s="255">
        <v>0</v>
      </c>
      <c r="J131" s="257"/>
      <c r="K131" s="253"/>
      <c r="L131" s="255">
        <v>0</v>
      </c>
      <c r="M131" s="255">
        <v>0</v>
      </c>
      <c r="N131" s="255">
        <v>0</v>
      </c>
      <c r="O131" s="255">
        <v>1821.4</v>
      </c>
      <c r="P131" s="255">
        <v>357000</v>
      </c>
      <c r="Q131" s="255">
        <v>0</v>
      </c>
      <c r="R131" s="255">
        <v>0</v>
      </c>
      <c r="S131" s="255">
        <v>0</v>
      </c>
      <c r="T131" s="255">
        <v>0</v>
      </c>
      <c r="U131" s="255">
        <v>257681</v>
      </c>
      <c r="V131" s="255">
        <v>0</v>
      </c>
      <c r="W131" s="264" t="s">
        <v>1107</v>
      </c>
      <c r="X131" s="404">
        <f>'Приложение 1'!T128</f>
        <v>7502.06</v>
      </c>
      <c r="Y131" s="404">
        <f>P131/O131</f>
        <v>196.00307455803227</v>
      </c>
      <c r="Z131" s="19"/>
    </row>
    <row r="132" spans="1:26" ht="9" customHeight="1">
      <c r="A132" s="502">
        <v>114</v>
      </c>
      <c r="B132" s="250" t="s">
        <v>1164</v>
      </c>
      <c r="C132" s="254"/>
      <c r="D132" s="254"/>
      <c r="E132" s="255">
        <f t="shared" si="12"/>
        <v>357000</v>
      </c>
      <c r="F132" s="255">
        <v>0</v>
      </c>
      <c r="G132" s="256">
        <v>0</v>
      </c>
      <c r="H132" s="255">
        <v>0</v>
      </c>
      <c r="I132" s="255">
        <v>0</v>
      </c>
      <c r="J132" s="257"/>
      <c r="K132" s="253"/>
      <c r="L132" s="255">
        <v>0</v>
      </c>
      <c r="M132" s="255">
        <v>0</v>
      </c>
      <c r="N132" s="255">
        <v>0</v>
      </c>
      <c r="O132" s="255">
        <v>3604</v>
      </c>
      <c r="P132" s="255">
        <v>357000</v>
      </c>
      <c r="Q132" s="255">
        <v>0</v>
      </c>
      <c r="R132" s="255">
        <v>0</v>
      </c>
      <c r="S132" s="255">
        <v>0</v>
      </c>
      <c r="T132" s="255">
        <v>0</v>
      </c>
      <c r="U132" s="255">
        <v>0</v>
      </c>
      <c r="V132" s="255">
        <v>0</v>
      </c>
      <c r="W132" s="264" t="s">
        <v>1107</v>
      </c>
      <c r="X132" s="404">
        <f>'Приложение 1'!T129</f>
        <v>2194.5</v>
      </c>
      <c r="Y132" s="404">
        <f>P132/O132</f>
        <v>99.056603773584911</v>
      </c>
      <c r="Z132" s="19"/>
    </row>
    <row r="133" spans="1:26" ht="9" customHeight="1">
      <c r="A133" s="502">
        <v>115</v>
      </c>
      <c r="B133" s="251" t="s">
        <v>1190</v>
      </c>
      <c r="C133" s="254"/>
      <c r="D133" s="254"/>
      <c r="E133" s="255">
        <f t="shared" si="12"/>
        <v>278275.90000000002</v>
      </c>
      <c r="F133" s="255">
        <v>278275.90000000002</v>
      </c>
      <c r="G133" s="256">
        <v>0</v>
      </c>
      <c r="H133" s="255">
        <v>0</v>
      </c>
      <c r="I133" s="255">
        <v>0</v>
      </c>
      <c r="J133" s="257"/>
      <c r="K133" s="253"/>
      <c r="L133" s="255">
        <v>0</v>
      </c>
      <c r="M133" s="255">
        <v>0</v>
      </c>
      <c r="N133" s="255">
        <v>0</v>
      </c>
      <c r="O133" s="255">
        <v>0</v>
      </c>
      <c r="P133" s="255">
        <v>0</v>
      </c>
      <c r="Q133" s="255">
        <v>0</v>
      </c>
      <c r="R133" s="255">
        <v>0</v>
      </c>
      <c r="S133" s="255">
        <v>0</v>
      </c>
      <c r="T133" s="255">
        <v>0</v>
      </c>
      <c r="U133" s="255">
        <v>0</v>
      </c>
      <c r="V133" s="255">
        <v>0</v>
      </c>
      <c r="W133" s="264" t="s">
        <v>1107</v>
      </c>
      <c r="X133" s="404"/>
      <c r="Y133" s="404"/>
      <c r="Z133" s="19"/>
    </row>
    <row r="134" spans="1:26" ht="9.75" customHeight="1">
      <c r="A134" s="882" t="s">
        <v>221</v>
      </c>
      <c r="B134" s="882"/>
      <c r="C134" s="882"/>
      <c r="D134" s="882"/>
      <c r="E134" s="882"/>
      <c r="F134" s="882"/>
      <c r="G134" s="882"/>
      <c r="H134" s="882"/>
      <c r="I134" s="882"/>
      <c r="J134" s="882"/>
      <c r="K134" s="882"/>
      <c r="L134" s="882"/>
      <c r="M134" s="882"/>
      <c r="N134" s="882"/>
      <c r="O134" s="882"/>
      <c r="P134" s="882"/>
      <c r="Q134" s="882"/>
      <c r="R134" s="882"/>
      <c r="S134" s="882"/>
      <c r="T134" s="882"/>
      <c r="U134" s="882"/>
      <c r="V134" s="882"/>
      <c r="X134" s="404">
        <f>'Приложение 1'!T131</f>
        <v>0</v>
      </c>
      <c r="Y134" s="404" t="e">
        <f t="shared" si="9"/>
        <v>#DIV/0!</v>
      </c>
      <c r="Z134" s="19" t="e">
        <f t="shared" si="10"/>
        <v>#DIV/0!</v>
      </c>
    </row>
    <row r="135" spans="1:26" ht="22.5" customHeight="1">
      <c r="A135" s="881" t="s">
        <v>220</v>
      </c>
      <c r="B135" s="881"/>
      <c r="C135" s="58"/>
      <c r="D135" s="58"/>
      <c r="E135" s="98">
        <f>SUM(E136:E145)</f>
        <v>25792157.199999999</v>
      </c>
      <c r="F135" s="433">
        <f t="shared" ref="F135:V135" si="13">SUM(F136:F145)</f>
        <v>2507870.84</v>
      </c>
      <c r="G135" s="8">
        <f t="shared" si="13"/>
        <v>0</v>
      </c>
      <c r="H135" s="433">
        <f t="shared" si="13"/>
        <v>0</v>
      </c>
      <c r="I135" s="433">
        <f t="shared" si="13"/>
        <v>7299.2999999999993</v>
      </c>
      <c r="J135" s="433">
        <f t="shared" si="13"/>
        <v>0</v>
      </c>
      <c r="K135" s="433">
        <f t="shared" si="13"/>
        <v>28053.019999999997</v>
      </c>
      <c r="L135" s="433">
        <f t="shared" si="13"/>
        <v>23187086.360000003</v>
      </c>
      <c r="M135" s="433">
        <f t="shared" si="13"/>
        <v>0</v>
      </c>
      <c r="N135" s="433">
        <f t="shared" si="13"/>
        <v>0</v>
      </c>
      <c r="O135" s="433">
        <f t="shared" si="13"/>
        <v>2000</v>
      </c>
      <c r="P135" s="433">
        <f t="shared" si="13"/>
        <v>97200</v>
      </c>
      <c r="Q135" s="433">
        <f t="shared" si="13"/>
        <v>0</v>
      </c>
      <c r="R135" s="433">
        <f t="shared" si="13"/>
        <v>0</v>
      </c>
      <c r="S135" s="433">
        <f t="shared" si="13"/>
        <v>0</v>
      </c>
      <c r="T135" s="433">
        <f t="shared" si="13"/>
        <v>0</v>
      </c>
      <c r="U135" s="433">
        <f t="shared" si="13"/>
        <v>0</v>
      </c>
      <c r="V135" s="433">
        <f t="shared" si="13"/>
        <v>0</v>
      </c>
      <c r="X135" s="404">
        <f>'Приложение 1'!T132</f>
        <v>0</v>
      </c>
      <c r="Y135" s="404">
        <f t="shared" si="9"/>
        <v>3176.6178071869913</v>
      </c>
      <c r="Z135" s="19">
        <f t="shared" si="10"/>
        <v>-3176.6178071869913</v>
      </c>
    </row>
    <row r="136" spans="1:26" ht="9" customHeight="1">
      <c r="A136" s="57">
        <v>116</v>
      </c>
      <c r="B136" s="96" t="s">
        <v>223</v>
      </c>
      <c r="C136" s="39" t="s">
        <v>1008</v>
      </c>
      <c r="D136" s="39"/>
      <c r="E136" s="98">
        <f>F136+H136+L136+N136+P136+R136+S136+T136+U136+V136</f>
        <v>2507870.84</v>
      </c>
      <c r="F136" s="98">
        <v>2507870.84</v>
      </c>
      <c r="G136" s="17">
        <v>0</v>
      </c>
      <c r="H136" s="98">
        <v>0</v>
      </c>
      <c r="I136" s="98">
        <v>0</v>
      </c>
      <c r="J136" s="98" t="s">
        <v>229</v>
      </c>
      <c r="K136" s="98">
        <f>(200+1060+170+260+190)*1.045</f>
        <v>1964.6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X136" s="404">
        <f>'Приложение 1'!T133</f>
        <v>4984.6499999999996</v>
      </c>
      <c r="Y136" s="404" t="e">
        <f t="shared" si="9"/>
        <v>#DIV/0!</v>
      </c>
      <c r="Z136" s="19" t="e">
        <f t="shared" si="10"/>
        <v>#DIV/0!</v>
      </c>
    </row>
    <row r="137" spans="1:26" ht="9" customHeight="1">
      <c r="A137" s="57">
        <v>117</v>
      </c>
      <c r="B137" s="96" t="s">
        <v>366</v>
      </c>
      <c r="C137" s="39" t="s">
        <v>1006</v>
      </c>
      <c r="D137" s="39"/>
      <c r="E137" s="98">
        <f t="shared" ref="E137:E145" si="14">F137+H137+L137+N137+P137+R137+S137+T137+U137+V137</f>
        <v>3992588.78</v>
      </c>
      <c r="F137" s="98">
        <v>0</v>
      </c>
      <c r="G137" s="17">
        <v>0</v>
      </c>
      <c r="H137" s="98">
        <v>0</v>
      </c>
      <c r="I137" s="98">
        <v>1201</v>
      </c>
      <c r="J137" s="110" t="s">
        <v>111</v>
      </c>
      <c r="K137" s="110">
        <v>3438.05</v>
      </c>
      <c r="L137" s="98">
        <v>3992588.78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X137" s="404">
        <f>'Приложение 1'!T134</f>
        <v>4503.95</v>
      </c>
      <c r="Y137" s="404">
        <f t="shared" si="9"/>
        <v>3324.3869941715234</v>
      </c>
      <c r="Z137" s="19">
        <f t="shared" si="10"/>
        <v>1179.5630058284764</v>
      </c>
    </row>
    <row r="138" spans="1:26" ht="9" customHeight="1">
      <c r="A138" s="57">
        <v>118</v>
      </c>
      <c r="B138" s="96" t="s">
        <v>367</v>
      </c>
      <c r="C138" s="58" t="s">
        <v>1006</v>
      </c>
      <c r="D138" s="58"/>
      <c r="E138" s="98">
        <f t="shared" si="14"/>
        <v>4495198.79</v>
      </c>
      <c r="F138" s="98">
        <v>0</v>
      </c>
      <c r="G138" s="17">
        <v>0</v>
      </c>
      <c r="H138" s="98">
        <v>0</v>
      </c>
      <c r="I138" s="98">
        <v>1351</v>
      </c>
      <c r="J138" s="110" t="s">
        <v>111</v>
      </c>
      <c r="K138" s="110">
        <v>3438.05</v>
      </c>
      <c r="L138" s="98">
        <v>4495198.79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X138" s="404">
        <f>'Приложение 1'!T135</f>
        <v>4503.95</v>
      </c>
      <c r="Y138" s="404">
        <f t="shared" si="9"/>
        <v>3327.3122057735013</v>
      </c>
      <c r="Z138" s="19">
        <f t="shared" si="10"/>
        <v>1176.6377942264985</v>
      </c>
    </row>
    <row r="139" spans="1:26" s="233" customFormat="1" ht="9" customHeight="1">
      <c r="A139" s="57">
        <v>119</v>
      </c>
      <c r="B139" s="235" t="s">
        <v>368</v>
      </c>
      <c r="C139" s="236" t="s">
        <v>1006</v>
      </c>
      <c r="D139" s="236"/>
      <c r="E139" s="229">
        <f t="shared" si="14"/>
        <v>1110243.6499999999</v>
      </c>
      <c r="F139" s="229">
        <v>0</v>
      </c>
      <c r="G139" s="230">
        <v>0</v>
      </c>
      <c r="H139" s="229">
        <v>0</v>
      </c>
      <c r="I139" s="229">
        <v>327.36</v>
      </c>
      <c r="J139" s="240" t="s">
        <v>111</v>
      </c>
      <c r="K139" s="240">
        <v>3438.05</v>
      </c>
      <c r="L139" s="229">
        <v>1110243.6499999999</v>
      </c>
      <c r="M139" s="229">
        <v>0</v>
      </c>
      <c r="N139" s="229">
        <v>0</v>
      </c>
      <c r="O139" s="229">
        <v>0</v>
      </c>
      <c r="P139" s="229">
        <v>0</v>
      </c>
      <c r="Q139" s="229">
        <v>0</v>
      </c>
      <c r="R139" s="229">
        <v>0</v>
      </c>
      <c r="S139" s="229">
        <v>0</v>
      </c>
      <c r="T139" s="229">
        <v>0</v>
      </c>
      <c r="U139" s="229">
        <v>0</v>
      </c>
      <c r="V139" s="229">
        <v>0</v>
      </c>
      <c r="X139" s="498">
        <f>'Приложение 1'!T136</f>
        <v>4503.95</v>
      </c>
      <c r="Y139" s="498">
        <f t="shared" si="9"/>
        <v>3391.5067509775167</v>
      </c>
      <c r="Z139" s="234">
        <f t="shared" si="10"/>
        <v>1112.4432490224831</v>
      </c>
    </row>
    <row r="140" spans="1:26" ht="9" customHeight="1">
      <c r="A140" s="57">
        <v>120</v>
      </c>
      <c r="B140" s="96" t="s">
        <v>225</v>
      </c>
      <c r="C140" s="39" t="s">
        <v>1006</v>
      </c>
      <c r="D140" s="39"/>
      <c r="E140" s="98">
        <f t="shared" si="14"/>
        <v>2935085.2</v>
      </c>
      <c r="F140" s="98">
        <v>0</v>
      </c>
      <c r="G140" s="17">
        <v>0</v>
      </c>
      <c r="H140" s="98">
        <v>0</v>
      </c>
      <c r="I140" s="98">
        <v>833.56</v>
      </c>
      <c r="J140" s="98" t="s">
        <v>111</v>
      </c>
      <c r="K140" s="98">
        <v>3438.05</v>
      </c>
      <c r="L140" s="98">
        <v>2935085.2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  <c r="R140" s="98">
        <v>0</v>
      </c>
      <c r="S140" s="98">
        <v>0</v>
      </c>
      <c r="T140" s="98">
        <v>0</v>
      </c>
      <c r="U140" s="98">
        <v>0</v>
      </c>
      <c r="V140" s="98">
        <v>0</v>
      </c>
      <c r="X140" s="404">
        <f>'Приложение 1'!T137</f>
        <v>4503.95</v>
      </c>
      <c r="Y140" s="404">
        <f t="shared" si="9"/>
        <v>3521.1444886990744</v>
      </c>
      <c r="Z140" s="19">
        <f t="shared" si="10"/>
        <v>982.80551130092545</v>
      </c>
    </row>
    <row r="141" spans="1:26" ht="9" customHeight="1">
      <c r="A141" s="57">
        <v>121</v>
      </c>
      <c r="B141" s="96" t="s">
        <v>224</v>
      </c>
      <c r="C141" s="39" t="s">
        <v>1006</v>
      </c>
      <c r="D141" s="39"/>
      <c r="E141" s="98">
        <f t="shared" si="14"/>
        <v>1936321.92</v>
      </c>
      <c r="F141" s="98">
        <v>0</v>
      </c>
      <c r="G141" s="17">
        <v>0</v>
      </c>
      <c r="H141" s="98">
        <v>0</v>
      </c>
      <c r="I141" s="98">
        <v>546.32000000000005</v>
      </c>
      <c r="J141" s="98" t="s">
        <v>111</v>
      </c>
      <c r="K141" s="98">
        <v>3438.05</v>
      </c>
      <c r="L141" s="98">
        <v>1936321.92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X141" s="404">
        <f>'Приложение 1'!T138</f>
        <v>4503.95</v>
      </c>
      <c r="Y141" s="404">
        <f t="shared" si="9"/>
        <v>3544.2998974959728</v>
      </c>
      <c r="Z141" s="19">
        <f t="shared" si="10"/>
        <v>959.65010250402702</v>
      </c>
    </row>
    <row r="142" spans="1:26" ht="9" customHeight="1">
      <c r="A142" s="57">
        <v>122</v>
      </c>
      <c r="B142" s="96" t="s">
        <v>226</v>
      </c>
      <c r="C142" s="39" t="s">
        <v>1006</v>
      </c>
      <c r="D142" s="39"/>
      <c r="E142" s="98">
        <f t="shared" si="14"/>
        <v>4038200</v>
      </c>
      <c r="F142" s="98">
        <v>0</v>
      </c>
      <c r="G142" s="17">
        <v>0</v>
      </c>
      <c r="H142" s="98">
        <v>0</v>
      </c>
      <c r="I142" s="98">
        <v>1258</v>
      </c>
      <c r="J142" s="98" t="s">
        <v>111</v>
      </c>
      <c r="K142" s="98">
        <v>3438.05</v>
      </c>
      <c r="L142" s="98">
        <v>4038200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98">
        <v>0</v>
      </c>
      <c r="S142" s="98">
        <v>0</v>
      </c>
      <c r="T142" s="98">
        <v>0</v>
      </c>
      <c r="U142" s="98">
        <v>0</v>
      </c>
      <c r="V142" s="98">
        <v>0</v>
      </c>
      <c r="X142" s="404">
        <f>'Приложение 1'!T139</f>
        <v>4503.95</v>
      </c>
      <c r="Y142" s="404">
        <f t="shared" si="9"/>
        <v>3210.0158982511925</v>
      </c>
      <c r="Z142" s="19">
        <f t="shared" si="10"/>
        <v>1293.9341017488073</v>
      </c>
    </row>
    <row r="143" spans="1:26" ht="9" customHeight="1">
      <c r="A143" s="57">
        <v>123</v>
      </c>
      <c r="B143" s="96" t="s">
        <v>369</v>
      </c>
      <c r="C143" s="58" t="s">
        <v>1006</v>
      </c>
      <c r="D143" s="58"/>
      <c r="E143" s="98">
        <f t="shared" si="14"/>
        <v>2640715.48</v>
      </c>
      <c r="F143" s="98">
        <v>0</v>
      </c>
      <c r="G143" s="17">
        <v>0</v>
      </c>
      <c r="H143" s="98">
        <v>0</v>
      </c>
      <c r="I143" s="98">
        <v>907.7</v>
      </c>
      <c r="J143" s="110" t="s">
        <v>111</v>
      </c>
      <c r="K143" s="110">
        <v>3438.05</v>
      </c>
      <c r="L143" s="98">
        <v>2640715.48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X143" s="404">
        <f>'Приложение 1'!T140</f>
        <v>4503.95</v>
      </c>
      <c r="Y143" s="404">
        <f t="shared" si="9"/>
        <v>2909.2381623884544</v>
      </c>
      <c r="Z143" s="19">
        <f t="shared" si="10"/>
        <v>1594.7118376115454</v>
      </c>
    </row>
    <row r="144" spans="1:26" ht="9.75" customHeight="1">
      <c r="A144" s="57">
        <v>124</v>
      </c>
      <c r="B144" s="96" t="s">
        <v>227</v>
      </c>
      <c r="C144" s="39" t="s">
        <v>1005</v>
      </c>
      <c r="D144" s="39"/>
      <c r="E144" s="98">
        <f t="shared" si="14"/>
        <v>2038732.54</v>
      </c>
      <c r="F144" s="98">
        <v>0</v>
      </c>
      <c r="G144" s="17">
        <v>0</v>
      </c>
      <c r="H144" s="98">
        <v>0</v>
      </c>
      <c r="I144" s="98">
        <v>874.36</v>
      </c>
      <c r="J144" s="98" t="s">
        <v>110</v>
      </c>
      <c r="K144" s="98">
        <v>2022.07</v>
      </c>
      <c r="L144" s="98">
        <v>2038732.54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X144" s="404">
        <f>'Приложение 1'!T141</f>
        <v>4180</v>
      </c>
      <c r="Y144" s="404">
        <f t="shared" si="9"/>
        <v>2331.6855071137747</v>
      </c>
      <c r="Z144" s="19">
        <f t="shared" si="10"/>
        <v>1848.3144928862253</v>
      </c>
    </row>
    <row r="145" spans="1:26" s="262" customFormat="1" ht="9" customHeight="1">
      <c r="A145" s="57">
        <v>125</v>
      </c>
      <c r="B145" s="250" t="s">
        <v>1122</v>
      </c>
      <c r="C145" s="254"/>
      <c r="D145" s="254"/>
      <c r="E145" s="255">
        <f t="shared" si="14"/>
        <v>97200</v>
      </c>
      <c r="F145" s="255">
        <v>0</v>
      </c>
      <c r="G145" s="256">
        <v>0</v>
      </c>
      <c r="H145" s="255">
        <v>0</v>
      </c>
      <c r="I145" s="255">
        <v>0</v>
      </c>
      <c r="J145" s="255"/>
      <c r="K145" s="255"/>
      <c r="L145" s="255">
        <v>0</v>
      </c>
      <c r="M145" s="255">
        <v>0</v>
      </c>
      <c r="N145" s="255">
        <v>0</v>
      </c>
      <c r="O145" s="255">
        <v>2000</v>
      </c>
      <c r="P145" s="255">
        <v>97200</v>
      </c>
      <c r="Q145" s="255">
        <v>0</v>
      </c>
      <c r="R145" s="255">
        <v>0</v>
      </c>
      <c r="S145" s="255">
        <v>0</v>
      </c>
      <c r="T145" s="255">
        <v>0</v>
      </c>
      <c r="U145" s="255">
        <v>0</v>
      </c>
      <c r="V145" s="255">
        <v>0</v>
      </c>
      <c r="W145" s="264" t="s">
        <v>1107</v>
      </c>
      <c r="X145" s="499">
        <f>'Приложение 1'!T142</f>
        <v>3929.2</v>
      </c>
      <c r="Y145" s="499">
        <f>P145/O145</f>
        <v>48.6</v>
      </c>
      <c r="Z145" s="263"/>
    </row>
    <row r="146" spans="1:26">
      <c r="A146" s="882" t="s">
        <v>232</v>
      </c>
      <c r="B146" s="882"/>
      <c r="C146" s="882"/>
      <c r="D146" s="882"/>
      <c r="E146" s="882"/>
      <c r="F146" s="882"/>
      <c r="G146" s="882"/>
      <c r="H146" s="882"/>
      <c r="I146" s="882"/>
      <c r="J146" s="882"/>
      <c r="K146" s="882"/>
      <c r="L146" s="882"/>
      <c r="M146" s="882"/>
      <c r="N146" s="882"/>
      <c r="O146" s="882"/>
      <c r="P146" s="882"/>
      <c r="Q146" s="882"/>
      <c r="R146" s="882"/>
      <c r="S146" s="882"/>
      <c r="T146" s="882"/>
      <c r="U146" s="882"/>
      <c r="V146" s="882"/>
      <c r="X146" s="404">
        <f>'Приложение 1'!T143</f>
        <v>0</v>
      </c>
      <c r="Y146" s="404" t="e">
        <f t="shared" si="9"/>
        <v>#DIV/0!</v>
      </c>
      <c r="Z146" s="19" t="e">
        <f t="shared" si="10"/>
        <v>#DIV/0!</v>
      </c>
    </row>
    <row r="147" spans="1:26" ht="20.25" customHeight="1">
      <c r="A147" s="881" t="s">
        <v>239</v>
      </c>
      <c r="B147" s="881"/>
      <c r="C147" s="58"/>
      <c r="D147" s="58"/>
      <c r="E147" s="98">
        <f>SUM(E148:E158)</f>
        <v>15937910.439999999</v>
      </c>
      <c r="F147" s="433">
        <f t="shared" ref="F147:V147" si="15">SUM(F148:F158)</f>
        <v>670503.08000000007</v>
      </c>
      <c r="G147" s="8">
        <f t="shared" si="15"/>
        <v>0</v>
      </c>
      <c r="H147" s="433">
        <f t="shared" si="15"/>
        <v>0</v>
      </c>
      <c r="I147" s="433">
        <f t="shared" si="15"/>
        <v>4229.6000000000004</v>
      </c>
      <c r="J147" s="433">
        <f t="shared" si="15"/>
        <v>0</v>
      </c>
      <c r="K147" s="433">
        <f t="shared" si="15"/>
        <v>24066.35</v>
      </c>
      <c r="L147" s="433">
        <f t="shared" si="15"/>
        <v>12286796.219999999</v>
      </c>
      <c r="M147" s="433">
        <f t="shared" si="15"/>
        <v>990.1</v>
      </c>
      <c r="N147" s="433">
        <f t="shared" si="15"/>
        <v>755106</v>
      </c>
      <c r="O147" s="433">
        <f t="shared" si="15"/>
        <v>592</v>
      </c>
      <c r="P147" s="433">
        <f t="shared" si="15"/>
        <v>2225505.14</v>
      </c>
      <c r="Q147" s="433">
        <f t="shared" si="15"/>
        <v>0</v>
      </c>
      <c r="R147" s="433">
        <f t="shared" si="15"/>
        <v>0</v>
      </c>
      <c r="S147" s="433">
        <f t="shared" si="15"/>
        <v>0</v>
      </c>
      <c r="T147" s="433">
        <f t="shared" si="15"/>
        <v>0</v>
      </c>
      <c r="U147" s="433">
        <f t="shared" si="15"/>
        <v>0</v>
      </c>
      <c r="V147" s="433">
        <f t="shared" si="15"/>
        <v>0</v>
      </c>
      <c r="X147" s="404">
        <f>'Приложение 1'!T144</f>
        <v>0</v>
      </c>
      <c r="Y147" s="404">
        <f t="shared" si="9"/>
        <v>2904.954657650841</v>
      </c>
      <c r="Z147" s="19">
        <f t="shared" si="10"/>
        <v>-2904.954657650841</v>
      </c>
    </row>
    <row r="148" spans="1:26" ht="9" customHeight="1">
      <c r="A148" s="99">
        <v>126</v>
      </c>
      <c r="B148" s="16" t="s">
        <v>233</v>
      </c>
      <c r="C148" s="39" t="s">
        <v>1009</v>
      </c>
      <c r="D148" s="39"/>
      <c r="E148" s="98">
        <f t="shared" ref="E148:E156" si="16">F148+H148+L148+N148+P148+R148+S148+T148+U148+V148</f>
        <v>2225505.14</v>
      </c>
      <c r="F148" s="98">
        <v>0</v>
      </c>
      <c r="G148" s="17">
        <v>0</v>
      </c>
      <c r="H148" s="98">
        <v>0</v>
      </c>
      <c r="I148" s="18">
        <v>0</v>
      </c>
      <c r="J148" s="18" t="s">
        <v>404</v>
      </c>
      <c r="K148" s="18"/>
      <c r="L148" s="98">
        <v>0</v>
      </c>
      <c r="M148" s="98">
        <v>0</v>
      </c>
      <c r="N148" s="98">
        <v>0</v>
      </c>
      <c r="O148" s="18">
        <v>592</v>
      </c>
      <c r="P148" s="98">
        <v>2225505.14</v>
      </c>
      <c r="Q148" s="98">
        <v>0</v>
      </c>
      <c r="R148" s="98">
        <v>0</v>
      </c>
      <c r="S148" s="98">
        <v>0</v>
      </c>
      <c r="T148" s="98">
        <v>0</v>
      </c>
      <c r="U148" s="98">
        <v>0</v>
      </c>
      <c r="V148" s="98">
        <v>0</v>
      </c>
      <c r="X148" s="404">
        <f>'Приложение 1'!T145</f>
        <v>3929.2</v>
      </c>
      <c r="Y148" s="404">
        <f>P148/O148</f>
        <v>3759.299222972973</v>
      </c>
      <c r="Z148" s="19">
        <f t="shared" si="10"/>
        <v>169.90077702702683</v>
      </c>
    </row>
    <row r="149" spans="1:26" ht="9" customHeight="1">
      <c r="A149" s="99">
        <v>127</v>
      </c>
      <c r="B149" s="16" t="s">
        <v>234</v>
      </c>
      <c r="C149" s="39" t="s">
        <v>1006</v>
      </c>
      <c r="D149" s="39"/>
      <c r="E149" s="98">
        <f t="shared" si="16"/>
        <v>875434.37999999989</v>
      </c>
      <c r="F149" s="98">
        <v>0</v>
      </c>
      <c r="G149" s="17">
        <v>0</v>
      </c>
      <c r="H149" s="98">
        <v>0</v>
      </c>
      <c r="I149" s="18">
        <v>272</v>
      </c>
      <c r="J149" s="18" t="s">
        <v>111</v>
      </c>
      <c r="K149" s="18">
        <v>3438.05</v>
      </c>
      <c r="L149" s="98">
        <v>875434.37999999989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  <c r="U149" s="98">
        <v>0</v>
      </c>
      <c r="V149" s="98">
        <v>0</v>
      </c>
      <c r="X149" s="404">
        <f>'Приложение 1'!T146</f>
        <v>4503.95</v>
      </c>
      <c r="Y149" s="404">
        <f t="shared" ref="Y149:Y214" si="17">L149/I149</f>
        <v>3218.5087499999995</v>
      </c>
      <c r="Z149" s="19">
        <f t="shared" ref="Z149:Z214" si="18">X149-Y149</f>
        <v>1285.4412500000003</v>
      </c>
    </row>
    <row r="150" spans="1:26" ht="9" customHeight="1">
      <c r="A150" s="502">
        <v>128</v>
      </c>
      <c r="B150" s="16" t="s">
        <v>235</v>
      </c>
      <c r="C150" s="39" t="s">
        <v>1005</v>
      </c>
      <c r="D150" s="39"/>
      <c r="E150" s="98">
        <f t="shared" si="16"/>
        <v>1540362.7000000002</v>
      </c>
      <c r="F150" s="98">
        <v>0</v>
      </c>
      <c r="G150" s="17">
        <v>0</v>
      </c>
      <c r="H150" s="98">
        <v>0</v>
      </c>
      <c r="I150" s="18">
        <v>619.74</v>
      </c>
      <c r="J150" s="18" t="s">
        <v>111</v>
      </c>
      <c r="K150" s="18">
        <v>3438.05</v>
      </c>
      <c r="L150" s="98">
        <v>1540362.7000000002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  <c r="U150" s="98">
        <v>0</v>
      </c>
      <c r="V150" s="98">
        <v>0</v>
      </c>
      <c r="X150" s="404">
        <f>'Приложение 1'!T147</f>
        <v>4180</v>
      </c>
      <c r="Y150" s="404">
        <f t="shared" si="17"/>
        <v>2485.4982734695195</v>
      </c>
      <c r="Z150" s="19">
        <f t="shared" si="18"/>
        <v>1694.5017265304805</v>
      </c>
    </row>
    <row r="151" spans="1:26" ht="9" customHeight="1">
      <c r="A151" s="502">
        <v>129</v>
      </c>
      <c r="B151" s="16" t="s">
        <v>240</v>
      </c>
      <c r="C151" s="39" t="s">
        <v>1005</v>
      </c>
      <c r="D151" s="39"/>
      <c r="E151" s="98">
        <f t="shared" si="16"/>
        <v>1269835.44</v>
      </c>
      <c r="F151" s="98">
        <v>0</v>
      </c>
      <c r="G151" s="17">
        <v>0</v>
      </c>
      <c r="H151" s="98">
        <v>0</v>
      </c>
      <c r="I151" s="18">
        <v>353</v>
      </c>
      <c r="J151" s="18" t="s">
        <v>111</v>
      </c>
      <c r="K151" s="18">
        <v>3438.05</v>
      </c>
      <c r="L151" s="98">
        <v>1269835.44</v>
      </c>
      <c r="M151" s="98">
        <v>0</v>
      </c>
      <c r="N151" s="19">
        <v>0</v>
      </c>
      <c r="O151" s="98">
        <v>0</v>
      </c>
      <c r="P151" s="98">
        <v>0</v>
      </c>
      <c r="Q151" s="19">
        <v>0</v>
      </c>
      <c r="R151" s="98">
        <v>0</v>
      </c>
      <c r="S151" s="98">
        <v>0</v>
      </c>
      <c r="T151" s="19">
        <v>0</v>
      </c>
      <c r="U151" s="98">
        <v>0</v>
      </c>
      <c r="V151" s="98">
        <v>0</v>
      </c>
      <c r="X151" s="404">
        <f>'Приложение 1'!T148</f>
        <v>4503.95</v>
      </c>
      <c r="Y151" s="404">
        <f t="shared" si="17"/>
        <v>3597.2675354107646</v>
      </c>
      <c r="Z151" s="19">
        <f t="shared" si="18"/>
        <v>906.68246458923522</v>
      </c>
    </row>
    <row r="152" spans="1:26" ht="9" customHeight="1">
      <c r="A152" s="502">
        <v>130</v>
      </c>
      <c r="B152" s="16" t="s">
        <v>241</v>
      </c>
      <c r="C152" s="39" t="s">
        <v>1005</v>
      </c>
      <c r="D152" s="39"/>
      <c r="E152" s="98">
        <f t="shared" si="16"/>
        <v>3068817.76</v>
      </c>
      <c r="F152" s="98">
        <v>0</v>
      </c>
      <c r="G152" s="17">
        <v>0</v>
      </c>
      <c r="H152" s="98">
        <v>0</v>
      </c>
      <c r="I152" s="18">
        <v>1193.8599999999999</v>
      </c>
      <c r="J152" s="18" t="s">
        <v>111</v>
      </c>
      <c r="K152" s="18">
        <v>3438.05</v>
      </c>
      <c r="L152" s="98">
        <v>3068817.76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  <c r="R152" s="98">
        <v>0</v>
      </c>
      <c r="S152" s="98">
        <v>0</v>
      </c>
      <c r="T152" s="98">
        <v>0</v>
      </c>
      <c r="U152" s="98">
        <v>0</v>
      </c>
      <c r="V152" s="98">
        <v>0</v>
      </c>
      <c r="X152" s="404">
        <f>'Приложение 1'!T149</f>
        <v>4180</v>
      </c>
      <c r="Y152" s="404">
        <f t="shared" si="17"/>
        <v>2570.5005277000655</v>
      </c>
      <c r="Z152" s="19">
        <f t="shared" si="18"/>
        <v>1609.4994722999345</v>
      </c>
    </row>
    <row r="153" spans="1:26" ht="9" customHeight="1">
      <c r="A153" s="502">
        <v>131</v>
      </c>
      <c r="B153" s="16" t="s">
        <v>236</v>
      </c>
      <c r="C153" s="39" t="s">
        <v>1006</v>
      </c>
      <c r="D153" s="39"/>
      <c r="E153" s="98">
        <f t="shared" si="16"/>
        <v>2328273.7800000003</v>
      </c>
      <c r="F153" s="98">
        <v>0</v>
      </c>
      <c r="G153" s="17">
        <v>0</v>
      </c>
      <c r="H153" s="98">
        <v>0</v>
      </c>
      <c r="I153" s="18">
        <v>796</v>
      </c>
      <c r="J153" s="18" t="s">
        <v>111</v>
      </c>
      <c r="K153" s="18">
        <v>3438.05</v>
      </c>
      <c r="L153" s="98">
        <v>2328273.7800000003</v>
      </c>
      <c r="M153" s="98">
        <v>0</v>
      </c>
      <c r="N153" s="98">
        <v>0</v>
      </c>
      <c r="O153" s="98">
        <v>0</v>
      </c>
      <c r="P153" s="98">
        <v>0</v>
      </c>
      <c r="Q153" s="98">
        <v>0</v>
      </c>
      <c r="R153" s="98">
        <v>0</v>
      </c>
      <c r="S153" s="98">
        <v>0</v>
      </c>
      <c r="T153" s="98">
        <v>0</v>
      </c>
      <c r="U153" s="98">
        <v>0</v>
      </c>
      <c r="V153" s="98">
        <v>0</v>
      </c>
      <c r="X153" s="404">
        <f>'Приложение 1'!T150</f>
        <v>4503.95</v>
      </c>
      <c r="Y153" s="404">
        <f t="shared" si="17"/>
        <v>2924.9670603015079</v>
      </c>
      <c r="Z153" s="19">
        <f t="shared" si="18"/>
        <v>1578.9829396984919</v>
      </c>
    </row>
    <row r="154" spans="1:26" ht="9" customHeight="1">
      <c r="A154" s="502">
        <v>132</v>
      </c>
      <c r="B154" s="16" t="s">
        <v>237</v>
      </c>
      <c r="C154" s="39" t="s">
        <v>1006</v>
      </c>
      <c r="D154" s="39"/>
      <c r="E154" s="98">
        <f t="shared" si="16"/>
        <v>2414462.52</v>
      </c>
      <c r="F154" s="98">
        <v>0</v>
      </c>
      <c r="G154" s="17">
        <v>0</v>
      </c>
      <c r="H154" s="98">
        <v>0</v>
      </c>
      <c r="I154" s="18">
        <v>774</v>
      </c>
      <c r="J154" s="18" t="s">
        <v>111</v>
      </c>
      <c r="K154" s="18">
        <v>3438.05</v>
      </c>
      <c r="L154" s="98">
        <v>2414462.52</v>
      </c>
      <c r="M154" s="98">
        <v>0</v>
      </c>
      <c r="N154" s="98">
        <v>0</v>
      </c>
      <c r="O154" s="98">
        <v>0</v>
      </c>
      <c r="P154" s="98">
        <v>0</v>
      </c>
      <c r="Q154" s="98">
        <v>0</v>
      </c>
      <c r="R154" s="98">
        <v>0</v>
      </c>
      <c r="S154" s="98">
        <v>0</v>
      </c>
      <c r="T154" s="98">
        <v>0</v>
      </c>
      <c r="U154" s="98">
        <v>0</v>
      </c>
      <c r="V154" s="98">
        <v>0</v>
      </c>
      <c r="X154" s="404">
        <f>'Приложение 1'!T151</f>
        <v>4503.95</v>
      </c>
      <c r="Y154" s="404">
        <f t="shared" si="17"/>
        <v>3119.4606201550387</v>
      </c>
      <c r="Z154" s="19">
        <f t="shared" si="18"/>
        <v>1384.4893798449611</v>
      </c>
    </row>
    <row r="155" spans="1:26" ht="9" customHeight="1">
      <c r="A155" s="502">
        <v>133</v>
      </c>
      <c r="B155" s="16" t="s">
        <v>238</v>
      </c>
      <c r="C155" s="39" t="s">
        <v>1006</v>
      </c>
      <c r="D155" s="39"/>
      <c r="E155" s="98">
        <f t="shared" si="16"/>
        <v>789609.64</v>
      </c>
      <c r="F155" s="98">
        <v>0</v>
      </c>
      <c r="G155" s="17">
        <v>0</v>
      </c>
      <c r="H155" s="98">
        <v>0</v>
      </c>
      <c r="I155" s="18">
        <v>221</v>
      </c>
      <c r="J155" s="18" t="s">
        <v>111</v>
      </c>
      <c r="K155" s="18">
        <v>3438.05</v>
      </c>
      <c r="L155" s="98">
        <v>789609.64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  <c r="U155" s="98">
        <v>0</v>
      </c>
      <c r="V155" s="98">
        <v>0</v>
      </c>
      <c r="X155" s="404">
        <f>'Приложение 1'!T152</f>
        <v>4503.95</v>
      </c>
      <c r="Y155" s="404">
        <f t="shared" si="17"/>
        <v>3572.8942986425341</v>
      </c>
      <c r="Z155" s="19">
        <f t="shared" si="18"/>
        <v>931.05570135746575</v>
      </c>
    </row>
    <row r="156" spans="1:26" s="233" customFormat="1" ht="9" customHeight="1">
      <c r="A156" s="502">
        <v>134</v>
      </c>
      <c r="B156" s="235" t="s">
        <v>1021</v>
      </c>
      <c r="C156" s="228"/>
      <c r="D156" s="228"/>
      <c r="E156" s="229">
        <f t="shared" si="16"/>
        <v>424035.08</v>
      </c>
      <c r="F156" s="229">
        <v>424035.08</v>
      </c>
      <c r="G156" s="230">
        <v>0</v>
      </c>
      <c r="H156" s="229">
        <v>0</v>
      </c>
      <c r="I156" s="248">
        <v>0</v>
      </c>
      <c r="J156" s="248"/>
      <c r="K156" s="248"/>
      <c r="L156" s="229">
        <v>0</v>
      </c>
      <c r="M156" s="229">
        <v>0</v>
      </c>
      <c r="N156" s="229">
        <v>0</v>
      </c>
      <c r="O156" s="229">
        <v>0</v>
      </c>
      <c r="P156" s="229">
        <v>0</v>
      </c>
      <c r="Q156" s="229">
        <v>0</v>
      </c>
      <c r="R156" s="229">
        <v>0</v>
      </c>
      <c r="S156" s="229">
        <v>0</v>
      </c>
      <c r="T156" s="229">
        <v>0</v>
      </c>
      <c r="U156" s="229">
        <v>0</v>
      </c>
      <c r="V156" s="229">
        <v>0</v>
      </c>
      <c r="X156" s="498">
        <f>'Приложение 1'!T153</f>
        <v>4984.6499999999996</v>
      </c>
      <c r="Y156" s="498" t="e">
        <f t="shared" si="17"/>
        <v>#DIV/0!</v>
      </c>
      <c r="Z156" s="234" t="e">
        <f t="shared" si="18"/>
        <v>#DIV/0!</v>
      </c>
    </row>
    <row r="157" spans="1:26" s="233" customFormat="1" ht="9" customHeight="1">
      <c r="A157" s="502">
        <v>135</v>
      </c>
      <c r="B157" s="251" t="s">
        <v>1106</v>
      </c>
      <c r="C157" s="254"/>
      <c r="D157" s="254"/>
      <c r="E157" s="255">
        <f t="shared" ref="E157:E158" si="19">F157+H157+L157+N157+P157+R157+S157+T157+U157+V157</f>
        <v>246468</v>
      </c>
      <c r="F157" s="255">
        <v>246468</v>
      </c>
      <c r="G157" s="256">
        <v>0</v>
      </c>
      <c r="H157" s="255">
        <v>0</v>
      </c>
      <c r="I157" s="258">
        <v>0</v>
      </c>
      <c r="J157" s="258"/>
      <c r="K157" s="258"/>
      <c r="L157" s="255">
        <v>0</v>
      </c>
      <c r="M157" s="255">
        <v>0</v>
      </c>
      <c r="N157" s="255">
        <v>0</v>
      </c>
      <c r="O157" s="255">
        <v>0</v>
      </c>
      <c r="P157" s="255">
        <v>0</v>
      </c>
      <c r="Q157" s="255">
        <v>0</v>
      </c>
      <c r="R157" s="255">
        <v>0</v>
      </c>
      <c r="S157" s="255">
        <v>0</v>
      </c>
      <c r="T157" s="255">
        <v>0</v>
      </c>
      <c r="U157" s="255">
        <v>0</v>
      </c>
      <c r="V157" s="255">
        <v>0</v>
      </c>
      <c r="W157" s="264" t="s">
        <v>1107</v>
      </c>
      <c r="X157" s="498"/>
      <c r="Y157" s="498"/>
      <c r="Z157" s="234"/>
    </row>
    <row r="158" spans="1:26" s="233" customFormat="1" ht="9" customHeight="1">
      <c r="A158" s="502">
        <v>136</v>
      </c>
      <c r="B158" s="251" t="s">
        <v>1116</v>
      </c>
      <c r="C158" s="254"/>
      <c r="D158" s="254"/>
      <c r="E158" s="255">
        <f t="shared" si="19"/>
        <v>755106</v>
      </c>
      <c r="F158" s="255">
        <v>0</v>
      </c>
      <c r="G158" s="256">
        <v>0</v>
      </c>
      <c r="H158" s="255">
        <v>0</v>
      </c>
      <c r="I158" s="258">
        <v>0</v>
      </c>
      <c r="J158" s="258"/>
      <c r="K158" s="258"/>
      <c r="L158" s="255">
        <v>0</v>
      </c>
      <c r="M158" s="255">
        <v>990.1</v>
      </c>
      <c r="N158" s="255">
        <v>755106</v>
      </c>
      <c r="O158" s="255">
        <v>0</v>
      </c>
      <c r="P158" s="255">
        <v>0</v>
      </c>
      <c r="Q158" s="255">
        <v>0</v>
      </c>
      <c r="R158" s="255">
        <v>0</v>
      </c>
      <c r="S158" s="255">
        <v>0</v>
      </c>
      <c r="T158" s="255">
        <v>0</v>
      </c>
      <c r="U158" s="255">
        <v>0</v>
      </c>
      <c r="V158" s="255">
        <v>0</v>
      </c>
      <c r="W158" s="264" t="s">
        <v>1107</v>
      </c>
      <c r="X158" s="404">
        <f>'Приложение 1'!T155</f>
        <v>172.43</v>
      </c>
      <c r="Y158" s="498"/>
      <c r="Z158" s="234"/>
    </row>
    <row r="159" spans="1:26" ht="12.75" customHeight="1">
      <c r="A159" s="882" t="s">
        <v>242</v>
      </c>
      <c r="B159" s="882"/>
      <c r="C159" s="882"/>
      <c r="D159" s="882"/>
      <c r="E159" s="882"/>
      <c r="F159" s="882"/>
      <c r="G159" s="882"/>
      <c r="H159" s="882"/>
      <c r="I159" s="882"/>
      <c r="J159" s="882"/>
      <c r="K159" s="882"/>
      <c r="L159" s="882"/>
      <c r="M159" s="882"/>
      <c r="N159" s="882"/>
      <c r="O159" s="882"/>
      <c r="P159" s="882"/>
      <c r="Q159" s="882"/>
      <c r="R159" s="882"/>
      <c r="S159" s="882"/>
      <c r="T159" s="882"/>
      <c r="U159" s="882"/>
      <c r="V159" s="882"/>
      <c r="X159" s="404">
        <f>'Приложение 1'!T156</f>
        <v>0</v>
      </c>
      <c r="Y159" s="404" t="e">
        <f t="shared" si="17"/>
        <v>#DIV/0!</v>
      </c>
      <c r="Z159" s="19" t="e">
        <f t="shared" si="18"/>
        <v>#DIV/0!</v>
      </c>
    </row>
    <row r="160" spans="1:26" ht="24" customHeight="1">
      <c r="A160" s="881" t="s">
        <v>243</v>
      </c>
      <c r="B160" s="881"/>
      <c r="C160" s="58"/>
      <c r="D160" s="58"/>
      <c r="E160" s="98">
        <f t="shared" ref="E160:V160" si="20">SUM(E161:E163)</f>
        <v>6971189.4000000004</v>
      </c>
      <c r="F160" s="98">
        <f t="shared" si="20"/>
        <v>1253515.82</v>
      </c>
      <c r="G160" s="17">
        <f t="shared" si="20"/>
        <v>0</v>
      </c>
      <c r="H160" s="98">
        <f t="shared" si="20"/>
        <v>0</v>
      </c>
      <c r="I160" s="98">
        <f t="shared" si="20"/>
        <v>1691</v>
      </c>
      <c r="J160" s="98">
        <f t="shared" si="20"/>
        <v>0</v>
      </c>
      <c r="K160" s="98">
        <f t="shared" si="20"/>
        <v>6045.32</v>
      </c>
      <c r="L160" s="98">
        <f t="shared" si="20"/>
        <v>5717673.5800000001</v>
      </c>
      <c r="M160" s="98">
        <f t="shared" si="20"/>
        <v>0</v>
      </c>
      <c r="N160" s="98">
        <f t="shared" si="20"/>
        <v>0</v>
      </c>
      <c r="O160" s="98">
        <f t="shared" si="20"/>
        <v>0</v>
      </c>
      <c r="P160" s="98">
        <f t="shared" si="20"/>
        <v>0</v>
      </c>
      <c r="Q160" s="98">
        <f t="shared" si="20"/>
        <v>0</v>
      </c>
      <c r="R160" s="98">
        <f t="shared" si="20"/>
        <v>0</v>
      </c>
      <c r="S160" s="98">
        <f t="shared" si="20"/>
        <v>0</v>
      </c>
      <c r="T160" s="98">
        <f t="shared" si="20"/>
        <v>0</v>
      </c>
      <c r="U160" s="98">
        <f t="shared" si="20"/>
        <v>0</v>
      </c>
      <c r="V160" s="98">
        <f t="shared" si="20"/>
        <v>0</v>
      </c>
      <c r="X160" s="404">
        <f>'Приложение 1'!T157</f>
        <v>0</v>
      </c>
      <c r="Y160" s="404">
        <f t="shared" si="17"/>
        <v>3381.2380721466589</v>
      </c>
      <c r="Z160" s="19">
        <f t="shared" si="18"/>
        <v>-3381.2380721466589</v>
      </c>
    </row>
    <row r="161" spans="1:26" ht="9.75" customHeight="1">
      <c r="A161" s="99">
        <v>137</v>
      </c>
      <c r="B161" s="96" t="s">
        <v>245</v>
      </c>
      <c r="C161" s="58" t="s">
        <v>1006</v>
      </c>
      <c r="D161" s="61"/>
      <c r="E161" s="98">
        <f>F161+H161+L161+N161+P161+R161+S161+T161+U161+V161</f>
        <v>3057578.13</v>
      </c>
      <c r="F161" s="98">
        <v>0</v>
      </c>
      <c r="G161" s="17">
        <v>0</v>
      </c>
      <c r="H161" s="98">
        <v>0</v>
      </c>
      <c r="I161" s="19">
        <v>931</v>
      </c>
      <c r="J161" s="19" t="s">
        <v>111</v>
      </c>
      <c r="K161" s="19">
        <v>3438.05</v>
      </c>
      <c r="L161" s="98">
        <v>3057578.13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>
        <v>0</v>
      </c>
      <c r="S161" s="98">
        <v>0</v>
      </c>
      <c r="T161" s="98">
        <v>0</v>
      </c>
      <c r="U161" s="98">
        <v>0</v>
      </c>
      <c r="V161" s="98">
        <v>0</v>
      </c>
      <c r="X161" s="404">
        <f>'Приложение 1'!T158</f>
        <v>4503.95</v>
      </c>
      <c r="Y161" s="404">
        <f t="shared" si="17"/>
        <v>3284.1870354457569</v>
      </c>
      <c r="Z161" s="19">
        <f t="shared" si="18"/>
        <v>1219.7629645542429</v>
      </c>
    </row>
    <row r="162" spans="1:26" ht="9" customHeight="1">
      <c r="A162" s="99">
        <v>138</v>
      </c>
      <c r="B162" s="96" t="s">
        <v>246</v>
      </c>
      <c r="C162" s="58" t="s">
        <v>1005</v>
      </c>
      <c r="D162" s="61"/>
      <c r="E162" s="98">
        <f>F162+H162+L162+N162+P162+R162+S162+T162+U162+V162</f>
        <v>2660095.4500000002</v>
      </c>
      <c r="F162" s="98">
        <v>0</v>
      </c>
      <c r="G162" s="17">
        <v>0</v>
      </c>
      <c r="H162" s="98">
        <v>0</v>
      </c>
      <c r="I162" s="98">
        <v>760</v>
      </c>
      <c r="J162" s="98" t="s">
        <v>110</v>
      </c>
      <c r="K162" s="19">
        <v>2022.07</v>
      </c>
      <c r="L162" s="98">
        <v>2660095.4500000002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98">
        <v>0</v>
      </c>
      <c r="S162" s="98">
        <v>0</v>
      </c>
      <c r="T162" s="98">
        <v>0</v>
      </c>
      <c r="U162" s="98">
        <v>0</v>
      </c>
      <c r="V162" s="98">
        <v>0</v>
      </c>
      <c r="X162" s="404">
        <f>'Приложение 1'!T159</f>
        <v>4503.95</v>
      </c>
      <c r="Y162" s="404">
        <f t="shared" si="17"/>
        <v>3500.1255921052634</v>
      </c>
      <c r="Z162" s="19">
        <f t="shared" si="18"/>
        <v>1003.8244078947364</v>
      </c>
    </row>
    <row r="163" spans="1:26" ht="9" customHeight="1">
      <c r="A163" s="99">
        <v>139</v>
      </c>
      <c r="B163" s="96" t="s">
        <v>248</v>
      </c>
      <c r="C163" s="58" t="s">
        <v>1008</v>
      </c>
      <c r="D163" s="61"/>
      <c r="E163" s="98">
        <f>F163+H163+L163+N163+P163+R163+S163+T163+U163+V163</f>
        <v>1253515.82</v>
      </c>
      <c r="F163" s="98">
        <v>1253515.82</v>
      </c>
      <c r="G163" s="17">
        <v>0</v>
      </c>
      <c r="H163" s="98">
        <v>0</v>
      </c>
      <c r="I163" s="98">
        <v>0</v>
      </c>
      <c r="J163" s="98" t="s">
        <v>249</v>
      </c>
      <c r="K163" s="98">
        <f>(190+170+200)*1.045</f>
        <v>585.19999999999993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X163" s="404">
        <f>'Приложение 1'!T160</f>
        <v>4984.6499999999996</v>
      </c>
      <c r="Y163" s="404" t="e">
        <f t="shared" si="17"/>
        <v>#DIV/0!</v>
      </c>
      <c r="Z163" s="19" t="e">
        <f t="shared" si="18"/>
        <v>#DIV/0!</v>
      </c>
    </row>
    <row r="164" spans="1:26">
      <c r="A164" s="882" t="s">
        <v>251</v>
      </c>
      <c r="B164" s="882"/>
      <c r="C164" s="882"/>
      <c r="D164" s="882"/>
      <c r="E164" s="882"/>
      <c r="F164" s="882"/>
      <c r="G164" s="882"/>
      <c r="H164" s="882"/>
      <c r="I164" s="882"/>
      <c r="J164" s="882"/>
      <c r="K164" s="882"/>
      <c r="L164" s="882"/>
      <c r="M164" s="882"/>
      <c r="N164" s="882"/>
      <c r="O164" s="882"/>
      <c r="P164" s="882"/>
      <c r="Q164" s="882"/>
      <c r="R164" s="882"/>
      <c r="S164" s="882"/>
      <c r="T164" s="882"/>
      <c r="U164" s="882"/>
      <c r="V164" s="882"/>
      <c r="X164" s="404">
        <f>'Приложение 1'!T161</f>
        <v>0</v>
      </c>
      <c r="Y164" s="404" t="e">
        <f t="shared" si="17"/>
        <v>#DIV/0!</v>
      </c>
      <c r="Z164" s="19" t="e">
        <f t="shared" si="18"/>
        <v>#DIV/0!</v>
      </c>
    </row>
    <row r="165" spans="1:26" ht="24.75" customHeight="1">
      <c r="A165" s="881" t="s">
        <v>250</v>
      </c>
      <c r="B165" s="881"/>
      <c r="C165" s="58"/>
      <c r="D165" s="58"/>
      <c r="E165" s="98">
        <f t="shared" ref="E165:V165" si="21">SUM(E166:E171)</f>
        <v>12168007.539999999</v>
      </c>
      <c r="F165" s="98">
        <f t="shared" si="21"/>
        <v>0</v>
      </c>
      <c r="G165" s="17">
        <f t="shared" si="21"/>
        <v>0</v>
      </c>
      <c r="H165" s="98">
        <f t="shared" si="21"/>
        <v>0</v>
      </c>
      <c r="I165" s="98">
        <f t="shared" si="21"/>
        <v>4569.54</v>
      </c>
      <c r="J165" s="98">
        <f t="shared" si="21"/>
        <v>0</v>
      </c>
      <c r="K165" s="98">
        <f t="shared" si="21"/>
        <v>16380.36</v>
      </c>
      <c r="L165" s="98">
        <f t="shared" si="21"/>
        <v>12168007.539999999</v>
      </c>
      <c r="M165" s="98">
        <f t="shared" si="21"/>
        <v>0</v>
      </c>
      <c r="N165" s="98">
        <f t="shared" si="21"/>
        <v>0</v>
      </c>
      <c r="O165" s="98">
        <f t="shared" si="21"/>
        <v>0</v>
      </c>
      <c r="P165" s="98">
        <f t="shared" si="21"/>
        <v>0</v>
      </c>
      <c r="Q165" s="98">
        <f t="shared" si="21"/>
        <v>0</v>
      </c>
      <c r="R165" s="98">
        <f t="shared" si="21"/>
        <v>0</v>
      </c>
      <c r="S165" s="98">
        <f t="shared" si="21"/>
        <v>0</v>
      </c>
      <c r="T165" s="98">
        <f t="shared" si="21"/>
        <v>0</v>
      </c>
      <c r="U165" s="98">
        <f t="shared" si="21"/>
        <v>0</v>
      </c>
      <c r="V165" s="98">
        <f t="shared" si="21"/>
        <v>0</v>
      </c>
      <c r="X165" s="404">
        <f>'Приложение 1'!T162</f>
        <v>0</v>
      </c>
      <c r="Y165" s="404">
        <f t="shared" si="17"/>
        <v>2662.8517400000874</v>
      </c>
      <c r="Z165" s="19">
        <f t="shared" si="18"/>
        <v>-2662.8517400000874</v>
      </c>
    </row>
    <row r="166" spans="1:26" ht="9" customHeight="1">
      <c r="A166" s="99">
        <v>140</v>
      </c>
      <c r="B166" s="96" t="s">
        <v>253</v>
      </c>
      <c r="C166" s="58" t="s">
        <v>1006</v>
      </c>
      <c r="D166" s="58"/>
      <c r="E166" s="98">
        <f t="shared" ref="E166:E171" si="22">F166+H166+L166+N166+P166+R166+S166+T166+U166+V166</f>
        <v>1028545.8</v>
      </c>
      <c r="F166" s="98">
        <v>0</v>
      </c>
      <c r="G166" s="17">
        <v>0</v>
      </c>
      <c r="H166" s="98">
        <v>0</v>
      </c>
      <c r="I166" s="98">
        <v>364</v>
      </c>
      <c r="J166" s="98" t="s">
        <v>111</v>
      </c>
      <c r="K166" s="98">
        <v>3438.05</v>
      </c>
      <c r="L166" s="98">
        <v>1028545.8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  <c r="R166" s="98">
        <v>0</v>
      </c>
      <c r="S166" s="98">
        <v>0</v>
      </c>
      <c r="T166" s="98">
        <v>0</v>
      </c>
      <c r="U166" s="98">
        <v>0</v>
      </c>
      <c r="V166" s="98">
        <v>0</v>
      </c>
      <c r="X166" s="404">
        <f>'Приложение 1'!T163</f>
        <v>4503.95</v>
      </c>
      <c r="Y166" s="404">
        <f t="shared" si="17"/>
        <v>2825.6752747252749</v>
      </c>
      <c r="Z166" s="19">
        <f t="shared" si="18"/>
        <v>1678.2747252747249</v>
      </c>
    </row>
    <row r="167" spans="1:26" ht="9" customHeight="1">
      <c r="A167" s="99">
        <v>141</v>
      </c>
      <c r="B167" s="96" t="s">
        <v>255</v>
      </c>
      <c r="C167" s="58" t="s">
        <v>1006</v>
      </c>
      <c r="D167" s="58"/>
      <c r="E167" s="98">
        <f t="shared" si="22"/>
        <v>1162411.06</v>
      </c>
      <c r="F167" s="98">
        <v>0</v>
      </c>
      <c r="G167" s="17">
        <v>0</v>
      </c>
      <c r="H167" s="98">
        <v>0</v>
      </c>
      <c r="I167" s="98">
        <v>482</v>
      </c>
      <c r="J167" s="98" t="s">
        <v>111</v>
      </c>
      <c r="K167" s="98">
        <v>3438.05</v>
      </c>
      <c r="L167" s="500">
        <v>1162411.06</v>
      </c>
      <c r="M167" s="98">
        <v>0</v>
      </c>
      <c r="N167" s="98">
        <v>0</v>
      </c>
      <c r="O167" s="98">
        <v>0</v>
      </c>
      <c r="P167" s="98">
        <v>0</v>
      </c>
      <c r="Q167" s="98">
        <v>0</v>
      </c>
      <c r="R167" s="98">
        <v>0</v>
      </c>
      <c r="S167" s="98">
        <v>0</v>
      </c>
      <c r="T167" s="98">
        <v>0</v>
      </c>
      <c r="U167" s="98">
        <v>0</v>
      </c>
      <c r="V167" s="98">
        <v>0</v>
      </c>
      <c r="X167" s="404">
        <f>'Приложение 1'!T164</f>
        <v>4503.95</v>
      </c>
      <c r="Y167" s="404">
        <f t="shared" si="17"/>
        <v>2411.641203319502</v>
      </c>
      <c r="Z167" s="19">
        <f t="shared" si="18"/>
        <v>2092.3087966804978</v>
      </c>
    </row>
    <row r="168" spans="1:26" ht="9" customHeight="1">
      <c r="A168" s="502">
        <v>142</v>
      </c>
      <c r="B168" s="96" t="s">
        <v>254</v>
      </c>
      <c r="C168" s="58" t="s">
        <v>1006</v>
      </c>
      <c r="D168" s="58"/>
      <c r="E168" s="98">
        <f t="shared" si="22"/>
        <v>1179662.1200000001</v>
      </c>
      <c r="F168" s="98">
        <v>0</v>
      </c>
      <c r="G168" s="17">
        <v>0</v>
      </c>
      <c r="H168" s="98">
        <v>0</v>
      </c>
      <c r="I168" s="98">
        <v>482</v>
      </c>
      <c r="J168" s="98" t="s">
        <v>111</v>
      </c>
      <c r="K168" s="98">
        <v>3438.05</v>
      </c>
      <c r="L168" s="98">
        <v>1179662.1200000001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X168" s="404">
        <f>'Приложение 1'!T165</f>
        <v>4503.95</v>
      </c>
      <c r="Y168" s="404">
        <f t="shared" si="17"/>
        <v>2447.4317842323653</v>
      </c>
      <c r="Z168" s="19">
        <f t="shared" si="18"/>
        <v>2056.5182157676345</v>
      </c>
    </row>
    <row r="169" spans="1:26" ht="9" customHeight="1">
      <c r="A169" s="502">
        <v>143</v>
      </c>
      <c r="B169" s="96" t="s">
        <v>256</v>
      </c>
      <c r="C169" s="58" t="s">
        <v>1005</v>
      </c>
      <c r="D169" s="58"/>
      <c r="E169" s="98">
        <f t="shared" si="22"/>
        <v>2435950.66</v>
      </c>
      <c r="F169" s="98">
        <v>0</v>
      </c>
      <c r="G169" s="17">
        <v>0</v>
      </c>
      <c r="H169" s="98">
        <v>0</v>
      </c>
      <c r="I169" s="98">
        <v>656.3</v>
      </c>
      <c r="J169" s="98" t="s">
        <v>110</v>
      </c>
      <c r="K169" s="98">
        <v>2022.07</v>
      </c>
      <c r="L169" s="98">
        <v>2435950.66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X169" s="404">
        <f>'Приложение 1'!T166</f>
        <v>4180</v>
      </c>
      <c r="Y169" s="404">
        <f t="shared" si="17"/>
        <v>3711.6420234648795</v>
      </c>
      <c r="Z169" s="19">
        <f t="shared" si="18"/>
        <v>468.35797653512054</v>
      </c>
    </row>
    <row r="170" spans="1:26" ht="9" customHeight="1">
      <c r="A170" s="502">
        <v>144</v>
      </c>
      <c r="B170" s="96" t="s">
        <v>257</v>
      </c>
      <c r="C170" s="58" t="s">
        <v>1005</v>
      </c>
      <c r="D170" s="58"/>
      <c r="E170" s="98">
        <f t="shared" si="22"/>
        <v>1746502.2799999998</v>
      </c>
      <c r="F170" s="98">
        <v>0</v>
      </c>
      <c r="G170" s="17">
        <v>0</v>
      </c>
      <c r="H170" s="98">
        <v>0</v>
      </c>
      <c r="I170" s="98">
        <v>609.14</v>
      </c>
      <c r="J170" s="98" t="s">
        <v>110</v>
      </c>
      <c r="K170" s="98">
        <v>2022.07</v>
      </c>
      <c r="L170" s="98">
        <v>1746502.2799999998</v>
      </c>
      <c r="M170" s="98">
        <v>0</v>
      </c>
      <c r="N170" s="98">
        <v>0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  <c r="U170" s="98">
        <v>0</v>
      </c>
      <c r="V170" s="98">
        <v>0</v>
      </c>
      <c r="X170" s="404">
        <f>'Приложение 1'!T167</f>
        <v>4180</v>
      </c>
      <c r="Y170" s="404">
        <f t="shared" si="17"/>
        <v>2867.1607183898609</v>
      </c>
      <c r="Z170" s="19">
        <f t="shared" si="18"/>
        <v>1312.8392816101391</v>
      </c>
    </row>
    <row r="171" spans="1:26" ht="9" customHeight="1">
      <c r="A171" s="502">
        <v>145</v>
      </c>
      <c r="B171" s="96" t="s">
        <v>258</v>
      </c>
      <c r="C171" s="58" t="s">
        <v>1005</v>
      </c>
      <c r="D171" s="58"/>
      <c r="E171" s="98">
        <f t="shared" si="22"/>
        <v>4614935.6199999992</v>
      </c>
      <c r="F171" s="98">
        <v>0</v>
      </c>
      <c r="G171" s="17">
        <v>0</v>
      </c>
      <c r="H171" s="98">
        <v>0</v>
      </c>
      <c r="I171" s="98">
        <v>1976.1</v>
      </c>
      <c r="J171" s="98" t="s">
        <v>110</v>
      </c>
      <c r="K171" s="98">
        <v>2022.07</v>
      </c>
      <c r="L171" s="98">
        <v>4614935.6199999992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X171" s="404">
        <f>'Приложение 1'!T168</f>
        <v>4180</v>
      </c>
      <c r="Y171" s="404">
        <f t="shared" si="17"/>
        <v>2335.375547796164</v>
      </c>
      <c r="Z171" s="19">
        <f t="shared" si="18"/>
        <v>1844.624452203836</v>
      </c>
    </row>
    <row r="172" spans="1:26" ht="12.75" customHeight="1">
      <c r="A172" s="893" t="s">
        <v>259</v>
      </c>
      <c r="B172" s="893"/>
      <c r="C172" s="893"/>
      <c r="D172" s="893"/>
      <c r="E172" s="893"/>
      <c r="F172" s="893"/>
      <c r="G172" s="893"/>
      <c r="H172" s="893"/>
      <c r="I172" s="893"/>
      <c r="J172" s="893"/>
      <c r="K172" s="893"/>
      <c r="L172" s="893"/>
      <c r="M172" s="893"/>
      <c r="N172" s="893"/>
      <c r="O172" s="893"/>
      <c r="P172" s="893"/>
      <c r="Q172" s="893"/>
      <c r="R172" s="893"/>
      <c r="S172" s="893"/>
      <c r="T172" s="893"/>
      <c r="U172" s="893"/>
      <c r="V172" s="893"/>
      <c r="X172" s="404">
        <f>'Приложение 1'!T169</f>
        <v>0</v>
      </c>
      <c r="Y172" s="404" t="e">
        <f t="shared" si="17"/>
        <v>#DIV/0!</v>
      </c>
      <c r="Z172" s="19" t="e">
        <f t="shared" si="18"/>
        <v>#DIV/0!</v>
      </c>
    </row>
    <row r="173" spans="1:26" ht="20.25" customHeight="1">
      <c r="A173" s="895" t="s">
        <v>262</v>
      </c>
      <c r="B173" s="895"/>
      <c r="C173" s="73"/>
      <c r="D173" s="63"/>
      <c r="E173" s="44">
        <f t="shared" ref="E173:V173" si="23">SUM(E174:E175)</f>
        <v>5951684.4000000004</v>
      </c>
      <c r="F173" s="44">
        <f t="shared" si="23"/>
        <v>0</v>
      </c>
      <c r="G173" s="46">
        <f t="shared" si="23"/>
        <v>0</v>
      </c>
      <c r="H173" s="44">
        <f t="shared" si="23"/>
        <v>0</v>
      </c>
      <c r="I173" s="44">
        <f t="shared" si="23"/>
        <v>1885.73</v>
      </c>
      <c r="J173" s="44">
        <f t="shared" si="23"/>
        <v>0</v>
      </c>
      <c r="K173" s="44">
        <f t="shared" si="23"/>
        <v>5460.12</v>
      </c>
      <c r="L173" s="44">
        <f t="shared" si="23"/>
        <v>5951684.4000000004</v>
      </c>
      <c r="M173" s="44">
        <f t="shared" si="23"/>
        <v>0</v>
      </c>
      <c r="N173" s="44">
        <f t="shared" si="23"/>
        <v>0</v>
      </c>
      <c r="O173" s="44">
        <f t="shared" si="23"/>
        <v>0</v>
      </c>
      <c r="P173" s="44">
        <f t="shared" si="23"/>
        <v>0</v>
      </c>
      <c r="Q173" s="44">
        <f t="shared" si="23"/>
        <v>0</v>
      </c>
      <c r="R173" s="44">
        <f t="shared" si="23"/>
        <v>0</v>
      </c>
      <c r="S173" s="44">
        <f t="shared" si="23"/>
        <v>0</v>
      </c>
      <c r="T173" s="44">
        <f t="shared" si="23"/>
        <v>0</v>
      </c>
      <c r="U173" s="44">
        <f t="shared" si="23"/>
        <v>0</v>
      </c>
      <c r="V173" s="44">
        <f t="shared" si="23"/>
        <v>0</v>
      </c>
      <c r="X173" s="404">
        <f>'Приложение 1'!T170</f>
        <v>0</v>
      </c>
      <c r="Y173" s="404">
        <f t="shared" si="17"/>
        <v>3156.1699713108451</v>
      </c>
      <c r="Z173" s="19">
        <f t="shared" si="18"/>
        <v>-3156.1699713108451</v>
      </c>
    </row>
    <row r="174" spans="1:26" ht="9" customHeight="1">
      <c r="A174" s="41">
        <v>146</v>
      </c>
      <c r="B174" s="101" t="s">
        <v>260</v>
      </c>
      <c r="C174" s="74" t="s">
        <v>1006</v>
      </c>
      <c r="D174" s="64"/>
      <c r="E174" s="98">
        <f>F174+H174+L174+N174+P174+R174+S174+T174+U174+V174</f>
        <v>3232697.2</v>
      </c>
      <c r="F174" s="47">
        <v>0</v>
      </c>
      <c r="G174" s="46">
        <v>0</v>
      </c>
      <c r="H174" s="47">
        <v>0</v>
      </c>
      <c r="I174" s="47">
        <v>1114.4000000000001</v>
      </c>
      <c r="J174" s="98" t="s">
        <v>111</v>
      </c>
      <c r="K174" s="98">
        <v>3438.05</v>
      </c>
      <c r="L174" s="98">
        <v>3232697.2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X174" s="404">
        <f>'Приложение 1'!T171</f>
        <v>4503.95</v>
      </c>
      <c r="Y174" s="404">
        <f t="shared" si="17"/>
        <v>2900.8409906676238</v>
      </c>
      <c r="Z174" s="19">
        <f t="shared" si="18"/>
        <v>1603.109009332376</v>
      </c>
    </row>
    <row r="175" spans="1:26" ht="9" customHeight="1">
      <c r="A175" s="41">
        <v>147</v>
      </c>
      <c r="B175" s="101" t="s">
        <v>291</v>
      </c>
      <c r="C175" s="74" t="s">
        <v>1005</v>
      </c>
      <c r="D175" s="64"/>
      <c r="E175" s="98">
        <f>F175+H175+L175+N175+P175+R175+S175+T175+U175+V175</f>
        <v>2718987.2</v>
      </c>
      <c r="F175" s="47">
        <v>0</v>
      </c>
      <c r="G175" s="46">
        <v>0</v>
      </c>
      <c r="H175" s="47">
        <v>0</v>
      </c>
      <c r="I175" s="47">
        <v>771.33</v>
      </c>
      <c r="J175" s="98" t="s">
        <v>110</v>
      </c>
      <c r="K175" s="98">
        <v>2022.07</v>
      </c>
      <c r="L175" s="98">
        <v>2718987.2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X175" s="404">
        <f>'Приложение 1'!T172</f>
        <v>4180</v>
      </c>
      <c r="Y175" s="404">
        <f t="shared" si="17"/>
        <v>3525.0634618127133</v>
      </c>
      <c r="Z175" s="19">
        <f t="shared" si="18"/>
        <v>654.93653818728671</v>
      </c>
    </row>
    <row r="176" spans="1:26" ht="12.75" customHeight="1">
      <c r="A176" s="882" t="s">
        <v>396</v>
      </c>
      <c r="B176" s="882"/>
      <c r="C176" s="882"/>
      <c r="D176" s="882"/>
      <c r="E176" s="882"/>
      <c r="F176" s="882"/>
      <c r="G176" s="882"/>
      <c r="H176" s="882"/>
      <c r="I176" s="882"/>
      <c r="J176" s="882"/>
      <c r="K176" s="882"/>
      <c r="L176" s="882"/>
      <c r="M176" s="882"/>
      <c r="N176" s="882"/>
      <c r="O176" s="882"/>
      <c r="P176" s="882"/>
      <c r="Q176" s="882"/>
      <c r="R176" s="882"/>
      <c r="S176" s="882"/>
      <c r="T176" s="882"/>
      <c r="U176" s="882"/>
      <c r="V176" s="882"/>
      <c r="X176" s="404">
        <f>'Приложение 1'!T173</f>
        <v>0</v>
      </c>
      <c r="Y176" s="404" t="e">
        <f t="shared" si="17"/>
        <v>#DIV/0!</v>
      </c>
      <c r="Z176" s="19" t="e">
        <f t="shared" si="18"/>
        <v>#DIV/0!</v>
      </c>
    </row>
    <row r="177" spans="1:26" ht="21.75" customHeight="1">
      <c r="A177" s="881" t="s">
        <v>263</v>
      </c>
      <c r="B177" s="881"/>
      <c r="C177" s="58"/>
      <c r="D177" s="58"/>
      <c r="E177" s="98">
        <f>SUM(E178:E181)</f>
        <v>4700387.95</v>
      </c>
      <c r="F177" s="98">
        <f t="shared" ref="F177:V177" si="24">SUM(F178:F181)</f>
        <v>0</v>
      </c>
      <c r="G177" s="17">
        <f t="shared" si="24"/>
        <v>0</v>
      </c>
      <c r="H177" s="98">
        <f t="shared" si="24"/>
        <v>0</v>
      </c>
      <c r="I177" s="98">
        <f t="shared" si="24"/>
        <v>1396.3</v>
      </c>
      <c r="J177" s="98">
        <f t="shared" si="24"/>
        <v>0</v>
      </c>
      <c r="K177" s="98">
        <f t="shared" si="24"/>
        <v>13752.2</v>
      </c>
      <c r="L177" s="98">
        <f t="shared" si="24"/>
        <v>4700387.95</v>
      </c>
      <c r="M177" s="98">
        <f t="shared" si="24"/>
        <v>0</v>
      </c>
      <c r="N177" s="98">
        <f t="shared" si="24"/>
        <v>0</v>
      </c>
      <c r="O177" s="98">
        <f t="shared" si="24"/>
        <v>0</v>
      </c>
      <c r="P177" s="98">
        <f t="shared" si="24"/>
        <v>0</v>
      </c>
      <c r="Q177" s="98">
        <f t="shared" si="24"/>
        <v>0</v>
      </c>
      <c r="R177" s="98">
        <f t="shared" si="24"/>
        <v>0</v>
      </c>
      <c r="S177" s="98">
        <f t="shared" si="24"/>
        <v>0</v>
      </c>
      <c r="T177" s="98">
        <f t="shared" si="24"/>
        <v>0</v>
      </c>
      <c r="U177" s="98">
        <f t="shared" si="24"/>
        <v>0</v>
      </c>
      <c r="V177" s="98">
        <f t="shared" si="24"/>
        <v>0</v>
      </c>
      <c r="X177" s="404">
        <f>'Приложение 1'!T174</f>
        <v>0</v>
      </c>
      <c r="Y177" s="404">
        <f t="shared" si="17"/>
        <v>3366.3166583112516</v>
      </c>
      <c r="Z177" s="19">
        <f t="shared" si="18"/>
        <v>-3366.3166583112516</v>
      </c>
    </row>
    <row r="178" spans="1:26" s="233" customFormat="1" ht="9" customHeight="1">
      <c r="A178" s="227">
        <v>148</v>
      </c>
      <c r="B178" s="235" t="s">
        <v>270</v>
      </c>
      <c r="C178" s="236" t="s">
        <v>1006</v>
      </c>
      <c r="D178" s="236"/>
      <c r="E178" s="229">
        <f>F178+H178+L178+N178+P178+R178+S178+T178+U178+V178</f>
        <v>1455569.4</v>
      </c>
      <c r="F178" s="229">
        <v>0</v>
      </c>
      <c r="G178" s="230">
        <v>0</v>
      </c>
      <c r="H178" s="229">
        <v>0</v>
      </c>
      <c r="I178" s="229">
        <v>473</v>
      </c>
      <c r="J178" s="229" t="s">
        <v>111</v>
      </c>
      <c r="K178" s="229">
        <v>3438.05</v>
      </c>
      <c r="L178" s="229">
        <v>1455569.4</v>
      </c>
      <c r="M178" s="229">
        <v>0</v>
      </c>
      <c r="N178" s="229">
        <v>0</v>
      </c>
      <c r="O178" s="229">
        <v>0</v>
      </c>
      <c r="P178" s="229">
        <v>0</v>
      </c>
      <c r="Q178" s="229">
        <v>0</v>
      </c>
      <c r="R178" s="229">
        <v>0</v>
      </c>
      <c r="S178" s="229">
        <v>0</v>
      </c>
      <c r="T178" s="229">
        <v>0</v>
      </c>
      <c r="U178" s="229">
        <v>0</v>
      </c>
      <c r="V178" s="229">
        <v>0</v>
      </c>
      <c r="X178" s="498">
        <f>'Приложение 1'!T175</f>
        <v>4503.95</v>
      </c>
      <c r="Y178" s="498">
        <f t="shared" si="17"/>
        <v>3077.3137420718813</v>
      </c>
      <c r="Z178" s="234">
        <f t="shared" si="18"/>
        <v>1426.6362579281185</v>
      </c>
    </row>
    <row r="179" spans="1:26" s="233" customFormat="1" ht="9" customHeight="1">
      <c r="A179" s="227">
        <v>149</v>
      </c>
      <c r="B179" s="235" t="s">
        <v>268</v>
      </c>
      <c r="C179" s="236" t="s">
        <v>1006</v>
      </c>
      <c r="D179" s="236"/>
      <c r="E179" s="229">
        <f>F179+H179+L179+N179+P179+R179+S179+T179+U179+V179</f>
        <v>804949.72</v>
      </c>
      <c r="F179" s="229">
        <v>0</v>
      </c>
      <c r="G179" s="230">
        <v>0</v>
      </c>
      <c r="H179" s="229">
        <v>0</v>
      </c>
      <c r="I179" s="229">
        <v>267</v>
      </c>
      <c r="J179" s="229" t="s">
        <v>111</v>
      </c>
      <c r="K179" s="229">
        <v>3438.05</v>
      </c>
      <c r="L179" s="229">
        <v>804949.72</v>
      </c>
      <c r="M179" s="229">
        <v>0</v>
      </c>
      <c r="N179" s="229">
        <v>0</v>
      </c>
      <c r="O179" s="229">
        <v>0</v>
      </c>
      <c r="P179" s="229">
        <v>0</v>
      </c>
      <c r="Q179" s="229">
        <v>0</v>
      </c>
      <c r="R179" s="229">
        <v>0</v>
      </c>
      <c r="S179" s="229">
        <v>0</v>
      </c>
      <c r="T179" s="229">
        <v>0</v>
      </c>
      <c r="U179" s="229">
        <v>0</v>
      </c>
      <c r="V179" s="229">
        <v>0</v>
      </c>
      <c r="X179" s="498">
        <f>'Приложение 1'!T176</f>
        <v>4503.95</v>
      </c>
      <c r="Y179" s="498">
        <f t="shared" si="17"/>
        <v>3014.7929588014981</v>
      </c>
      <c r="Z179" s="234">
        <f t="shared" si="18"/>
        <v>1489.1570411985017</v>
      </c>
    </row>
    <row r="180" spans="1:26" ht="9" customHeight="1">
      <c r="A180" s="504">
        <v>150</v>
      </c>
      <c r="B180" s="225" t="s">
        <v>266</v>
      </c>
      <c r="C180" s="58" t="s">
        <v>1006</v>
      </c>
      <c r="D180" s="58"/>
      <c r="E180" s="226">
        <f>F180+H180+L180+N180+P180+R180+S180+T180+U180+V180</f>
        <v>1522380.2</v>
      </c>
      <c r="F180" s="226">
        <v>0</v>
      </c>
      <c r="G180" s="17">
        <v>0</v>
      </c>
      <c r="H180" s="226">
        <v>0</v>
      </c>
      <c r="I180" s="226">
        <v>389.3</v>
      </c>
      <c r="J180" s="226" t="s">
        <v>111</v>
      </c>
      <c r="K180" s="226">
        <v>3438.05</v>
      </c>
      <c r="L180" s="226">
        <v>1522380.2</v>
      </c>
      <c r="M180" s="226">
        <v>0</v>
      </c>
      <c r="N180" s="226">
        <v>0</v>
      </c>
      <c r="O180" s="226">
        <v>0</v>
      </c>
      <c r="P180" s="226">
        <v>0</v>
      </c>
      <c r="Q180" s="226">
        <v>0</v>
      </c>
      <c r="R180" s="226">
        <v>0</v>
      </c>
      <c r="S180" s="226">
        <v>0</v>
      </c>
      <c r="T180" s="226">
        <v>0</v>
      </c>
      <c r="U180" s="226">
        <v>0</v>
      </c>
      <c r="V180" s="226">
        <v>0</v>
      </c>
      <c r="X180" s="404">
        <f>'Приложение 1'!T177</f>
        <v>4503.95</v>
      </c>
      <c r="Y180" s="404">
        <f t="shared" si="17"/>
        <v>3910.5579244798355</v>
      </c>
      <c r="Z180" s="19">
        <f t="shared" si="18"/>
        <v>593.39207552016433</v>
      </c>
    </row>
    <row r="181" spans="1:26" s="233" customFormat="1" ht="9" customHeight="1">
      <c r="A181" s="504">
        <v>151</v>
      </c>
      <c r="B181" s="235" t="s">
        <v>267</v>
      </c>
      <c r="C181" s="236" t="s">
        <v>1006</v>
      </c>
      <c r="D181" s="236"/>
      <c r="E181" s="229">
        <f>F181+H181+L181+N181+P181+R181+S181+T181+U181+V181</f>
        <v>917488.63</v>
      </c>
      <c r="F181" s="229">
        <v>0</v>
      </c>
      <c r="G181" s="230">
        <v>0</v>
      </c>
      <c r="H181" s="229">
        <v>0</v>
      </c>
      <c r="I181" s="229">
        <v>267</v>
      </c>
      <c r="J181" s="229" t="s">
        <v>111</v>
      </c>
      <c r="K181" s="229">
        <v>3438.05</v>
      </c>
      <c r="L181" s="229">
        <v>917488.63</v>
      </c>
      <c r="M181" s="229">
        <v>0</v>
      </c>
      <c r="N181" s="229">
        <v>0</v>
      </c>
      <c r="O181" s="229">
        <v>0</v>
      </c>
      <c r="P181" s="229">
        <v>0</v>
      </c>
      <c r="Q181" s="229">
        <v>0</v>
      </c>
      <c r="R181" s="229">
        <v>0</v>
      </c>
      <c r="S181" s="229">
        <v>0</v>
      </c>
      <c r="T181" s="229">
        <v>0</v>
      </c>
      <c r="U181" s="229">
        <v>0</v>
      </c>
      <c r="V181" s="229">
        <v>0</v>
      </c>
      <c r="X181" s="498">
        <f>'Приложение 1'!T178</f>
        <v>4503.95</v>
      </c>
      <c r="Y181" s="498">
        <f t="shared" si="17"/>
        <v>3436.2870037453185</v>
      </c>
      <c r="Z181" s="234">
        <f t="shared" si="18"/>
        <v>1067.6629962546813</v>
      </c>
    </row>
    <row r="182" spans="1:26" ht="11.25" customHeight="1">
      <c r="A182" s="882" t="s">
        <v>440</v>
      </c>
      <c r="B182" s="882"/>
      <c r="C182" s="882"/>
      <c r="D182" s="882"/>
      <c r="E182" s="882"/>
      <c r="F182" s="882"/>
      <c r="G182" s="882"/>
      <c r="H182" s="882"/>
      <c r="I182" s="882"/>
      <c r="J182" s="882"/>
      <c r="K182" s="882"/>
      <c r="L182" s="882"/>
      <c r="M182" s="882"/>
      <c r="N182" s="882"/>
      <c r="O182" s="882"/>
      <c r="P182" s="882"/>
      <c r="Q182" s="882"/>
      <c r="R182" s="882"/>
      <c r="S182" s="882"/>
      <c r="T182" s="882"/>
      <c r="U182" s="882"/>
      <c r="V182" s="882"/>
      <c r="X182" s="404">
        <f>'Приложение 1'!T179</f>
        <v>0</v>
      </c>
      <c r="Y182" s="404" t="e">
        <f t="shared" si="17"/>
        <v>#DIV/0!</v>
      </c>
      <c r="Z182" s="19" t="e">
        <f t="shared" si="18"/>
        <v>#DIV/0!</v>
      </c>
    </row>
    <row r="183" spans="1:26" ht="20.25" customHeight="1">
      <c r="A183" s="881" t="s">
        <v>444</v>
      </c>
      <c r="B183" s="881"/>
      <c r="C183" s="58"/>
      <c r="D183" s="58"/>
      <c r="E183" s="98">
        <f>E184</f>
        <v>1376215.27</v>
      </c>
      <c r="F183" s="98">
        <v>0</v>
      </c>
      <c r="G183" s="17">
        <v>0</v>
      </c>
      <c r="H183" s="98">
        <v>0</v>
      </c>
      <c r="I183" s="98">
        <f>I184</f>
        <v>422.63</v>
      </c>
      <c r="J183" s="98"/>
      <c r="K183" s="98"/>
      <c r="L183" s="98">
        <f>L184</f>
        <v>1376215.27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X183" s="404">
        <f>'Приложение 1'!T180</f>
        <v>0</v>
      </c>
      <c r="Y183" s="404">
        <f t="shared" si="17"/>
        <v>3256.3123062726263</v>
      </c>
      <c r="Z183" s="19">
        <f t="shared" si="18"/>
        <v>-3256.3123062726263</v>
      </c>
    </row>
    <row r="184" spans="1:26" ht="10.5" customHeight="1">
      <c r="A184" s="99">
        <v>152</v>
      </c>
      <c r="B184" s="96" t="s">
        <v>269</v>
      </c>
      <c r="C184" s="58" t="s">
        <v>1006</v>
      </c>
      <c r="D184" s="58"/>
      <c r="E184" s="98">
        <f>F184+H184+L184+N184+P184+R184+S184+T184+U184+V184</f>
        <v>1376215.27</v>
      </c>
      <c r="F184" s="98">
        <v>0</v>
      </c>
      <c r="G184" s="17">
        <v>0</v>
      </c>
      <c r="H184" s="98">
        <v>0</v>
      </c>
      <c r="I184" s="98">
        <v>422.63</v>
      </c>
      <c r="J184" s="98" t="s">
        <v>111</v>
      </c>
      <c r="K184" s="98">
        <v>3438.05</v>
      </c>
      <c r="L184" s="98">
        <v>1376215.27</v>
      </c>
      <c r="M184" s="98">
        <v>0</v>
      </c>
      <c r="N184" s="98">
        <v>0</v>
      </c>
      <c r="O184" s="98">
        <v>0</v>
      </c>
      <c r="P184" s="98">
        <v>0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X184" s="404">
        <f>'Приложение 1'!T181</f>
        <v>4503.95</v>
      </c>
      <c r="Y184" s="404">
        <f t="shared" si="17"/>
        <v>3256.3123062726263</v>
      </c>
      <c r="Z184" s="19">
        <f t="shared" si="18"/>
        <v>1247.6376937273735</v>
      </c>
    </row>
    <row r="185" spans="1:26" ht="12" customHeight="1">
      <c r="A185" s="882" t="s">
        <v>395</v>
      </c>
      <c r="B185" s="882"/>
      <c r="C185" s="882"/>
      <c r="D185" s="882"/>
      <c r="E185" s="882"/>
      <c r="F185" s="882"/>
      <c r="G185" s="882"/>
      <c r="H185" s="882"/>
      <c r="I185" s="882"/>
      <c r="J185" s="882"/>
      <c r="K185" s="882"/>
      <c r="L185" s="882"/>
      <c r="M185" s="882"/>
      <c r="N185" s="882"/>
      <c r="O185" s="882"/>
      <c r="P185" s="882"/>
      <c r="Q185" s="882"/>
      <c r="R185" s="882"/>
      <c r="S185" s="882"/>
      <c r="T185" s="882"/>
      <c r="U185" s="882"/>
      <c r="V185" s="882"/>
      <c r="X185" s="404">
        <f>'Приложение 1'!T182</f>
        <v>0</v>
      </c>
      <c r="Y185" s="404" t="e">
        <f t="shared" si="17"/>
        <v>#DIV/0!</v>
      </c>
      <c r="Z185" s="19" t="e">
        <f t="shared" si="18"/>
        <v>#DIV/0!</v>
      </c>
    </row>
    <row r="186" spans="1:26" ht="20.25" customHeight="1">
      <c r="A186" s="881" t="s">
        <v>271</v>
      </c>
      <c r="B186" s="881"/>
      <c r="C186" s="58"/>
      <c r="D186" s="58"/>
      <c r="E186" s="98">
        <f t="shared" ref="E186:V186" si="25">SUM(E187:E201)</f>
        <v>23859657.439999998</v>
      </c>
      <c r="F186" s="98">
        <f t="shared" si="25"/>
        <v>0</v>
      </c>
      <c r="G186" s="17">
        <f t="shared" si="25"/>
        <v>0</v>
      </c>
      <c r="H186" s="98">
        <f t="shared" si="25"/>
        <v>0</v>
      </c>
      <c r="I186" s="98">
        <f t="shared" si="25"/>
        <v>7485.1999999999989</v>
      </c>
      <c r="J186" s="98">
        <f t="shared" si="25"/>
        <v>0</v>
      </c>
      <c r="K186" s="98">
        <f t="shared" si="25"/>
        <v>41658.890000000007</v>
      </c>
      <c r="L186" s="98">
        <f t="shared" si="25"/>
        <v>23859657.439999998</v>
      </c>
      <c r="M186" s="98">
        <f t="shared" si="25"/>
        <v>0</v>
      </c>
      <c r="N186" s="98">
        <f t="shared" si="25"/>
        <v>0</v>
      </c>
      <c r="O186" s="98">
        <f t="shared" si="25"/>
        <v>0</v>
      </c>
      <c r="P186" s="98">
        <f t="shared" si="25"/>
        <v>0</v>
      </c>
      <c r="Q186" s="98">
        <f t="shared" si="25"/>
        <v>0</v>
      </c>
      <c r="R186" s="98">
        <f t="shared" si="25"/>
        <v>0</v>
      </c>
      <c r="S186" s="98">
        <f t="shared" si="25"/>
        <v>0</v>
      </c>
      <c r="T186" s="98">
        <f t="shared" si="25"/>
        <v>0</v>
      </c>
      <c r="U186" s="98">
        <f t="shared" si="25"/>
        <v>0</v>
      </c>
      <c r="V186" s="98">
        <f t="shared" si="25"/>
        <v>0</v>
      </c>
      <c r="X186" s="404">
        <f>'Приложение 1'!T183</f>
        <v>0</v>
      </c>
      <c r="Y186" s="404">
        <f t="shared" si="17"/>
        <v>3187.5778122161064</v>
      </c>
      <c r="Z186" s="19">
        <f t="shared" si="18"/>
        <v>-3187.5778122161064</v>
      </c>
    </row>
    <row r="187" spans="1:26" ht="9" customHeight="1">
      <c r="A187" s="99">
        <v>153</v>
      </c>
      <c r="B187" s="96" t="s">
        <v>272</v>
      </c>
      <c r="C187" s="58" t="s">
        <v>1005</v>
      </c>
      <c r="D187" s="58"/>
      <c r="E187" s="98">
        <f t="shared" ref="E187:E201" si="26">F187+H187+L187+N187+P187+R187+S187+T187+U187+V187</f>
        <v>3249956.74</v>
      </c>
      <c r="F187" s="98">
        <v>0</v>
      </c>
      <c r="G187" s="17">
        <v>0</v>
      </c>
      <c r="H187" s="98">
        <v>0</v>
      </c>
      <c r="I187" s="98">
        <v>860</v>
      </c>
      <c r="J187" s="98" t="s">
        <v>110</v>
      </c>
      <c r="K187" s="98">
        <v>2022.07</v>
      </c>
      <c r="L187" s="98">
        <v>3249956.74</v>
      </c>
      <c r="M187" s="98">
        <v>0</v>
      </c>
      <c r="N187" s="98">
        <v>0</v>
      </c>
      <c r="O187" s="98">
        <v>0</v>
      </c>
      <c r="P187" s="98">
        <v>0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X187" s="404">
        <f>'Приложение 1'!T184</f>
        <v>4180</v>
      </c>
      <c r="Y187" s="404">
        <f t="shared" si="17"/>
        <v>3779.0194651162792</v>
      </c>
      <c r="Z187" s="19">
        <f t="shared" si="18"/>
        <v>400.98053488372079</v>
      </c>
    </row>
    <row r="188" spans="1:26" ht="9" customHeight="1">
      <c r="A188" s="99">
        <v>154</v>
      </c>
      <c r="B188" s="96" t="s">
        <v>273</v>
      </c>
      <c r="C188" s="58" t="s">
        <v>1006</v>
      </c>
      <c r="D188" s="58"/>
      <c r="E188" s="98">
        <f t="shared" si="26"/>
        <v>1695759.88</v>
      </c>
      <c r="F188" s="98">
        <v>0</v>
      </c>
      <c r="G188" s="17">
        <v>0</v>
      </c>
      <c r="H188" s="98">
        <v>0</v>
      </c>
      <c r="I188" s="98">
        <v>485</v>
      </c>
      <c r="J188" s="98" t="s">
        <v>111</v>
      </c>
      <c r="K188" s="98">
        <v>3438.05</v>
      </c>
      <c r="L188" s="98">
        <v>1695759.88</v>
      </c>
      <c r="M188" s="98">
        <v>0</v>
      </c>
      <c r="N188" s="98">
        <v>0</v>
      </c>
      <c r="O188" s="98">
        <v>0</v>
      </c>
      <c r="P188" s="98">
        <v>0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X188" s="404">
        <f>'Приложение 1'!T185</f>
        <v>4503.95</v>
      </c>
      <c r="Y188" s="404">
        <f t="shared" si="17"/>
        <v>3496.41212371134</v>
      </c>
      <c r="Z188" s="19">
        <f t="shared" si="18"/>
        <v>1007.5378762886598</v>
      </c>
    </row>
    <row r="189" spans="1:26" ht="9" customHeight="1">
      <c r="A189" s="502">
        <v>155</v>
      </c>
      <c r="B189" s="96" t="s">
        <v>274</v>
      </c>
      <c r="C189" s="58" t="s">
        <v>1011</v>
      </c>
      <c r="D189" s="58"/>
      <c r="E189" s="98">
        <f t="shared" si="26"/>
        <v>1470901.88</v>
      </c>
      <c r="F189" s="98">
        <v>0</v>
      </c>
      <c r="G189" s="17">
        <v>0</v>
      </c>
      <c r="H189" s="98">
        <v>0</v>
      </c>
      <c r="I189" s="98">
        <v>389</v>
      </c>
      <c r="J189" s="98" t="s">
        <v>110</v>
      </c>
      <c r="K189" s="98">
        <v>2022.07</v>
      </c>
      <c r="L189" s="98">
        <v>1470901.88</v>
      </c>
      <c r="M189" s="98">
        <v>0</v>
      </c>
      <c r="N189" s="98">
        <v>0</v>
      </c>
      <c r="O189" s="98">
        <v>0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X189" s="404">
        <f>'Приложение 1'!T186</f>
        <v>4180</v>
      </c>
      <c r="Y189" s="404">
        <f t="shared" si="17"/>
        <v>3781.2387660668378</v>
      </c>
      <c r="Z189" s="19">
        <f t="shared" si="18"/>
        <v>398.7612339331622</v>
      </c>
    </row>
    <row r="190" spans="1:26" ht="9" customHeight="1">
      <c r="A190" s="502">
        <v>156</v>
      </c>
      <c r="B190" s="117" t="s">
        <v>275</v>
      </c>
      <c r="C190" s="58" t="s">
        <v>1005</v>
      </c>
      <c r="D190" s="58"/>
      <c r="E190" s="118">
        <f t="shared" si="26"/>
        <v>1316234.7</v>
      </c>
      <c r="F190" s="118">
        <v>0</v>
      </c>
      <c r="G190" s="17">
        <v>0</v>
      </c>
      <c r="H190" s="118">
        <v>0</v>
      </c>
      <c r="I190" s="118">
        <v>356</v>
      </c>
      <c r="J190" s="118" t="s">
        <v>110</v>
      </c>
      <c r="K190" s="118">
        <v>2022.07</v>
      </c>
      <c r="L190" s="118">
        <v>1316234.7</v>
      </c>
      <c r="M190" s="118">
        <v>0</v>
      </c>
      <c r="N190" s="118">
        <v>0</v>
      </c>
      <c r="O190" s="118">
        <v>0</v>
      </c>
      <c r="P190" s="118">
        <v>0</v>
      </c>
      <c r="Q190" s="118">
        <v>0</v>
      </c>
      <c r="R190" s="118">
        <v>0</v>
      </c>
      <c r="S190" s="118">
        <v>0</v>
      </c>
      <c r="T190" s="118">
        <v>0</v>
      </c>
      <c r="U190" s="118">
        <v>0</v>
      </c>
      <c r="V190" s="118">
        <v>0</v>
      </c>
      <c r="X190" s="404">
        <f>'Приложение 1'!T187</f>
        <v>4180</v>
      </c>
      <c r="Y190" s="404">
        <f t="shared" si="17"/>
        <v>3697.2884831460674</v>
      </c>
      <c r="Z190" s="19">
        <f t="shared" si="18"/>
        <v>482.71151685393261</v>
      </c>
    </row>
    <row r="191" spans="1:26" ht="9" customHeight="1">
      <c r="A191" s="502">
        <v>157</v>
      </c>
      <c r="B191" s="117" t="s">
        <v>276</v>
      </c>
      <c r="C191" s="58" t="s">
        <v>1005</v>
      </c>
      <c r="D191" s="58"/>
      <c r="E191" s="118">
        <f t="shared" si="26"/>
        <v>763718</v>
      </c>
      <c r="F191" s="118">
        <v>0</v>
      </c>
      <c r="G191" s="17">
        <v>0</v>
      </c>
      <c r="H191" s="118">
        <v>0</v>
      </c>
      <c r="I191" s="118">
        <v>219</v>
      </c>
      <c r="J191" s="118" t="s">
        <v>110</v>
      </c>
      <c r="K191" s="118">
        <v>2022.07</v>
      </c>
      <c r="L191" s="118">
        <v>763718</v>
      </c>
      <c r="M191" s="118">
        <v>0</v>
      </c>
      <c r="N191" s="118">
        <v>0</v>
      </c>
      <c r="O191" s="118">
        <v>0</v>
      </c>
      <c r="P191" s="118">
        <v>0</v>
      </c>
      <c r="Q191" s="118">
        <v>0</v>
      </c>
      <c r="R191" s="118">
        <v>0</v>
      </c>
      <c r="S191" s="118">
        <v>0</v>
      </c>
      <c r="T191" s="118">
        <v>0</v>
      </c>
      <c r="U191" s="118">
        <v>0</v>
      </c>
      <c r="V191" s="118">
        <v>0</v>
      </c>
      <c r="X191" s="404">
        <f>'Приложение 1'!T188</f>
        <v>4180</v>
      </c>
      <c r="Y191" s="404">
        <f>L191/I191</f>
        <v>3487.2968036529678</v>
      </c>
      <c r="Z191" s="19">
        <f t="shared" si="18"/>
        <v>692.70319634703219</v>
      </c>
    </row>
    <row r="192" spans="1:26" ht="9" customHeight="1">
      <c r="A192" s="502">
        <v>158</v>
      </c>
      <c r="B192" s="117" t="s">
        <v>277</v>
      </c>
      <c r="C192" s="58" t="s">
        <v>1005</v>
      </c>
      <c r="D192" s="58"/>
      <c r="E192" s="118">
        <f t="shared" si="26"/>
        <v>819383.91</v>
      </c>
      <c r="F192" s="118">
        <v>0</v>
      </c>
      <c r="G192" s="17">
        <v>0</v>
      </c>
      <c r="H192" s="118">
        <v>0</v>
      </c>
      <c r="I192" s="118">
        <v>233.14</v>
      </c>
      <c r="J192" s="118" t="s">
        <v>110</v>
      </c>
      <c r="K192" s="118">
        <v>2022.07</v>
      </c>
      <c r="L192" s="118">
        <v>819383.91</v>
      </c>
      <c r="M192" s="118">
        <v>0</v>
      </c>
      <c r="N192" s="118">
        <v>0</v>
      </c>
      <c r="O192" s="118">
        <v>0</v>
      </c>
      <c r="P192" s="118">
        <v>0</v>
      </c>
      <c r="Q192" s="118">
        <v>0</v>
      </c>
      <c r="R192" s="118">
        <v>0</v>
      </c>
      <c r="S192" s="118">
        <v>0</v>
      </c>
      <c r="T192" s="118">
        <v>0</v>
      </c>
      <c r="U192" s="118">
        <v>0</v>
      </c>
      <c r="V192" s="118">
        <v>0</v>
      </c>
      <c r="X192" s="404">
        <f>'Приложение 1'!T189</f>
        <v>4180</v>
      </c>
      <c r="Y192" s="404">
        <f>L192/I192</f>
        <v>3514.5573904091966</v>
      </c>
      <c r="Z192" s="19">
        <f t="shared" si="18"/>
        <v>665.44260959080339</v>
      </c>
    </row>
    <row r="193" spans="1:26" ht="9" customHeight="1">
      <c r="A193" s="502">
        <v>159</v>
      </c>
      <c r="B193" s="117" t="s">
        <v>278</v>
      </c>
      <c r="C193" s="58" t="s">
        <v>1006</v>
      </c>
      <c r="D193" s="58"/>
      <c r="E193" s="118">
        <f t="shared" si="26"/>
        <v>1665435.7</v>
      </c>
      <c r="F193" s="118">
        <v>0</v>
      </c>
      <c r="G193" s="17">
        <v>0</v>
      </c>
      <c r="H193" s="118">
        <v>0</v>
      </c>
      <c r="I193" s="118">
        <v>564</v>
      </c>
      <c r="J193" s="118" t="s">
        <v>111</v>
      </c>
      <c r="K193" s="118">
        <v>3438.05</v>
      </c>
      <c r="L193" s="118">
        <v>1665435.7</v>
      </c>
      <c r="M193" s="118">
        <v>0</v>
      </c>
      <c r="N193" s="118">
        <v>0</v>
      </c>
      <c r="O193" s="118">
        <v>0</v>
      </c>
      <c r="P193" s="118">
        <v>0</v>
      </c>
      <c r="Q193" s="118">
        <v>0</v>
      </c>
      <c r="R193" s="118">
        <v>0</v>
      </c>
      <c r="S193" s="118">
        <v>0</v>
      </c>
      <c r="T193" s="118">
        <v>0</v>
      </c>
      <c r="U193" s="118">
        <v>0</v>
      </c>
      <c r="V193" s="118">
        <v>0</v>
      </c>
      <c r="X193" s="404">
        <f>'Приложение 1'!T190</f>
        <v>4503.95</v>
      </c>
      <c r="Y193" s="404">
        <f t="shared" si="17"/>
        <v>2952.9001773049645</v>
      </c>
      <c r="Z193" s="19">
        <f t="shared" si="18"/>
        <v>1551.0498226950353</v>
      </c>
    </row>
    <row r="194" spans="1:26" ht="9" customHeight="1">
      <c r="A194" s="502">
        <v>160</v>
      </c>
      <c r="B194" s="96" t="s">
        <v>279</v>
      </c>
      <c r="C194" s="58" t="s">
        <v>1006</v>
      </c>
      <c r="D194" s="58"/>
      <c r="E194" s="98">
        <f t="shared" si="26"/>
        <v>1784649.94</v>
      </c>
      <c r="F194" s="98">
        <v>0</v>
      </c>
      <c r="G194" s="17">
        <v>0</v>
      </c>
      <c r="H194" s="98">
        <v>0</v>
      </c>
      <c r="I194" s="98">
        <v>532.4</v>
      </c>
      <c r="J194" s="98" t="s">
        <v>111</v>
      </c>
      <c r="K194" s="98">
        <v>3438.05</v>
      </c>
      <c r="L194" s="98">
        <v>1784649.94</v>
      </c>
      <c r="M194" s="98">
        <v>0</v>
      </c>
      <c r="N194" s="98">
        <v>0</v>
      </c>
      <c r="O194" s="98">
        <v>0</v>
      </c>
      <c r="P194" s="98">
        <v>0</v>
      </c>
      <c r="Q194" s="98">
        <v>0</v>
      </c>
      <c r="R194" s="98">
        <v>0</v>
      </c>
      <c r="S194" s="98">
        <v>0</v>
      </c>
      <c r="T194" s="98">
        <v>0</v>
      </c>
      <c r="U194" s="98">
        <v>0</v>
      </c>
      <c r="V194" s="98">
        <v>0</v>
      </c>
      <c r="X194" s="404">
        <f>'Приложение 1'!T191</f>
        <v>4503.95</v>
      </c>
      <c r="Y194" s="404">
        <f t="shared" si="17"/>
        <v>3352.0847858752818</v>
      </c>
      <c r="Z194" s="19">
        <f t="shared" si="18"/>
        <v>1151.865214124718</v>
      </c>
    </row>
    <row r="195" spans="1:26" ht="9" customHeight="1">
      <c r="A195" s="502">
        <v>161</v>
      </c>
      <c r="B195" s="96" t="s">
        <v>280</v>
      </c>
      <c r="C195" s="58" t="s">
        <v>1005</v>
      </c>
      <c r="D195" s="58"/>
      <c r="E195" s="98">
        <f t="shared" si="26"/>
        <v>1623962.44</v>
      </c>
      <c r="F195" s="98">
        <v>0</v>
      </c>
      <c r="G195" s="17">
        <v>0</v>
      </c>
      <c r="H195" s="98">
        <v>0</v>
      </c>
      <c r="I195" s="98">
        <v>523.91</v>
      </c>
      <c r="J195" s="98" t="s">
        <v>110</v>
      </c>
      <c r="K195" s="98">
        <v>2022.07</v>
      </c>
      <c r="L195" s="98">
        <v>1623962.44</v>
      </c>
      <c r="M195" s="98">
        <v>0</v>
      </c>
      <c r="N195" s="98">
        <v>0</v>
      </c>
      <c r="O195" s="98">
        <v>0</v>
      </c>
      <c r="P195" s="98">
        <v>0</v>
      </c>
      <c r="Q195" s="98"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X195" s="404">
        <f>'Приложение 1'!T192</f>
        <v>4180</v>
      </c>
      <c r="Y195" s="404">
        <f t="shared" si="17"/>
        <v>3099.6973525987287</v>
      </c>
      <c r="Z195" s="19">
        <f t="shared" si="18"/>
        <v>1080.3026474012713</v>
      </c>
    </row>
    <row r="196" spans="1:26" ht="9" customHeight="1">
      <c r="A196" s="502">
        <v>162</v>
      </c>
      <c r="B196" s="96" t="s">
        <v>370</v>
      </c>
      <c r="C196" s="58" t="s">
        <v>1006</v>
      </c>
      <c r="D196" s="58"/>
      <c r="E196" s="98">
        <f t="shared" si="26"/>
        <v>2069920.05</v>
      </c>
      <c r="F196" s="98">
        <v>0</v>
      </c>
      <c r="G196" s="17">
        <v>0</v>
      </c>
      <c r="H196" s="98">
        <v>0</v>
      </c>
      <c r="I196" s="98">
        <v>813.4</v>
      </c>
      <c r="J196" s="98" t="s">
        <v>111</v>
      </c>
      <c r="K196" s="98">
        <v>3438.05</v>
      </c>
      <c r="L196" s="98">
        <v>2069920.05</v>
      </c>
      <c r="M196" s="98">
        <v>0</v>
      </c>
      <c r="N196" s="98">
        <v>0</v>
      </c>
      <c r="O196" s="98">
        <v>0</v>
      </c>
      <c r="P196" s="98">
        <v>0</v>
      </c>
      <c r="Q196" s="98">
        <v>0</v>
      </c>
      <c r="R196" s="98">
        <v>0</v>
      </c>
      <c r="S196" s="98">
        <v>0</v>
      </c>
      <c r="T196" s="98">
        <v>0</v>
      </c>
      <c r="U196" s="98">
        <v>0</v>
      </c>
      <c r="V196" s="98">
        <v>0</v>
      </c>
      <c r="X196" s="404">
        <f>'Приложение 1'!T193</f>
        <v>4503.95</v>
      </c>
      <c r="Y196" s="404">
        <f t="shared" si="17"/>
        <v>2544.7750799114829</v>
      </c>
      <c r="Z196" s="19">
        <f t="shared" si="18"/>
        <v>1959.174920088517</v>
      </c>
    </row>
    <row r="197" spans="1:26" s="233" customFormat="1" ht="9" customHeight="1">
      <c r="A197" s="502">
        <v>163</v>
      </c>
      <c r="B197" s="235" t="s">
        <v>281</v>
      </c>
      <c r="C197" s="236" t="s">
        <v>1005</v>
      </c>
      <c r="D197" s="236"/>
      <c r="E197" s="229">
        <f t="shared" si="26"/>
        <v>1871195.32</v>
      </c>
      <c r="F197" s="229">
        <v>0</v>
      </c>
      <c r="G197" s="230">
        <v>0</v>
      </c>
      <c r="H197" s="229">
        <v>0</v>
      </c>
      <c r="I197" s="229">
        <v>502</v>
      </c>
      <c r="J197" s="229" t="s">
        <v>110</v>
      </c>
      <c r="K197" s="229">
        <v>2022.07</v>
      </c>
      <c r="L197" s="229">
        <v>1871195.32</v>
      </c>
      <c r="M197" s="229">
        <v>0</v>
      </c>
      <c r="N197" s="229">
        <v>0</v>
      </c>
      <c r="O197" s="229">
        <v>0</v>
      </c>
      <c r="P197" s="229">
        <v>0</v>
      </c>
      <c r="Q197" s="229">
        <v>0</v>
      </c>
      <c r="R197" s="229">
        <v>0</v>
      </c>
      <c r="S197" s="229">
        <v>0</v>
      </c>
      <c r="T197" s="229">
        <v>0</v>
      </c>
      <c r="U197" s="229">
        <v>0</v>
      </c>
      <c r="V197" s="229">
        <v>0</v>
      </c>
      <c r="X197" s="498">
        <f>'Приложение 1'!T194</f>
        <v>4180</v>
      </c>
      <c r="Y197" s="498">
        <f t="shared" si="17"/>
        <v>3727.4807171314742</v>
      </c>
      <c r="Z197" s="234">
        <f t="shared" si="18"/>
        <v>452.51928286852581</v>
      </c>
    </row>
    <row r="198" spans="1:26" ht="9" customHeight="1">
      <c r="A198" s="502">
        <v>164</v>
      </c>
      <c r="B198" s="96" t="s">
        <v>282</v>
      </c>
      <c r="C198" s="58" t="s">
        <v>1010</v>
      </c>
      <c r="D198" s="58"/>
      <c r="E198" s="98">
        <f t="shared" si="26"/>
        <v>1858393.84</v>
      </c>
      <c r="F198" s="98">
        <v>0</v>
      </c>
      <c r="G198" s="17">
        <v>0</v>
      </c>
      <c r="H198" s="98">
        <v>0</v>
      </c>
      <c r="I198" s="98">
        <v>585</v>
      </c>
      <c r="J198" s="98" t="s">
        <v>111</v>
      </c>
      <c r="K198" s="98">
        <v>3438.05</v>
      </c>
      <c r="L198" s="98">
        <v>1858393.84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X198" s="404">
        <f>'Приложение 1'!T195</f>
        <v>4180</v>
      </c>
      <c r="Y198" s="404">
        <f t="shared" si="17"/>
        <v>3176.7416068376069</v>
      </c>
      <c r="Z198" s="19">
        <f t="shared" si="18"/>
        <v>1003.2583931623931</v>
      </c>
    </row>
    <row r="199" spans="1:26" ht="9" customHeight="1">
      <c r="A199" s="502">
        <v>165</v>
      </c>
      <c r="B199" s="96" t="s">
        <v>283</v>
      </c>
      <c r="C199" s="58" t="s">
        <v>1006</v>
      </c>
      <c r="D199" s="58"/>
      <c r="E199" s="98">
        <f t="shared" si="26"/>
        <v>1992782.87</v>
      </c>
      <c r="F199" s="98">
        <v>0</v>
      </c>
      <c r="G199" s="17">
        <v>0</v>
      </c>
      <c r="H199" s="98">
        <v>0</v>
      </c>
      <c r="I199" s="98">
        <v>813.7</v>
      </c>
      <c r="J199" s="98" t="s">
        <v>111</v>
      </c>
      <c r="K199" s="98">
        <v>3438.05</v>
      </c>
      <c r="L199" s="98">
        <v>1992782.87</v>
      </c>
      <c r="M199" s="98">
        <v>0</v>
      </c>
      <c r="N199" s="98">
        <v>0</v>
      </c>
      <c r="O199" s="98">
        <v>0</v>
      </c>
      <c r="P199" s="98">
        <v>0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X199" s="404">
        <f>'Приложение 1'!T196</f>
        <v>4503.95</v>
      </c>
      <c r="Y199" s="404">
        <f t="shared" si="17"/>
        <v>2449.0387980828314</v>
      </c>
      <c r="Z199" s="19">
        <f t="shared" si="18"/>
        <v>2054.9112019171685</v>
      </c>
    </row>
    <row r="200" spans="1:26" ht="9" customHeight="1">
      <c r="A200" s="502">
        <v>166</v>
      </c>
      <c r="B200" s="96" t="s">
        <v>284</v>
      </c>
      <c r="C200" s="58" t="s">
        <v>1006</v>
      </c>
      <c r="D200" s="58"/>
      <c r="E200" s="98">
        <f t="shared" si="26"/>
        <v>1018363.49</v>
      </c>
      <c r="F200" s="98">
        <v>0</v>
      </c>
      <c r="G200" s="17">
        <v>0</v>
      </c>
      <c r="H200" s="98">
        <v>0</v>
      </c>
      <c r="I200" s="98">
        <v>389</v>
      </c>
      <c r="J200" s="98" t="s">
        <v>111</v>
      </c>
      <c r="K200" s="98">
        <v>3438.05</v>
      </c>
      <c r="L200" s="98">
        <v>1018363.49</v>
      </c>
      <c r="M200" s="98">
        <v>0</v>
      </c>
      <c r="N200" s="98">
        <v>0</v>
      </c>
      <c r="O200" s="98">
        <v>0</v>
      </c>
      <c r="P200" s="98">
        <v>0</v>
      </c>
      <c r="Q200" s="98">
        <v>0</v>
      </c>
      <c r="R200" s="98">
        <v>0</v>
      </c>
      <c r="S200" s="98">
        <v>0</v>
      </c>
      <c r="T200" s="98">
        <v>0</v>
      </c>
      <c r="U200" s="98">
        <v>0</v>
      </c>
      <c r="V200" s="98">
        <v>0</v>
      </c>
      <c r="X200" s="404">
        <f>'Приложение 1'!T197</f>
        <v>4503.95</v>
      </c>
      <c r="Y200" s="404">
        <f t="shared" si="17"/>
        <v>2617.9010025706939</v>
      </c>
      <c r="Z200" s="19">
        <f t="shared" si="18"/>
        <v>1886.0489974293059</v>
      </c>
    </row>
    <row r="201" spans="1:26" ht="9" customHeight="1">
      <c r="A201" s="502">
        <v>167</v>
      </c>
      <c r="B201" s="96" t="s">
        <v>285</v>
      </c>
      <c r="C201" s="58" t="s">
        <v>1006</v>
      </c>
      <c r="D201" s="58"/>
      <c r="E201" s="98">
        <f t="shared" si="26"/>
        <v>658998.68000000005</v>
      </c>
      <c r="F201" s="98">
        <v>0</v>
      </c>
      <c r="G201" s="17">
        <v>0</v>
      </c>
      <c r="H201" s="98">
        <v>0</v>
      </c>
      <c r="I201" s="98">
        <v>219.65</v>
      </c>
      <c r="J201" s="98" t="s">
        <v>111</v>
      </c>
      <c r="K201" s="98">
        <v>3438.05</v>
      </c>
      <c r="L201" s="98">
        <v>658998.68000000005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98">
        <v>0</v>
      </c>
      <c r="S201" s="98">
        <v>0</v>
      </c>
      <c r="T201" s="98">
        <v>0</v>
      </c>
      <c r="U201" s="98">
        <v>0</v>
      </c>
      <c r="V201" s="98">
        <v>0</v>
      </c>
      <c r="X201" s="404">
        <f>'Приложение 1'!T198</f>
        <v>4503.95</v>
      </c>
      <c r="Y201" s="404">
        <f t="shared" si="17"/>
        <v>3000.2216253129982</v>
      </c>
      <c r="Z201" s="19">
        <f t="shared" si="18"/>
        <v>1503.7283746870016</v>
      </c>
    </row>
    <row r="202" spans="1:26">
      <c r="A202" s="886" t="s">
        <v>445</v>
      </c>
      <c r="B202" s="886"/>
      <c r="C202" s="886"/>
      <c r="D202" s="886"/>
      <c r="E202" s="886"/>
      <c r="F202" s="886"/>
      <c r="G202" s="886"/>
      <c r="H202" s="886"/>
      <c r="I202" s="886"/>
      <c r="J202" s="886"/>
      <c r="K202" s="886"/>
      <c r="L202" s="886"/>
      <c r="M202" s="886"/>
      <c r="N202" s="886"/>
      <c r="O202" s="886"/>
      <c r="P202" s="886"/>
      <c r="Q202" s="886"/>
      <c r="R202" s="886"/>
      <c r="S202" s="886"/>
      <c r="T202" s="886"/>
      <c r="U202" s="886"/>
      <c r="V202" s="886"/>
      <c r="X202" s="404">
        <f>'Приложение 1'!T199</f>
        <v>0</v>
      </c>
      <c r="Y202" s="404" t="e">
        <f t="shared" si="17"/>
        <v>#DIV/0!</v>
      </c>
      <c r="Z202" s="19" t="e">
        <f t="shared" si="18"/>
        <v>#DIV/0!</v>
      </c>
    </row>
    <row r="203" spans="1:26" ht="20.25" customHeight="1">
      <c r="A203" s="881" t="s">
        <v>446</v>
      </c>
      <c r="B203" s="881"/>
      <c r="C203" s="58"/>
      <c r="D203" s="58"/>
      <c r="E203" s="20">
        <f t="shared" ref="E203:V203" si="27">SUM(E204:E205)</f>
        <v>3710545.95</v>
      </c>
      <c r="F203" s="20">
        <f t="shared" si="27"/>
        <v>0</v>
      </c>
      <c r="G203" s="33">
        <f t="shared" si="27"/>
        <v>0</v>
      </c>
      <c r="H203" s="20">
        <f t="shared" si="27"/>
        <v>0</v>
      </c>
      <c r="I203" s="20">
        <f t="shared" si="27"/>
        <v>1246.3</v>
      </c>
      <c r="J203" s="20">
        <f t="shared" si="27"/>
        <v>0</v>
      </c>
      <c r="K203" s="20">
        <f t="shared" si="27"/>
        <v>5460.12</v>
      </c>
      <c r="L203" s="20">
        <f t="shared" si="27"/>
        <v>3710545.95</v>
      </c>
      <c r="M203" s="20">
        <f t="shared" si="27"/>
        <v>0</v>
      </c>
      <c r="N203" s="20">
        <f t="shared" si="27"/>
        <v>0</v>
      </c>
      <c r="O203" s="20">
        <f t="shared" si="27"/>
        <v>0</v>
      </c>
      <c r="P203" s="20">
        <f t="shared" si="27"/>
        <v>0</v>
      </c>
      <c r="Q203" s="20">
        <f t="shared" si="27"/>
        <v>0</v>
      </c>
      <c r="R203" s="20">
        <f t="shared" si="27"/>
        <v>0</v>
      </c>
      <c r="S203" s="20">
        <f t="shared" si="27"/>
        <v>0</v>
      </c>
      <c r="T203" s="20">
        <f t="shared" si="27"/>
        <v>0</v>
      </c>
      <c r="U203" s="20">
        <f t="shared" si="27"/>
        <v>0</v>
      </c>
      <c r="V203" s="20">
        <f t="shared" si="27"/>
        <v>0</v>
      </c>
      <c r="X203" s="404">
        <f>'Приложение 1'!T200</f>
        <v>0</v>
      </c>
      <c r="Y203" s="404">
        <f t="shared" si="17"/>
        <v>2977.2494182781033</v>
      </c>
      <c r="Z203" s="19">
        <f t="shared" si="18"/>
        <v>-2977.2494182781033</v>
      </c>
    </row>
    <row r="204" spans="1:26" ht="9.75" customHeight="1">
      <c r="A204" s="21">
        <v>168</v>
      </c>
      <c r="B204" s="102" t="s">
        <v>286</v>
      </c>
      <c r="C204" s="65" t="s">
        <v>1006</v>
      </c>
      <c r="D204" s="65"/>
      <c r="E204" s="98">
        <f>F204+H204+L204+N204+P204+R204+S204+T204+U204+V204</f>
        <v>2215999.62</v>
      </c>
      <c r="F204" s="20">
        <v>0</v>
      </c>
      <c r="G204" s="33">
        <v>0</v>
      </c>
      <c r="H204" s="20">
        <v>0</v>
      </c>
      <c r="I204" s="43">
        <v>810</v>
      </c>
      <c r="J204" s="21" t="s">
        <v>111</v>
      </c>
      <c r="K204" s="98">
        <v>3438.05</v>
      </c>
      <c r="L204" s="98">
        <v>2215999.62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X204" s="404">
        <f>'Приложение 1'!T201</f>
        <v>4503.95</v>
      </c>
      <c r="Y204" s="404">
        <f t="shared" si="17"/>
        <v>2735.8020000000001</v>
      </c>
      <c r="Z204" s="19">
        <f t="shared" si="18"/>
        <v>1768.1479999999997</v>
      </c>
    </row>
    <row r="205" spans="1:26" ht="9.75" customHeight="1">
      <c r="A205" s="21">
        <v>169</v>
      </c>
      <c r="B205" s="102" t="s">
        <v>287</v>
      </c>
      <c r="C205" s="65" t="s">
        <v>1005</v>
      </c>
      <c r="D205" s="65"/>
      <c r="E205" s="98">
        <f>F205+H205+L205+N205+P205+R205+S205+T205+U205+V205</f>
        <v>1494546.33</v>
      </c>
      <c r="F205" s="20">
        <v>0</v>
      </c>
      <c r="G205" s="33">
        <v>0</v>
      </c>
      <c r="H205" s="20">
        <v>0</v>
      </c>
      <c r="I205" s="43">
        <v>436.3</v>
      </c>
      <c r="J205" s="21" t="s">
        <v>110</v>
      </c>
      <c r="K205" s="98">
        <v>2022.07</v>
      </c>
      <c r="L205" s="98">
        <v>1494546.33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X205" s="404">
        <f>'Приложение 1'!T202</f>
        <v>4180</v>
      </c>
      <c r="Y205" s="404">
        <f t="shared" si="17"/>
        <v>3425.5015585606234</v>
      </c>
      <c r="Z205" s="19">
        <f t="shared" si="18"/>
        <v>754.49844143937662</v>
      </c>
    </row>
    <row r="206" spans="1:26" ht="11.25" customHeight="1">
      <c r="A206" s="886" t="s">
        <v>397</v>
      </c>
      <c r="B206" s="886"/>
      <c r="C206" s="886"/>
      <c r="D206" s="886"/>
      <c r="E206" s="886"/>
      <c r="F206" s="886"/>
      <c r="G206" s="886"/>
      <c r="H206" s="886"/>
      <c r="I206" s="886"/>
      <c r="J206" s="886"/>
      <c r="K206" s="886"/>
      <c r="L206" s="886"/>
      <c r="M206" s="886"/>
      <c r="N206" s="886"/>
      <c r="O206" s="886"/>
      <c r="P206" s="886"/>
      <c r="Q206" s="886"/>
      <c r="R206" s="886"/>
      <c r="S206" s="886"/>
      <c r="T206" s="886"/>
      <c r="U206" s="886"/>
      <c r="V206" s="886"/>
      <c r="X206" s="404">
        <f>'Приложение 1'!T203</f>
        <v>0</v>
      </c>
      <c r="Y206" s="404" t="e">
        <f t="shared" si="17"/>
        <v>#DIV/0!</v>
      </c>
      <c r="Z206" s="19" t="e">
        <f t="shared" si="18"/>
        <v>#DIV/0!</v>
      </c>
    </row>
    <row r="207" spans="1:26" ht="19.5" customHeight="1">
      <c r="A207" s="885" t="s">
        <v>398</v>
      </c>
      <c r="B207" s="885"/>
      <c r="C207" s="66"/>
      <c r="D207" s="66"/>
      <c r="E207" s="20">
        <f t="shared" ref="E207:V207" si="28">SUM(E208:E208)</f>
        <v>1919938.68</v>
      </c>
      <c r="F207" s="20">
        <f t="shared" si="28"/>
        <v>0</v>
      </c>
      <c r="G207" s="33">
        <f t="shared" si="28"/>
        <v>0</v>
      </c>
      <c r="H207" s="20">
        <f t="shared" si="28"/>
        <v>0</v>
      </c>
      <c r="I207" s="20">
        <f t="shared" si="28"/>
        <v>618</v>
      </c>
      <c r="J207" s="20">
        <f t="shared" si="28"/>
        <v>0</v>
      </c>
      <c r="K207" s="20">
        <f t="shared" si="28"/>
        <v>3438.05</v>
      </c>
      <c r="L207" s="20">
        <f t="shared" si="28"/>
        <v>1919938.68</v>
      </c>
      <c r="M207" s="20">
        <f t="shared" si="28"/>
        <v>0</v>
      </c>
      <c r="N207" s="20">
        <f t="shared" si="28"/>
        <v>0</v>
      </c>
      <c r="O207" s="20">
        <f t="shared" si="28"/>
        <v>0</v>
      </c>
      <c r="P207" s="20">
        <f t="shared" si="28"/>
        <v>0</v>
      </c>
      <c r="Q207" s="20">
        <f t="shared" si="28"/>
        <v>0</v>
      </c>
      <c r="R207" s="20">
        <f t="shared" si="28"/>
        <v>0</v>
      </c>
      <c r="S207" s="20">
        <f t="shared" si="28"/>
        <v>0</v>
      </c>
      <c r="T207" s="20">
        <f t="shared" si="28"/>
        <v>0</v>
      </c>
      <c r="U207" s="20">
        <f t="shared" si="28"/>
        <v>0</v>
      </c>
      <c r="V207" s="20">
        <f t="shared" si="28"/>
        <v>0</v>
      </c>
      <c r="X207" s="404">
        <f>'Приложение 1'!T204</f>
        <v>0</v>
      </c>
      <c r="Y207" s="404">
        <f t="shared" si="17"/>
        <v>3106.6968932038835</v>
      </c>
      <c r="Z207" s="19">
        <f t="shared" si="18"/>
        <v>-3106.6968932038835</v>
      </c>
    </row>
    <row r="208" spans="1:26" ht="9.75" customHeight="1">
      <c r="A208" s="21">
        <v>170</v>
      </c>
      <c r="B208" s="102" t="s">
        <v>292</v>
      </c>
      <c r="C208" s="65" t="s">
        <v>1006</v>
      </c>
      <c r="D208" s="67"/>
      <c r="E208" s="98">
        <f>F208+H208+L208+N208+P208+R208+S208+T208+U208+V208</f>
        <v>1919938.68</v>
      </c>
      <c r="F208" s="20">
        <v>0</v>
      </c>
      <c r="G208" s="33">
        <v>0</v>
      </c>
      <c r="H208" s="20">
        <v>0</v>
      </c>
      <c r="I208" s="20">
        <v>618</v>
      </c>
      <c r="J208" s="21" t="s">
        <v>111</v>
      </c>
      <c r="K208" s="98">
        <v>3438.05</v>
      </c>
      <c r="L208" s="98">
        <v>1919938.68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X208" s="404">
        <f>'Приложение 1'!T205</f>
        <v>4503.95</v>
      </c>
      <c r="Y208" s="404">
        <f t="shared" si="17"/>
        <v>3106.6968932038835</v>
      </c>
      <c r="Z208" s="19">
        <f t="shared" si="18"/>
        <v>1397.2531067961163</v>
      </c>
    </row>
    <row r="209" spans="1:27" ht="9" customHeight="1">
      <c r="A209" s="882" t="s">
        <v>442</v>
      </c>
      <c r="B209" s="882"/>
      <c r="C209" s="882"/>
      <c r="D209" s="882"/>
      <c r="E209" s="882"/>
      <c r="F209" s="882"/>
      <c r="G209" s="882"/>
      <c r="H209" s="882"/>
      <c r="I209" s="882"/>
      <c r="J209" s="882"/>
      <c r="K209" s="882"/>
      <c r="L209" s="882"/>
      <c r="M209" s="882"/>
      <c r="N209" s="882"/>
      <c r="O209" s="882"/>
      <c r="P209" s="882"/>
      <c r="Q209" s="882"/>
      <c r="R209" s="882"/>
      <c r="S209" s="882"/>
      <c r="T209" s="882"/>
      <c r="U209" s="882"/>
      <c r="V209" s="882"/>
      <c r="X209" s="404">
        <f>'Приложение 1'!T206</f>
        <v>0</v>
      </c>
      <c r="Y209" s="404" t="e">
        <f t="shared" si="17"/>
        <v>#DIV/0!</v>
      </c>
      <c r="Z209" s="19" t="e">
        <f t="shared" si="18"/>
        <v>#DIV/0!</v>
      </c>
    </row>
    <row r="210" spans="1:27" ht="24.75" customHeight="1">
      <c r="A210" s="881" t="s">
        <v>443</v>
      </c>
      <c r="B210" s="881"/>
      <c r="C210" s="58"/>
      <c r="D210" s="58"/>
      <c r="E210" s="98">
        <f t="shared" ref="E210:V210" si="29">SUM(E211:E211)</f>
        <v>2556075.09</v>
      </c>
      <c r="F210" s="98">
        <f t="shared" si="29"/>
        <v>2332254.33</v>
      </c>
      <c r="G210" s="17">
        <f t="shared" si="29"/>
        <v>0</v>
      </c>
      <c r="H210" s="98">
        <f t="shared" si="29"/>
        <v>0</v>
      </c>
      <c r="I210" s="98">
        <f t="shared" si="29"/>
        <v>0</v>
      </c>
      <c r="J210" s="98">
        <f t="shared" si="29"/>
        <v>0</v>
      </c>
      <c r="K210" s="98">
        <f t="shared" si="29"/>
        <v>1807.85</v>
      </c>
      <c r="L210" s="98">
        <f t="shared" si="29"/>
        <v>0</v>
      </c>
      <c r="M210" s="98">
        <f t="shared" si="29"/>
        <v>0</v>
      </c>
      <c r="N210" s="98">
        <f t="shared" si="29"/>
        <v>0</v>
      </c>
      <c r="O210" s="98">
        <f t="shared" si="29"/>
        <v>0</v>
      </c>
      <c r="P210" s="98">
        <f t="shared" si="29"/>
        <v>0</v>
      </c>
      <c r="Q210" s="98">
        <f t="shared" si="29"/>
        <v>0</v>
      </c>
      <c r="R210" s="98">
        <f t="shared" si="29"/>
        <v>0</v>
      </c>
      <c r="S210" s="98">
        <f t="shared" si="29"/>
        <v>0</v>
      </c>
      <c r="T210" s="98">
        <f t="shared" si="29"/>
        <v>0</v>
      </c>
      <c r="U210" s="98">
        <f t="shared" si="29"/>
        <v>223820.76</v>
      </c>
      <c r="V210" s="98">
        <f t="shared" si="29"/>
        <v>0</v>
      </c>
      <c r="X210" s="404">
        <f>'Приложение 1'!T207</f>
        <v>0</v>
      </c>
      <c r="Y210" s="404" t="e">
        <f t="shared" si="17"/>
        <v>#DIV/0!</v>
      </c>
      <c r="Z210" s="19" t="e">
        <f t="shared" si="18"/>
        <v>#DIV/0!</v>
      </c>
      <c r="AA210" s="38"/>
    </row>
    <row r="211" spans="1:27" ht="9" customHeight="1">
      <c r="A211" s="99">
        <v>171</v>
      </c>
      <c r="B211" s="96" t="s">
        <v>288</v>
      </c>
      <c r="C211" s="58" t="s">
        <v>1012</v>
      </c>
      <c r="D211" s="58"/>
      <c r="E211" s="98">
        <f>F211+U211</f>
        <v>2556075.09</v>
      </c>
      <c r="F211" s="98">
        <v>2332254.33</v>
      </c>
      <c r="G211" s="17">
        <v>0</v>
      </c>
      <c r="H211" s="98">
        <v>0</v>
      </c>
      <c r="I211" s="98">
        <v>0</v>
      </c>
      <c r="J211" s="98" t="s">
        <v>290</v>
      </c>
      <c r="K211" s="98">
        <f>(190+910+260+200+170)*1.045</f>
        <v>1807.85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0</v>
      </c>
      <c r="R211" s="98">
        <v>0</v>
      </c>
      <c r="S211" s="98">
        <v>0</v>
      </c>
      <c r="T211" s="98">
        <v>0</v>
      </c>
      <c r="U211" s="98">
        <v>223820.76</v>
      </c>
      <c r="V211" s="98">
        <v>0</v>
      </c>
      <c r="X211" s="404">
        <f>'Приложение 1'!T208</f>
        <v>5307.56</v>
      </c>
      <c r="Y211" s="404" t="e">
        <f t="shared" si="17"/>
        <v>#DIV/0!</v>
      </c>
      <c r="Z211" s="19" t="e">
        <f t="shared" si="18"/>
        <v>#DIV/0!</v>
      </c>
    </row>
    <row r="212" spans="1:27" ht="9" customHeight="1">
      <c r="A212" s="882" t="s">
        <v>447</v>
      </c>
      <c r="B212" s="882"/>
      <c r="C212" s="882"/>
      <c r="D212" s="882"/>
      <c r="E212" s="882"/>
      <c r="F212" s="882"/>
      <c r="G212" s="882"/>
      <c r="H212" s="882"/>
      <c r="I212" s="882"/>
      <c r="J212" s="882"/>
      <c r="K212" s="882"/>
      <c r="L212" s="882"/>
      <c r="M212" s="882"/>
      <c r="N212" s="882"/>
      <c r="O212" s="882"/>
      <c r="P212" s="882"/>
      <c r="Q212" s="882"/>
      <c r="R212" s="882"/>
      <c r="S212" s="882"/>
      <c r="T212" s="882"/>
      <c r="U212" s="882"/>
      <c r="V212" s="882"/>
      <c r="X212" s="404">
        <f>'Приложение 1'!T209</f>
        <v>0</v>
      </c>
      <c r="Y212" s="404" t="e">
        <f t="shared" si="17"/>
        <v>#DIV/0!</v>
      </c>
      <c r="Z212" s="19" t="e">
        <f t="shared" si="18"/>
        <v>#DIV/0!</v>
      </c>
    </row>
    <row r="213" spans="1:27" ht="23.25" customHeight="1">
      <c r="A213" s="881" t="s">
        <v>448</v>
      </c>
      <c r="B213" s="881"/>
      <c r="C213" s="58"/>
      <c r="D213" s="58"/>
      <c r="E213" s="98">
        <f t="shared" ref="E213:V213" si="30">SUM(E214:E215)</f>
        <v>3010576.8099999996</v>
      </c>
      <c r="F213" s="98">
        <f t="shared" si="30"/>
        <v>0</v>
      </c>
      <c r="G213" s="17">
        <f t="shared" si="30"/>
        <v>0</v>
      </c>
      <c r="H213" s="98">
        <f t="shared" si="30"/>
        <v>0</v>
      </c>
      <c r="I213" s="98">
        <f t="shared" si="30"/>
        <v>1010.25</v>
      </c>
      <c r="J213" s="98">
        <f t="shared" si="30"/>
        <v>0</v>
      </c>
      <c r="K213" s="98">
        <f t="shared" si="30"/>
        <v>6876.1</v>
      </c>
      <c r="L213" s="98">
        <f t="shared" si="30"/>
        <v>3010576.8099999996</v>
      </c>
      <c r="M213" s="98">
        <f t="shared" si="30"/>
        <v>0</v>
      </c>
      <c r="N213" s="98">
        <f t="shared" si="30"/>
        <v>0</v>
      </c>
      <c r="O213" s="98">
        <f t="shared" si="30"/>
        <v>0</v>
      </c>
      <c r="P213" s="98">
        <f t="shared" si="30"/>
        <v>0</v>
      </c>
      <c r="Q213" s="98">
        <f t="shared" si="30"/>
        <v>0</v>
      </c>
      <c r="R213" s="98">
        <f t="shared" si="30"/>
        <v>0</v>
      </c>
      <c r="S213" s="98">
        <f t="shared" si="30"/>
        <v>0</v>
      </c>
      <c r="T213" s="98">
        <f t="shared" si="30"/>
        <v>0</v>
      </c>
      <c r="U213" s="98">
        <f t="shared" si="30"/>
        <v>0</v>
      </c>
      <c r="V213" s="98">
        <f t="shared" si="30"/>
        <v>0</v>
      </c>
      <c r="X213" s="404">
        <f>'Приложение 1'!T210</f>
        <v>0</v>
      </c>
      <c r="Y213" s="404">
        <f t="shared" si="17"/>
        <v>2980.0314872556296</v>
      </c>
      <c r="Z213" s="19">
        <f t="shared" si="18"/>
        <v>-2980.0314872556296</v>
      </c>
    </row>
    <row r="214" spans="1:27" ht="9" customHeight="1">
      <c r="A214" s="99">
        <v>172</v>
      </c>
      <c r="B214" s="96" t="s">
        <v>293</v>
      </c>
      <c r="C214" s="58" t="s">
        <v>1006</v>
      </c>
      <c r="D214" s="58"/>
      <c r="E214" s="98">
        <f>F214+H214+L214+N214+P214+R214+S214+T214+U214+V214</f>
        <v>1578614.91</v>
      </c>
      <c r="F214" s="98">
        <v>0</v>
      </c>
      <c r="G214" s="17">
        <v>0</v>
      </c>
      <c r="H214" s="98">
        <v>0</v>
      </c>
      <c r="I214" s="98">
        <v>551.25</v>
      </c>
      <c r="J214" s="98" t="s">
        <v>111</v>
      </c>
      <c r="K214" s="98">
        <v>3438.05</v>
      </c>
      <c r="L214" s="98">
        <v>1578614.91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8">
        <v>0</v>
      </c>
      <c r="U214" s="98">
        <v>0</v>
      </c>
      <c r="V214" s="98">
        <v>0</v>
      </c>
      <c r="X214" s="404">
        <f>'Приложение 1'!T211</f>
        <v>4503.95</v>
      </c>
      <c r="Y214" s="404">
        <f t="shared" si="17"/>
        <v>2863.7005170068028</v>
      </c>
      <c r="Z214" s="19">
        <f t="shared" si="18"/>
        <v>1640.249482993197</v>
      </c>
    </row>
    <row r="215" spans="1:27" ht="9" customHeight="1">
      <c r="A215" s="99">
        <v>173</v>
      </c>
      <c r="B215" s="96" t="s">
        <v>294</v>
      </c>
      <c r="C215" s="58" t="s">
        <v>1006</v>
      </c>
      <c r="D215" s="58"/>
      <c r="E215" s="98">
        <f>F215+H215+L215+N215+P215+R215+S215+T215+U215+V215</f>
        <v>1431961.9</v>
      </c>
      <c r="F215" s="98">
        <v>0</v>
      </c>
      <c r="G215" s="17">
        <v>0</v>
      </c>
      <c r="H215" s="98">
        <v>0</v>
      </c>
      <c r="I215" s="98">
        <v>459</v>
      </c>
      <c r="J215" s="98" t="s">
        <v>111</v>
      </c>
      <c r="K215" s="98">
        <v>3438.05</v>
      </c>
      <c r="L215" s="98">
        <v>1431961.9</v>
      </c>
      <c r="M215" s="98">
        <v>0</v>
      </c>
      <c r="N215" s="98">
        <v>0</v>
      </c>
      <c r="O215" s="98">
        <v>0</v>
      </c>
      <c r="P215" s="98">
        <v>0</v>
      </c>
      <c r="Q215" s="98">
        <v>0</v>
      </c>
      <c r="R215" s="98">
        <v>0</v>
      </c>
      <c r="S215" s="98">
        <v>0</v>
      </c>
      <c r="T215" s="98">
        <v>0</v>
      </c>
      <c r="U215" s="98">
        <v>0</v>
      </c>
      <c r="V215" s="98">
        <v>0</v>
      </c>
      <c r="X215" s="404">
        <f>'Приложение 1'!T212</f>
        <v>4503.95</v>
      </c>
      <c r="Y215" s="404">
        <f t="shared" ref="Y215:Y278" si="31">L215/I215</f>
        <v>3119.7427015250541</v>
      </c>
      <c r="Z215" s="19">
        <f t="shared" ref="Z215:Z278" si="32">X215-Y215</f>
        <v>1384.2072984749457</v>
      </c>
    </row>
    <row r="216" spans="1:27" ht="9" customHeight="1">
      <c r="A216" s="882" t="s">
        <v>1085</v>
      </c>
      <c r="B216" s="888"/>
      <c r="C216" s="888"/>
      <c r="D216" s="888"/>
      <c r="E216" s="888"/>
      <c r="F216" s="888"/>
      <c r="G216" s="888"/>
      <c r="H216" s="888"/>
      <c r="I216" s="888"/>
      <c r="J216" s="888"/>
      <c r="K216" s="888"/>
      <c r="L216" s="888"/>
      <c r="M216" s="888"/>
      <c r="N216" s="888"/>
      <c r="O216" s="888"/>
      <c r="P216" s="888"/>
      <c r="Q216" s="888"/>
      <c r="R216" s="888"/>
      <c r="S216" s="888"/>
      <c r="T216" s="888"/>
      <c r="U216" s="888"/>
      <c r="V216" s="888"/>
      <c r="X216" s="404">
        <f>'Приложение 1'!T213</f>
        <v>0</v>
      </c>
      <c r="Y216" s="404" t="e">
        <f t="shared" si="31"/>
        <v>#DIV/0!</v>
      </c>
      <c r="Z216" s="19" t="e">
        <f t="shared" si="32"/>
        <v>#DIV/0!</v>
      </c>
    </row>
    <row r="217" spans="1:27" ht="22.5" customHeight="1">
      <c r="A217" s="896" t="s">
        <v>1086</v>
      </c>
      <c r="B217" s="897"/>
      <c r="C217" s="68"/>
      <c r="D217" s="68"/>
      <c r="E217" s="98">
        <f t="shared" ref="E217:V217" si="33">SUM(E218:E218)</f>
        <v>1594069.23</v>
      </c>
      <c r="F217" s="98">
        <f t="shared" si="33"/>
        <v>0</v>
      </c>
      <c r="G217" s="17">
        <f t="shared" si="33"/>
        <v>0</v>
      </c>
      <c r="H217" s="98">
        <f t="shared" si="33"/>
        <v>0</v>
      </c>
      <c r="I217" s="98">
        <f t="shared" si="33"/>
        <v>631.29999999999995</v>
      </c>
      <c r="J217" s="98">
        <f t="shared" si="33"/>
        <v>0</v>
      </c>
      <c r="K217" s="98">
        <f t="shared" si="33"/>
        <v>2022.07</v>
      </c>
      <c r="L217" s="98">
        <f t="shared" si="33"/>
        <v>1594069.23</v>
      </c>
      <c r="M217" s="98">
        <f t="shared" si="33"/>
        <v>0</v>
      </c>
      <c r="N217" s="98">
        <f t="shared" si="33"/>
        <v>0</v>
      </c>
      <c r="O217" s="98">
        <f t="shared" si="33"/>
        <v>0</v>
      </c>
      <c r="P217" s="98">
        <f t="shared" si="33"/>
        <v>0</v>
      </c>
      <c r="Q217" s="98">
        <f t="shared" si="33"/>
        <v>0</v>
      </c>
      <c r="R217" s="98">
        <f t="shared" si="33"/>
        <v>0</v>
      </c>
      <c r="S217" s="98">
        <f t="shared" si="33"/>
        <v>0</v>
      </c>
      <c r="T217" s="98">
        <f t="shared" si="33"/>
        <v>0</v>
      </c>
      <c r="U217" s="98">
        <f t="shared" si="33"/>
        <v>0</v>
      </c>
      <c r="V217" s="98">
        <f t="shared" si="33"/>
        <v>0</v>
      </c>
      <c r="X217" s="404">
        <f>'Приложение 1'!T214</f>
        <v>0</v>
      </c>
      <c r="Y217" s="404">
        <f t="shared" si="31"/>
        <v>2525.0581815301762</v>
      </c>
      <c r="Z217" s="19">
        <f t="shared" si="32"/>
        <v>-2525.0581815301762</v>
      </c>
    </row>
    <row r="218" spans="1:27" ht="9" customHeight="1">
      <c r="A218" s="99">
        <v>174</v>
      </c>
      <c r="B218" s="96" t="s">
        <v>373</v>
      </c>
      <c r="C218" s="58" t="s">
        <v>1005</v>
      </c>
      <c r="D218" s="58"/>
      <c r="E218" s="98">
        <f>F218+H218+L218+N218+P218+R218+S218+T218+U218+V218</f>
        <v>1594069.23</v>
      </c>
      <c r="F218" s="98">
        <v>0</v>
      </c>
      <c r="G218" s="17">
        <v>0</v>
      </c>
      <c r="H218" s="98">
        <v>0</v>
      </c>
      <c r="I218" s="98">
        <v>631.29999999999995</v>
      </c>
      <c r="J218" s="21" t="s">
        <v>110</v>
      </c>
      <c r="K218" s="98">
        <v>2022.07</v>
      </c>
      <c r="L218" s="98">
        <v>1594069.23</v>
      </c>
      <c r="M218" s="98">
        <v>0</v>
      </c>
      <c r="N218" s="98">
        <v>0</v>
      </c>
      <c r="O218" s="98">
        <v>0</v>
      </c>
      <c r="P218" s="98">
        <v>0</v>
      </c>
      <c r="Q218" s="98">
        <v>0</v>
      </c>
      <c r="R218" s="98">
        <v>0</v>
      </c>
      <c r="S218" s="98">
        <v>0</v>
      </c>
      <c r="T218" s="98">
        <v>0</v>
      </c>
      <c r="U218" s="98">
        <v>0</v>
      </c>
      <c r="V218" s="98">
        <v>0</v>
      </c>
      <c r="X218" s="404">
        <f>'Приложение 1'!T215</f>
        <v>4180</v>
      </c>
      <c r="Y218" s="404">
        <f t="shared" si="31"/>
        <v>2525.0581815301762</v>
      </c>
      <c r="Z218" s="19">
        <f t="shared" si="32"/>
        <v>1654.9418184698238</v>
      </c>
    </row>
    <row r="219" spans="1:27" ht="9" customHeight="1">
      <c r="A219" s="882" t="s">
        <v>409</v>
      </c>
      <c r="B219" s="888"/>
      <c r="C219" s="888"/>
      <c r="D219" s="888"/>
      <c r="E219" s="888"/>
      <c r="F219" s="888"/>
      <c r="G219" s="888"/>
      <c r="H219" s="888"/>
      <c r="I219" s="888"/>
      <c r="J219" s="888"/>
      <c r="K219" s="888"/>
      <c r="L219" s="888"/>
      <c r="M219" s="888"/>
      <c r="N219" s="888"/>
      <c r="O219" s="888"/>
      <c r="P219" s="888"/>
      <c r="Q219" s="888"/>
      <c r="R219" s="888"/>
      <c r="S219" s="888"/>
      <c r="T219" s="888"/>
      <c r="U219" s="888"/>
      <c r="V219" s="888"/>
      <c r="X219" s="404">
        <f>'Приложение 1'!T216</f>
        <v>0</v>
      </c>
      <c r="Y219" s="404" t="e">
        <f t="shared" si="31"/>
        <v>#DIV/0!</v>
      </c>
      <c r="Z219" s="19" t="e">
        <f t="shared" si="32"/>
        <v>#DIV/0!</v>
      </c>
    </row>
    <row r="220" spans="1:27" ht="20.25" customHeight="1">
      <c r="A220" s="881" t="s">
        <v>410</v>
      </c>
      <c r="B220" s="888"/>
      <c r="C220" s="68"/>
      <c r="D220" s="68"/>
      <c r="E220" s="98">
        <f>E221</f>
        <v>915711.45</v>
      </c>
      <c r="F220" s="98">
        <v>0</v>
      </c>
      <c r="G220" s="17">
        <v>0</v>
      </c>
      <c r="H220" s="98">
        <v>0</v>
      </c>
      <c r="I220" s="98">
        <f>I221</f>
        <v>369.6</v>
      </c>
      <c r="J220" s="21"/>
      <c r="K220" s="98"/>
      <c r="L220" s="98">
        <f>L221</f>
        <v>915711.45</v>
      </c>
      <c r="M220" s="98">
        <v>0</v>
      </c>
      <c r="N220" s="98">
        <v>0</v>
      </c>
      <c r="O220" s="98">
        <v>0</v>
      </c>
      <c r="P220" s="98">
        <v>0</v>
      </c>
      <c r="Q220" s="98">
        <v>0</v>
      </c>
      <c r="R220" s="98">
        <v>0</v>
      </c>
      <c r="S220" s="98">
        <v>0</v>
      </c>
      <c r="T220" s="98">
        <v>0</v>
      </c>
      <c r="U220" s="98">
        <v>0</v>
      </c>
      <c r="V220" s="98">
        <v>0</v>
      </c>
      <c r="X220" s="404">
        <f>'Приложение 1'!T217</f>
        <v>0</v>
      </c>
      <c r="Y220" s="404">
        <f t="shared" si="31"/>
        <v>2477.574269480519</v>
      </c>
      <c r="Z220" s="19">
        <f t="shared" si="32"/>
        <v>-2477.574269480519</v>
      </c>
    </row>
    <row r="221" spans="1:27" s="233" customFormat="1" ht="9" customHeight="1">
      <c r="A221" s="227">
        <v>175</v>
      </c>
      <c r="B221" s="235" t="s">
        <v>319</v>
      </c>
      <c r="C221" s="236" t="s">
        <v>1006</v>
      </c>
      <c r="D221" s="236"/>
      <c r="E221" s="229">
        <f>F221+H221+L221+N221+P221+R221+S221+T221+U221+V221</f>
        <v>915711.45</v>
      </c>
      <c r="F221" s="229">
        <v>0</v>
      </c>
      <c r="G221" s="230">
        <v>0</v>
      </c>
      <c r="H221" s="229">
        <v>0</v>
      </c>
      <c r="I221" s="229">
        <v>369.6</v>
      </c>
      <c r="J221" s="229" t="s">
        <v>111</v>
      </c>
      <c r="K221" s="229">
        <v>3438.05</v>
      </c>
      <c r="L221" s="229">
        <v>915711.45</v>
      </c>
      <c r="M221" s="229">
        <v>0</v>
      </c>
      <c r="N221" s="229">
        <v>0</v>
      </c>
      <c r="O221" s="229">
        <v>0</v>
      </c>
      <c r="P221" s="229">
        <v>0</v>
      </c>
      <c r="Q221" s="229">
        <v>0</v>
      </c>
      <c r="R221" s="229">
        <v>0</v>
      </c>
      <c r="S221" s="229">
        <v>0</v>
      </c>
      <c r="T221" s="229">
        <v>0</v>
      </c>
      <c r="U221" s="229">
        <v>0</v>
      </c>
      <c r="V221" s="229">
        <v>0</v>
      </c>
      <c r="X221" s="498">
        <f>'Приложение 1'!T218</f>
        <v>4503.95</v>
      </c>
      <c r="Y221" s="498">
        <f t="shared" si="31"/>
        <v>2477.574269480519</v>
      </c>
      <c r="Z221" s="234">
        <f t="shared" si="32"/>
        <v>2026.3757305194808</v>
      </c>
    </row>
    <row r="222" spans="1:27" ht="9" customHeight="1">
      <c r="A222" s="882" t="s">
        <v>305</v>
      </c>
      <c r="B222" s="888"/>
      <c r="C222" s="888"/>
      <c r="D222" s="888"/>
      <c r="E222" s="888"/>
      <c r="F222" s="888"/>
      <c r="G222" s="888"/>
      <c r="H222" s="888"/>
      <c r="I222" s="888"/>
      <c r="J222" s="888"/>
      <c r="K222" s="888"/>
      <c r="L222" s="888"/>
      <c r="M222" s="888"/>
      <c r="N222" s="888"/>
      <c r="O222" s="888"/>
      <c r="P222" s="888"/>
      <c r="Q222" s="888"/>
      <c r="R222" s="888"/>
      <c r="S222" s="888"/>
      <c r="T222" s="888"/>
      <c r="U222" s="888"/>
      <c r="V222" s="888"/>
      <c r="X222" s="404">
        <f>'Приложение 1'!T219</f>
        <v>0</v>
      </c>
      <c r="Y222" s="404" t="e">
        <f t="shared" si="31"/>
        <v>#DIV/0!</v>
      </c>
      <c r="Z222" s="19" t="e">
        <f t="shared" si="32"/>
        <v>#DIV/0!</v>
      </c>
    </row>
    <row r="223" spans="1:27" ht="10.5" customHeight="1">
      <c r="A223" s="881" t="s">
        <v>300</v>
      </c>
      <c r="B223" s="888"/>
      <c r="C223" s="68"/>
      <c r="D223" s="68"/>
      <c r="E223" s="98">
        <f>E224</f>
        <v>1758941.64</v>
      </c>
      <c r="F223" s="98">
        <v>0</v>
      </c>
      <c r="G223" s="17">
        <v>0</v>
      </c>
      <c r="H223" s="98">
        <v>0</v>
      </c>
      <c r="I223" s="98">
        <f>I224</f>
        <v>442.13</v>
      </c>
      <c r="J223" s="48"/>
      <c r="K223" s="98"/>
      <c r="L223" s="98">
        <f>L224</f>
        <v>1758941.64</v>
      </c>
      <c r="M223" s="98">
        <v>0</v>
      </c>
      <c r="N223" s="98">
        <v>0</v>
      </c>
      <c r="O223" s="98">
        <v>0</v>
      </c>
      <c r="P223" s="98">
        <v>0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X223" s="404">
        <f>'Приложение 1'!T220</f>
        <v>0</v>
      </c>
      <c r="Y223" s="404">
        <f t="shared" si="31"/>
        <v>3978.3358740641893</v>
      </c>
      <c r="Z223" s="19">
        <f t="shared" si="32"/>
        <v>-3978.3358740641893</v>
      </c>
    </row>
    <row r="224" spans="1:27" s="233" customFormat="1" ht="9" customHeight="1">
      <c r="A224" s="227">
        <v>176</v>
      </c>
      <c r="B224" s="235" t="s">
        <v>317</v>
      </c>
      <c r="C224" s="236" t="s">
        <v>1006</v>
      </c>
      <c r="D224" s="236"/>
      <c r="E224" s="229">
        <f>F224+H224+L224+N224+P224+R224+S224+T224+U224+V224</f>
        <v>1758941.64</v>
      </c>
      <c r="F224" s="229">
        <v>0</v>
      </c>
      <c r="G224" s="230">
        <v>0</v>
      </c>
      <c r="H224" s="229">
        <v>0</v>
      </c>
      <c r="I224" s="229">
        <v>442.13</v>
      </c>
      <c r="J224" s="229" t="s">
        <v>111</v>
      </c>
      <c r="K224" s="229">
        <v>3438.05</v>
      </c>
      <c r="L224" s="229">
        <v>1758941.64</v>
      </c>
      <c r="M224" s="229">
        <v>0</v>
      </c>
      <c r="N224" s="229">
        <v>0</v>
      </c>
      <c r="O224" s="229">
        <v>0</v>
      </c>
      <c r="P224" s="229">
        <v>0</v>
      </c>
      <c r="Q224" s="229">
        <v>0</v>
      </c>
      <c r="R224" s="229">
        <v>0</v>
      </c>
      <c r="S224" s="229">
        <v>0</v>
      </c>
      <c r="T224" s="229">
        <v>0</v>
      </c>
      <c r="U224" s="229">
        <v>0</v>
      </c>
      <c r="V224" s="229">
        <v>0</v>
      </c>
      <c r="X224" s="498">
        <f>'Приложение 1'!T221</f>
        <v>4503.95</v>
      </c>
      <c r="Y224" s="498">
        <f t="shared" si="31"/>
        <v>3978.3358740641893</v>
      </c>
      <c r="Z224" s="234">
        <f t="shared" si="32"/>
        <v>525.61412593581053</v>
      </c>
    </row>
    <row r="225" spans="1:26" ht="9" customHeight="1">
      <c r="A225" s="882" t="s">
        <v>295</v>
      </c>
      <c r="B225" s="888"/>
      <c r="C225" s="888"/>
      <c r="D225" s="888"/>
      <c r="E225" s="888"/>
      <c r="F225" s="888"/>
      <c r="G225" s="888"/>
      <c r="H225" s="888"/>
      <c r="I225" s="888"/>
      <c r="J225" s="888"/>
      <c r="K225" s="888"/>
      <c r="L225" s="888"/>
      <c r="M225" s="888"/>
      <c r="N225" s="888"/>
      <c r="O225" s="888"/>
      <c r="P225" s="888"/>
      <c r="Q225" s="888"/>
      <c r="R225" s="888"/>
      <c r="S225" s="888"/>
      <c r="T225" s="888"/>
      <c r="U225" s="888"/>
      <c r="V225" s="888"/>
      <c r="X225" s="404">
        <f>'Приложение 1'!T222</f>
        <v>0</v>
      </c>
      <c r="Y225" s="404" t="e">
        <f t="shared" si="31"/>
        <v>#DIV/0!</v>
      </c>
      <c r="Z225" s="19" t="e">
        <f t="shared" si="32"/>
        <v>#DIV/0!</v>
      </c>
    </row>
    <row r="226" spans="1:26" ht="23.25" customHeight="1">
      <c r="A226" s="881" t="s">
        <v>301</v>
      </c>
      <c r="B226" s="888"/>
      <c r="C226" s="68"/>
      <c r="D226" s="68"/>
      <c r="E226" s="98">
        <f>SUM(E227:E237)</f>
        <v>24744635.82</v>
      </c>
      <c r="F226" s="98">
        <v>0</v>
      </c>
      <c r="G226" s="17">
        <v>0</v>
      </c>
      <c r="H226" s="98">
        <v>0</v>
      </c>
      <c r="I226" s="98">
        <f>SUM(I227:I237)</f>
        <v>8376.4499999999989</v>
      </c>
      <c r="J226" s="48"/>
      <c r="K226" s="98"/>
      <c r="L226" s="98">
        <f>SUM(L227:L237)</f>
        <v>24744635.82</v>
      </c>
      <c r="M226" s="98">
        <v>0</v>
      </c>
      <c r="N226" s="98">
        <v>0</v>
      </c>
      <c r="O226" s="98">
        <v>0</v>
      </c>
      <c r="P226" s="98">
        <v>0</v>
      </c>
      <c r="Q226" s="98">
        <v>0</v>
      </c>
      <c r="R226" s="98">
        <v>0</v>
      </c>
      <c r="S226" s="98">
        <v>0</v>
      </c>
      <c r="T226" s="98">
        <v>0</v>
      </c>
      <c r="U226" s="98">
        <v>0</v>
      </c>
      <c r="V226" s="98">
        <v>0</v>
      </c>
      <c r="X226" s="404">
        <f>'Приложение 1'!T223</f>
        <v>0</v>
      </c>
      <c r="Y226" s="404">
        <f t="shared" si="31"/>
        <v>2954.0719302329749</v>
      </c>
      <c r="Z226" s="19">
        <f t="shared" si="32"/>
        <v>-2954.0719302329749</v>
      </c>
    </row>
    <row r="227" spans="1:26" ht="9" customHeight="1">
      <c r="A227" s="99">
        <v>177</v>
      </c>
      <c r="B227" s="96" t="s">
        <v>306</v>
      </c>
      <c r="C227" s="58" t="s">
        <v>1005</v>
      </c>
      <c r="D227" s="58"/>
      <c r="E227" s="98">
        <f>F227+H227+L227+N227+P227+R227+S227+T227+U227+V227</f>
        <v>3446471.72</v>
      </c>
      <c r="F227" s="98">
        <v>0</v>
      </c>
      <c r="G227" s="17">
        <v>0</v>
      </c>
      <c r="H227" s="98">
        <v>0</v>
      </c>
      <c r="I227" s="98">
        <v>902.16</v>
      </c>
      <c r="J227" s="21" t="s">
        <v>110</v>
      </c>
      <c r="K227" s="98">
        <v>2022.07</v>
      </c>
      <c r="L227" s="98">
        <v>3446471.72</v>
      </c>
      <c r="M227" s="98">
        <v>0</v>
      </c>
      <c r="N227" s="98">
        <v>0</v>
      </c>
      <c r="O227" s="98">
        <v>0</v>
      </c>
      <c r="P227" s="98">
        <v>0</v>
      </c>
      <c r="Q227" s="98">
        <v>0</v>
      </c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X227" s="404">
        <f>'Приложение 1'!T224</f>
        <v>4180</v>
      </c>
      <c r="Y227" s="404">
        <f t="shared" si="31"/>
        <v>3820.244435576838</v>
      </c>
      <c r="Z227" s="19">
        <f t="shared" si="32"/>
        <v>359.75556442316201</v>
      </c>
    </row>
    <row r="228" spans="1:26" ht="9" customHeight="1">
      <c r="A228" s="99">
        <v>178</v>
      </c>
      <c r="B228" s="96" t="s">
        <v>307</v>
      </c>
      <c r="C228" s="58" t="s">
        <v>1005</v>
      </c>
      <c r="D228" s="58"/>
      <c r="E228" s="98">
        <f>F228+H228+L228+N228+P228+R228+S228+T228+U228+V228</f>
        <v>3201832.16</v>
      </c>
      <c r="F228" s="98">
        <v>0</v>
      </c>
      <c r="G228" s="17">
        <v>0</v>
      </c>
      <c r="H228" s="98">
        <v>0</v>
      </c>
      <c r="I228" s="98">
        <v>785.45</v>
      </c>
      <c r="J228" s="21" t="s">
        <v>110</v>
      </c>
      <c r="K228" s="98">
        <v>2022.07</v>
      </c>
      <c r="L228" s="98">
        <v>3201832.16</v>
      </c>
      <c r="M228" s="98">
        <v>0</v>
      </c>
      <c r="N228" s="98">
        <v>0</v>
      </c>
      <c r="O228" s="98">
        <v>0</v>
      </c>
      <c r="P228" s="98">
        <v>0</v>
      </c>
      <c r="Q228" s="98">
        <v>0</v>
      </c>
      <c r="R228" s="98">
        <v>0</v>
      </c>
      <c r="S228" s="98">
        <v>0</v>
      </c>
      <c r="T228" s="98">
        <v>0</v>
      </c>
      <c r="U228" s="98">
        <v>0</v>
      </c>
      <c r="V228" s="98">
        <v>0</v>
      </c>
      <c r="X228" s="404">
        <f>'Приложение 1'!T225</f>
        <v>4180</v>
      </c>
      <c r="Y228" s="404">
        <f t="shared" si="31"/>
        <v>4076.430275638169</v>
      </c>
      <c r="Z228" s="19">
        <f t="shared" si="32"/>
        <v>103.56972436183105</v>
      </c>
    </row>
    <row r="229" spans="1:26" ht="9" customHeight="1">
      <c r="A229" s="502">
        <v>179</v>
      </c>
      <c r="B229" s="96" t="s">
        <v>308</v>
      </c>
      <c r="C229" s="58" t="s">
        <v>1005</v>
      </c>
      <c r="D229" s="58"/>
      <c r="E229" s="98">
        <f t="shared" ref="E229:E236" si="34">F229+H229+L229+N229+P229+R229+S229+T229+U229+V229</f>
        <v>5707054.2199999997</v>
      </c>
      <c r="F229" s="98">
        <v>0</v>
      </c>
      <c r="G229" s="17">
        <v>0</v>
      </c>
      <c r="H229" s="98">
        <v>0</v>
      </c>
      <c r="I229" s="98">
        <v>1530.2</v>
      </c>
      <c r="J229" s="21" t="s">
        <v>110</v>
      </c>
      <c r="K229" s="98">
        <v>2022.07</v>
      </c>
      <c r="L229" s="98">
        <v>5707054.2199999997</v>
      </c>
      <c r="M229" s="98">
        <v>0</v>
      </c>
      <c r="N229" s="98">
        <v>0</v>
      </c>
      <c r="O229" s="98">
        <v>0</v>
      </c>
      <c r="P229" s="98">
        <v>0</v>
      </c>
      <c r="Q229" s="98">
        <v>0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X229" s="404">
        <f>'Приложение 1'!T226</f>
        <v>4180</v>
      </c>
      <c r="Y229" s="404">
        <f t="shared" si="31"/>
        <v>3729.6132662397072</v>
      </c>
      <c r="Z229" s="19">
        <f t="shared" si="32"/>
        <v>450.38673376029283</v>
      </c>
    </row>
    <row r="230" spans="1:26" ht="9" customHeight="1">
      <c r="A230" s="502">
        <v>180</v>
      </c>
      <c r="B230" s="96" t="s">
        <v>312</v>
      </c>
      <c r="C230" s="58" t="s">
        <v>1005</v>
      </c>
      <c r="D230" s="58"/>
      <c r="E230" s="98">
        <f t="shared" si="34"/>
        <v>791403.92</v>
      </c>
      <c r="F230" s="98">
        <v>0</v>
      </c>
      <c r="G230" s="17">
        <v>0</v>
      </c>
      <c r="H230" s="98">
        <v>0</v>
      </c>
      <c r="I230" s="98">
        <v>438</v>
      </c>
      <c r="J230" s="21" t="s">
        <v>110</v>
      </c>
      <c r="K230" s="98">
        <v>2022.07</v>
      </c>
      <c r="L230" s="98">
        <v>791403.92</v>
      </c>
      <c r="M230" s="98">
        <v>0</v>
      </c>
      <c r="N230" s="98">
        <v>0</v>
      </c>
      <c r="O230" s="98">
        <v>0</v>
      </c>
      <c r="P230" s="98">
        <v>0</v>
      </c>
      <c r="Q230" s="98">
        <v>0</v>
      </c>
      <c r="R230" s="98">
        <v>0</v>
      </c>
      <c r="S230" s="98">
        <v>0</v>
      </c>
      <c r="T230" s="98">
        <v>0</v>
      </c>
      <c r="U230" s="98">
        <v>0</v>
      </c>
      <c r="V230" s="98">
        <v>0</v>
      </c>
      <c r="X230" s="404">
        <f>'Приложение 1'!T227</f>
        <v>4180</v>
      </c>
      <c r="Y230" s="404">
        <f t="shared" si="31"/>
        <v>1806.8582648401828</v>
      </c>
      <c r="Z230" s="19">
        <f t="shared" si="32"/>
        <v>2373.1417351598175</v>
      </c>
    </row>
    <row r="231" spans="1:26" ht="9" customHeight="1">
      <c r="A231" s="502">
        <v>181</v>
      </c>
      <c r="B231" s="96" t="s">
        <v>309</v>
      </c>
      <c r="C231" s="58" t="s">
        <v>1005</v>
      </c>
      <c r="D231" s="58"/>
      <c r="E231" s="98">
        <f t="shared" si="34"/>
        <v>750571.93</v>
      </c>
      <c r="F231" s="98">
        <v>0</v>
      </c>
      <c r="G231" s="17">
        <v>0</v>
      </c>
      <c r="H231" s="98">
        <v>0</v>
      </c>
      <c r="I231" s="98">
        <v>383.7</v>
      </c>
      <c r="J231" s="21" t="s">
        <v>110</v>
      </c>
      <c r="K231" s="98">
        <v>2022.07</v>
      </c>
      <c r="L231" s="98">
        <v>750571.93</v>
      </c>
      <c r="M231" s="98">
        <v>0</v>
      </c>
      <c r="N231" s="98">
        <v>0</v>
      </c>
      <c r="O231" s="98">
        <v>0</v>
      </c>
      <c r="P231" s="98">
        <v>0</v>
      </c>
      <c r="Q231" s="98">
        <v>0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X231" s="404">
        <f>'Приложение 1'!T228</f>
        <v>4180</v>
      </c>
      <c r="Y231" s="404">
        <f t="shared" si="31"/>
        <v>1956.1426374771959</v>
      </c>
      <c r="Z231" s="19">
        <f t="shared" si="32"/>
        <v>2223.8573625228041</v>
      </c>
    </row>
    <row r="232" spans="1:26" ht="9" customHeight="1">
      <c r="A232" s="502">
        <v>182</v>
      </c>
      <c r="B232" s="96" t="s">
        <v>310</v>
      </c>
      <c r="C232" s="58" t="s">
        <v>1005</v>
      </c>
      <c r="D232" s="58"/>
      <c r="E232" s="98">
        <f t="shared" si="34"/>
        <v>1714578.77</v>
      </c>
      <c r="F232" s="98">
        <v>0</v>
      </c>
      <c r="G232" s="17">
        <v>0</v>
      </c>
      <c r="H232" s="98">
        <v>0</v>
      </c>
      <c r="I232" s="98">
        <v>961.7</v>
      </c>
      <c r="J232" s="21" t="s">
        <v>110</v>
      </c>
      <c r="K232" s="98">
        <v>2022.07</v>
      </c>
      <c r="L232" s="98">
        <v>1714578.77</v>
      </c>
      <c r="M232" s="98">
        <v>0</v>
      </c>
      <c r="N232" s="98">
        <v>0</v>
      </c>
      <c r="O232" s="98">
        <v>0</v>
      </c>
      <c r="P232" s="98">
        <v>0</v>
      </c>
      <c r="Q232" s="98">
        <v>0</v>
      </c>
      <c r="R232" s="98">
        <v>0</v>
      </c>
      <c r="S232" s="98">
        <v>0</v>
      </c>
      <c r="T232" s="98">
        <v>0</v>
      </c>
      <c r="U232" s="98">
        <v>0</v>
      </c>
      <c r="V232" s="98">
        <v>0</v>
      </c>
      <c r="X232" s="404">
        <f>'Приложение 1'!T229</f>
        <v>4180</v>
      </c>
      <c r="Y232" s="404">
        <f t="shared" si="31"/>
        <v>1782.862399916814</v>
      </c>
      <c r="Z232" s="19">
        <f t="shared" si="32"/>
        <v>2397.137600083186</v>
      </c>
    </row>
    <row r="233" spans="1:26" ht="9" customHeight="1">
      <c r="A233" s="502">
        <v>183</v>
      </c>
      <c r="B233" s="96" t="s">
        <v>311</v>
      </c>
      <c r="C233" s="58" t="s">
        <v>1006</v>
      </c>
      <c r="D233" s="58"/>
      <c r="E233" s="98">
        <f t="shared" si="34"/>
        <v>1645012.38</v>
      </c>
      <c r="F233" s="98">
        <v>0</v>
      </c>
      <c r="G233" s="17">
        <v>0</v>
      </c>
      <c r="H233" s="98">
        <v>0</v>
      </c>
      <c r="I233" s="98">
        <v>560.27</v>
      </c>
      <c r="J233" s="98" t="s">
        <v>111</v>
      </c>
      <c r="K233" s="98">
        <v>3438.05</v>
      </c>
      <c r="L233" s="98">
        <v>1645012.38</v>
      </c>
      <c r="M233" s="98">
        <v>0</v>
      </c>
      <c r="N233" s="98">
        <v>0</v>
      </c>
      <c r="O233" s="98">
        <v>0</v>
      </c>
      <c r="P233" s="98">
        <v>0</v>
      </c>
      <c r="Q233" s="98">
        <v>0</v>
      </c>
      <c r="R233" s="98">
        <v>0</v>
      </c>
      <c r="S233" s="98">
        <v>0</v>
      </c>
      <c r="T233" s="98">
        <v>0</v>
      </c>
      <c r="U233" s="98">
        <v>0</v>
      </c>
      <c r="V233" s="98">
        <v>0</v>
      </c>
      <c r="X233" s="404">
        <f>'Приложение 1'!T230</f>
        <v>4503.95</v>
      </c>
      <c r="Y233" s="404">
        <f t="shared" si="31"/>
        <v>2936.1064843736053</v>
      </c>
      <c r="Z233" s="19">
        <f t="shared" si="32"/>
        <v>1567.8435156263945</v>
      </c>
    </row>
    <row r="234" spans="1:26" ht="9" customHeight="1">
      <c r="A234" s="502">
        <v>184</v>
      </c>
      <c r="B234" s="96" t="s">
        <v>313</v>
      </c>
      <c r="C234" s="58" t="s">
        <v>1005</v>
      </c>
      <c r="D234" s="58"/>
      <c r="E234" s="98">
        <f t="shared" si="34"/>
        <v>3680213.29</v>
      </c>
      <c r="F234" s="98">
        <v>0</v>
      </c>
      <c r="G234" s="17">
        <v>0</v>
      </c>
      <c r="H234" s="98">
        <v>0</v>
      </c>
      <c r="I234" s="98">
        <v>1059.2</v>
      </c>
      <c r="J234" s="21" t="s">
        <v>110</v>
      </c>
      <c r="K234" s="98">
        <v>2022.07</v>
      </c>
      <c r="L234" s="98">
        <v>3680213.29</v>
      </c>
      <c r="M234" s="98">
        <v>0</v>
      </c>
      <c r="N234" s="98">
        <v>0</v>
      </c>
      <c r="O234" s="98">
        <v>0</v>
      </c>
      <c r="P234" s="98">
        <v>0</v>
      </c>
      <c r="Q234" s="98">
        <v>0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X234" s="404">
        <f>'Приложение 1'!T231</f>
        <v>4180</v>
      </c>
      <c r="Y234" s="404">
        <f t="shared" si="31"/>
        <v>3474.5216106495468</v>
      </c>
      <c r="Z234" s="19">
        <f t="shared" si="32"/>
        <v>705.4783893504532</v>
      </c>
    </row>
    <row r="235" spans="1:26" ht="9" customHeight="1">
      <c r="A235" s="502">
        <v>185</v>
      </c>
      <c r="B235" s="96" t="s">
        <v>314</v>
      </c>
      <c r="C235" s="58" t="s">
        <v>1005</v>
      </c>
      <c r="D235" s="58"/>
      <c r="E235" s="98">
        <f t="shared" si="34"/>
        <v>1931806.2100000002</v>
      </c>
      <c r="F235" s="98">
        <v>0</v>
      </c>
      <c r="G235" s="17">
        <v>0</v>
      </c>
      <c r="H235" s="98">
        <v>0</v>
      </c>
      <c r="I235" s="98">
        <v>1108.5999999999999</v>
      </c>
      <c r="J235" s="21" t="s">
        <v>110</v>
      </c>
      <c r="K235" s="98">
        <v>2022.07</v>
      </c>
      <c r="L235" s="98">
        <v>1931806.2100000002</v>
      </c>
      <c r="M235" s="98">
        <v>0</v>
      </c>
      <c r="N235" s="98">
        <v>0</v>
      </c>
      <c r="O235" s="98">
        <v>0</v>
      </c>
      <c r="P235" s="98">
        <v>0</v>
      </c>
      <c r="Q235" s="98">
        <v>0</v>
      </c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X235" s="404">
        <f>'Приложение 1'!T232</f>
        <v>4180</v>
      </c>
      <c r="Y235" s="404">
        <f t="shared" si="31"/>
        <v>1742.5637831499191</v>
      </c>
      <c r="Z235" s="19">
        <f t="shared" si="32"/>
        <v>2437.4362168500811</v>
      </c>
    </row>
    <row r="236" spans="1:26" ht="9" customHeight="1">
      <c r="A236" s="502">
        <v>186</v>
      </c>
      <c r="B236" s="96" t="s">
        <v>315</v>
      </c>
      <c r="C236" s="58" t="s">
        <v>1006</v>
      </c>
      <c r="D236" s="58"/>
      <c r="E236" s="98">
        <f t="shared" si="34"/>
        <v>1205166.82</v>
      </c>
      <c r="F236" s="98">
        <v>0</v>
      </c>
      <c r="G236" s="17">
        <v>0</v>
      </c>
      <c r="H236" s="98">
        <v>0</v>
      </c>
      <c r="I236" s="98">
        <v>403.27</v>
      </c>
      <c r="J236" s="98" t="s">
        <v>111</v>
      </c>
      <c r="K236" s="98">
        <v>3438.05</v>
      </c>
      <c r="L236" s="98">
        <v>1205166.82</v>
      </c>
      <c r="M236" s="98">
        <v>0</v>
      </c>
      <c r="N236" s="98">
        <v>0</v>
      </c>
      <c r="O236" s="98">
        <v>0</v>
      </c>
      <c r="P236" s="98">
        <v>0</v>
      </c>
      <c r="Q236" s="98">
        <v>0</v>
      </c>
      <c r="R236" s="98">
        <v>0</v>
      </c>
      <c r="S236" s="98">
        <v>0</v>
      </c>
      <c r="T236" s="98">
        <v>0</v>
      </c>
      <c r="U236" s="98">
        <v>0</v>
      </c>
      <c r="V236" s="98">
        <v>0</v>
      </c>
      <c r="X236" s="404">
        <f>'Приложение 1'!T233</f>
        <v>4503.95</v>
      </c>
      <c r="Y236" s="404">
        <f t="shared" si="31"/>
        <v>2988.4861755151637</v>
      </c>
      <c r="Z236" s="19">
        <f t="shared" si="32"/>
        <v>1515.4638244848361</v>
      </c>
    </row>
    <row r="237" spans="1:26" ht="9" customHeight="1">
      <c r="A237" s="502">
        <v>187</v>
      </c>
      <c r="B237" s="96" t="s">
        <v>316</v>
      </c>
      <c r="C237" s="58" t="s">
        <v>1006</v>
      </c>
      <c r="D237" s="58"/>
      <c r="E237" s="98">
        <f>F237+H237+L237+N237+P237+R237+S237+T237+U237+V237</f>
        <v>670524.4</v>
      </c>
      <c r="F237" s="98">
        <v>0</v>
      </c>
      <c r="G237" s="17">
        <v>0</v>
      </c>
      <c r="H237" s="98">
        <v>0</v>
      </c>
      <c r="I237" s="98">
        <v>243.9</v>
      </c>
      <c r="J237" s="98" t="s">
        <v>111</v>
      </c>
      <c r="K237" s="98">
        <v>3438.05</v>
      </c>
      <c r="L237" s="98">
        <v>670524.4</v>
      </c>
      <c r="M237" s="98">
        <v>0</v>
      </c>
      <c r="N237" s="98">
        <v>0</v>
      </c>
      <c r="O237" s="98">
        <v>0</v>
      </c>
      <c r="P237" s="98">
        <v>0</v>
      </c>
      <c r="Q237" s="98">
        <v>0</v>
      </c>
      <c r="R237" s="98">
        <v>0</v>
      </c>
      <c r="S237" s="98">
        <v>0</v>
      </c>
      <c r="T237" s="98">
        <v>0</v>
      </c>
      <c r="U237" s="98">
        <v>0</v>
      </c>
      <c r="V237" s="98">
        <v>0</v>
      </c>
      <c r="X237" s="404">
        <f>'Приложение 1'!T234</f>
        <v>4503.95</v>
      </c>
      <c r="Y237" s="404">
        <f t="shared" si="31"/>
        <v>2749.1775317753177</v>
      </c>
      <c r="Z237" s="19">
        <f t="shared" si="32"/>
        <v>1754.7724682246821</v>
      </c>
    </row>
    <row r="238" spans="1:26" ht="9" customHeight="1">
      <c r="A238" s="882" t="s">
        <v>296</v>
      </c>
      <c r="B238" s="888"/>
      <c r="C238" s="888"/>
      <c r="D238" s="888"/>
      <c r="E238" s="888"/>
      <c r="F238" s="888"/>
      <c r="G238" s="888"/>
      <c r="H238" s="888"/>
      <c r="I238" s="888"/>
      <c r="J238" s="888"/>
      <c r="K238" s="888"/>
      <c r="L238" s="888"/>
      <c r="M238" s="888"/>
      <c r="N238" s="888"/>
      <c r="O238" s="888"/>
      <c r="P238" s="888"/>
      <c r="Q238" s="888"/>
      <c r="R238" s="888"/>
      <c r="S238" s="888"/>
      <c r="T238" s="888"/>
      <c r="U238" s="888"/>
      <c r="V238" s="888"/>
      <c r="X238" s="404">
        <f>'Приложение 1'!T235</f>
        <v>0</v>
      </c>
      <c r="Y238" s="404" t="e">
        <f t="shared" si="31"/>
        <v>#DIV/0!</v>
      </c>
      <c r="Z238" s="19" t="e">
        <f t="shared" si="32"/>
        <v>#DIV/0!</v>
      </c>
    </row>
    <row r="239" spans="1:26" ht="23.25" customHeight="1">
      <c r="A239" s="881" t="s">
        <v>302</v>
      </c>
      <c r="B239" s="888"/>
      <c r="C239" s="68"/>
      <c r="D239" s="68"/>
      <c r="E239" s="98">
        <f>E240+E241</f>
        <v>2940855.84</v>
      </c>
      <c r="F239" s="98">
        <v>0</v>
      </c>
      <c r="G239" s="17">
        <v>0</v>
      </c>
      <c r="H239" s="98">
        <v>0</v>
      </c>
      <c r="I239" s="98">
        <f>I240+I241</f>
        <v>912.58999999999992</v>
      </c>
      <c r="J239" s="48"/>
      <c r="K239" s="98"/>
      <c r="L239" s="98">
        <f>L240+L241</f>
        <v>2940855.84</v>
      </c>
      <c r="M239" s="98">
        <v>0</v>
      </c>
      <c r="N239" s="98">
        <v>0</v>
      </c>
      <c r="O239" s="98">
        <v>0</v>
      </c>
      <c r="P239" s="98">
        <v>0</v>
      </c>
      <c r="Q239" s="98">
        <v>0</v>
      </c>
      <c r="R239" s="98">
        <v>0</v>
      </c>
      <c r="S239" s="98">
        <v>0</v>
      </c>
      <c r="T239" s="98">
        <v>0</v>
      </c>
      <c r="U239" s="98">
        <v>0</v>
      </c>
      <c r="V239" s="98">
        <v>0</v>
      </c>
      <c r="X239" s="404">
        <f>'Приложение 1'!T236</f>
        <v>0</v>
      </c>
      <c r="Y239" s="404">
        <f t="shared" si="31"/>
        <v>3222.537875716368</v>
      </c>
      <c r="Z239" s="19">
        <f t="shared" si="32"/>
        <v>-3222.537875716368</v>
      </c>
    </row>
    <row r="240" spans="1:26" ht="9" customHeight="1">
      <c r="A240" s="99">
        <v>188</v>
      </c>
      <c r="B240" s="96" t="s">
        <v>325</v>
      </c>
      <c r="C240" s="58" t="s">
        <v>1006</v>
      </c>
      <c r="D240" s="58"/>
      <c r="E240" s="98">
        <f>F240+H240+L240+N240+P240+R240+S240+T240+U240+V240</f>
        <v>1214177.33</v>
      </c>
      <c r="F240" s="98">
        <v>0</v>
      </c>
      <c r="G240" s="17">
        <v>0</v>
      </c>
      <c r="H240" s="98">
        <v>0</v>
      </c>
      <c r="I240" s="98">
        <v>392.59</v>
      </c>
      <c r="J240" s="98" t="s">
        <v>111</v>
      </c>
      <c r="K240" s="98">
        <v>3438.05</v>
      </c>
      <c r="L240" s="98">
        <v>1214177.33</v>
      </c>
      <c r="M240" s="98">
        <v>0</v>
      </c>
      <c r="N240" s="98">
        <v>0</v>
      </c>
      <c r="O240" s="98">
        <v>0</v>
      </c>
      <c r="P240" s="98">
        <v>0</v>
      </c>
      <c r="Q240" s="98">
        <v>0</v>
      </c>
      <c r="R240" s="98">
        <v>0</v>
      </c>
      <c r="S240" s="98">
        <v>0</v>
      </c>
      <c r="T240" s="98">
        <v>0</v>
      </c>
      <c r="U240" s="98">
        <v>0</v>
      </c>
      <c r="V240" s="98">
        <v>0</v>
      </c>
      <c r="X240" s="404">
        <f>'Приложение 1'!T237</f>
        <v>4503.95</v>
      </c>
      <c r="Y240" s="404">
        <f t="shared" si="31"/>
        <v>3092.7362642960852</v>
      </c>
      <c r="Z240" s="19">
        <f t="shared" si="32"/>
        <v>1411.2137357039146</v>
      </c>
    </row>
    <row r="241" spans="1:27" s="233" customFormat="1" ht="9" customHeight="1">
      <c r="A241" s="227">
        <v>189</v>
      </c>
      <c r="B241" s="235" t="s">
        <v>324</v>
      </c>
      <c r="C241" s="236" t="s">
        <v>1006</v>
      </c>
      <c r="D241" s="236"/>
      <c r="E241" s="229">
        <f>F241+H241+L241+N241+P241+R241+S241+T241+U241+V241</f>
        <v>1726678.51</v>
      </c>
      <c r="F241" s="229">
        <v>0</v>
      </c>
      <c r="G241" s="230">
        <v>0</v>
      </c>
      <c r="H241" s="229">
        <v>0</v>
      </c>
      <c r="I241" s="229">
        <v>520</v>
      </c>
      <c r="J241" s="229" t="s">
        <v>111</v>
      </c>
      <c r="K241" s="229">
        <v>3438.05</v>
      </c>
      <c r="L241" s="229">
        <v>1726678.51</v>
      </c>
      <c r="M241" s="229">
        <v>0</v>
      </c>
      <c r="N241" s="229">
        <v>0</v>
      </c>
      <c r="O241" s="229">
        <v>0</v>
      </c>
      <c r="P241" s="229">
        <v>0</v>
      </c>
      <c r="Q241" s="229">
        <v>0</v>
      </c>
      <c r="R241" s="229">
        <v>0</v>
      </c>
      <c r="S241" s="229">
        <v>0</v>
      </c>
      <c r="T241" s="229">
        <v>0</v>
      </c>
      <c r="U241" s="229">
        <v>0</v>
      </c>
      <c r="V241" s="229">
        <v>0</v>
      </c>
      <c r="X241" s="498">
        <f>'Приложение 1'!T238</f>
        <v>4503.95</v>
      </c>
      <c r="Y241" s="498">
        <f t="shared" si="31"/>
        <v>3320.5355961538462</v>
      </c>
      <c r="Z241" s="234">
        <f t="shared" si="32"/>
        <v>1183.4144038461536</v>
      </c>
    </row>
    <row r="242" spans="1:27" ht="10.5" customHeight="1">
      <c r="A242" s="882" t="s">
        <v>297</v>
      </c>
      <c r="B242" s="888"/>
      <c r="C242" s="888"/>
      <c r="D242" s="888"/>
      <c r="E242" s="888"/>
      <c r="F242" s="888"/>
      <c r="G242" s="888"/>
      <c r="H242" s="888"/>
      <c r="I242" s="888"/>
      <c r="J242" s="888"/>
      <c r="K242" s="888"/>
      <c r="L242" s="888"/>
      <c r="M242" s="888"/>
      <c r="N242" s="888"/>
      <c r="O242" s="888"/>
      <c r="P242" s="888"/>
      <c r="Q242" s="888"/>
      <c r="R242" s="888"/>
      <c r="S242" s="888"/>
      <c r="T242" s="888"/>
      <c r="U242" s="888"/>
      <c r="V242" s="888"/>
      <c r="X242" s="404">
        <f>'Приложение 1'!T239</f>
        <v>0</v>
      </c>
      <c r="Y242" s="404" t="e">
        <f t="shared" si="31"/>
        <v>#DIV/0!</v>
      </c>
      <c r="Z242" s="19" t="e">
        <f t="shared" si="32"/>
        <v>#DIV/0!</v>
      </c>
    </row>
    <row r="243" spans="1:27" ht="23.25" customHeight="1">
      <c r="A243" s="881" t="s">
        <v>303</v>
      </c>
      <c r="B243" s="888"/>
      <c r="C243" s="68"/>
      <c r="D243" s="68"/>
      <c r="E243" s="98">
        <f>E244</f>
        <v>2023990.89</v>
      </c>
      <c r="F243" s="98">
        <v>0</v>
      </c>
      <c r="G243" s="17">
        <v>0</v>
      </c>
      <c r="H243" s="98">
        <v>0</v>
      </c>
      <c r="I243" s="98">
        <f>I244</f>
        <v>887</v>
      </c>
      <c r="J243" s="48"/>
      <c r="K243" s="98"/>
      <c r="L243" s="98">
        <f>L244</f>
        <v>2023990.89</v>
      </c>
      <c r="M243" s="98">
        <v>0</v>
      </c>
      <c r="N243" s="98">
        <v>0</v>
      </c>
      <c r="O243" s="98">
        <v>0</v>
      </c>
      <c r="P243" s="98">
        <v>0</v>
      </c>
      <c r="Q243" s="98">
        <v>0</v>
      </c>
      <c r="R243" s="98">
        <v>0</v>
      </c>
      <c r="S243" s="98">
        <v>0</v>
      </c>
      <c r="T243" s="98">
        <v>0</v>
      </c>
      <c r="U243" s="98">
        <v>0</v>
      </c>
      <c r="V243" s="98">
        <v>0</v>
      </c>
      <c r="X243" s="404">
        <f>'Приложение 1'!T240</f>
        <v>0</v>
      </c>
      <c r="Y243" s="404">
        <f t="shared" si="31"/>
        <v>2281.8386583990978</v>
      </c>
      <c r="Z243" s="19">
        <f t="shared" si="32"/>
        <v>-2281.8386583990978</v>
      </c>
    </row>
    <row r="244" spans="1:27" ht="9" customHeight="1">
      <c r="A244" s="99">
        <v>190</v>
      </c>
      <c r="B244" s="96" t="s">
        <v>320</v>
      </c>
      <c r="C244" s="58" t="s">
        <v>1006</v>
      </c>
      <c r="D244" s="58"/>
      <c r="E244" s="98">
        <f>F244+H244+L244+N244+P244+R244+S244+T244+U244+V244</f>
        <v>2023990.89</v>
      </c>
      <c r="F244" s="98">
        <v>0</v>
      </c>
      <c r="G244" s="17">
        <v>0</v>
      </c>
      <c r="H244" s="98">
        <v>0</v>
      </c>
      <c r="I244" s="98">
        <v>887</v>
      </c>
      <c r="J244" s="98" t="s">
        <v>111</v>
      </c>
      <c r="K244" s="98">
        <v>3438.05</v>
      </c>
      <c r="L244" s="98">
        <v>2023990.89</v>
      </c>
      <c r="M244" s="98">
        <v>0</v>
      </c>
      <c r="N244" s="98">
        <v>0</v>
      </c>
      <c r="O244" s="98">
        <v>0</v>
      </c>
      <c r="P244" s="98">
        <v>0</v>
      </c>
      <c r="Q244" s="98">
        <v>0</v>
      </c>
      <c r="R244" s="98">
        <v>0</v>
      </c>
      <c r="S244" s="98">
        <v>0</v>
      </c>
      <c r="T244" s="98">
        <v>0</v>
      </c>
      <c r="U244" s="98">
        <v>0</v>
      </c>
      <c r="V244" s="98">
        <v>0</v>
      </c>
      <c r="X244" s="404">
        <f>'Приложение 1'!T241</f>
        <v>4503.95</v>
      </c>
      <c r="Y244" s="404">
        <f t="shared" si="31"/>
        <v>2281.8386583990978</v>
      </c>
      <c r="Z244" s="19">
        <f t="shared" si="32"/>
        <v>2222.1113416009021</v>
      </c>
    </row>
    <row r="245" spans="1:27" ht="9" customHeight="1">
      <c r="A245" s="882" t="s">
        <v>298</v>
      </c>
      <c r="B245" s="888"/>
      <c r="C245" s="888"/>
      <c r="D245" s="888"/>
      <c r="E245" s="888"/>
      <c r="F245" s="888"/>
      <c r="G245" s="888"/>
      <c r="H245" s="888"/>
      <c r="I245" s="888"/>
      <c r="J245" s="888"/>
      <c r="K245" s="888"/>
      <c r="L245" s="888"/>
      <c r="M245" s="888"/>
      <c r="N245" s="888"/>
      <c r="O245" s="888"/>
      <c r="P245" s="888"/>
      <c r="Q245" s="888"/>
      <c r="R245" s="888"/>
      <c r="S245" s="888"/>
      <c r="T245" s="888"/>
      <c r="U245" s="888"/>
      <c r="V245" s="888"/>
      <c r="X245" s="404">
        <f>'Приложение 1'!T242</f>
        <v>0</v>
      </c>
      <c r="Y245" s="404" t="e">
        <f t="shared" si="31"/>
        <v>#DIV/0!</v>
      </c>
      <c r="Z245" s="19" t="e">
        <f t="shared" si="32"/>
        <v>#DIV/0!</v>
      </c>
    </row>
    <row r="246" spans="1:27" ht="22.5" customHeight="1">
      <c r="A246" s="881" t="s">
        <v>304</v>
      </c>
      <c r="B246" s="888"/>
      <c r="C246" s="68"/>
      <c r="D246" s="68"/>
      <c r="E246" s="98">
        <f>E247</f>
        <v>2137661.38</v>
      </c>
      <c r="F246" s="98">
        <v>0</v>
      </c>
      <c r="G246" s="17">
        <v>0</v>
      </c>
      <c r="H246" s="98">
        <v>0</v>
      </c>
      <c r="I246" s="98">
        <f>I247</f>
        <v>640.83000000000004</v>
      </c>
      <c r="J246" s="48"/>
      <c r="K246" s="22"/>
      <c r="L246" s="98">
        <f>L247</f>
        <v>2137661.38</v>
      </c>
      <c r="M246" s="98">
        <v>0</v>
      </c>
      <c r="N246" s="98">
        <v>0</v>
      </c>
      <c r="O246" s="98">
        <v>0</v>
      </c>
      <c r="P246" s="98">
        <v>0</v>
      </c>
      <c r="Q246" s="98">
        <v>0</v>
      </c>
      <c r="R246" s="98">
        <v>0</v>
      </c>
      <c r="S246" s="98">
        <v>0</v>
      </c>
      <c r="T246" s="98">
        <v>0</v>
      </c>
      <c r="U246" s="98">
        <v>0</v>
      </c>
      <c r="V246" s="98">
        <v>0</v>
      </c>
      <c r="X246" s="404">
        <f>'Приложение 1'!T243</f>
        <v>0</v>
      </c>
      <c r="Y246" s="404">
        <f t="shared" si="31"/>
        <v>3335.7698297520401</v>
      </c>
      <c r="Z246" s="19">
        <f t="shared" si="32"/>
        <v>-3335.7698297520401</v>
      </c>
    </row>
    <row r="247" spans="1:27" s="233" customFormat="1" ht="9" customHeight="1">
      <c r="A247" s="227">
        <v>191</v>
      </c>
      <c r="B247" s="235" t="s">
        <v>318</v>
      </c>
      <c r="C247" s="236" t="s">
        <v>1006</v>
      </c>
      <c r="D247" s="236"/>
      <c r="E247" s="229">
        <f>F247+H247+L247+N247+P247+R247+S247+T247+U247+V247</f>
        <v>2137661.38</v>
      </c>
      <c r="F247" s="229">
        <v>0</v>
      </c>
      <c r="G247" s="230">
        <v>0</v>
      </c>
      <c r="H247" s="229">
        <v>0</v>
      </c>
      <c r="I247" s="229">
        <v>640.83000000000004</v>
      </c>
      <c r="J247" s="229" t="s">
        <v>111</v>
      </c>
      <c r="K247" s="229">
        <v>3438.05</v>
      </c>
      <c r="L247" s="229">
        <v>2137661.38</v>
      </c>
      <c r="M247" s="229">
        <v>0</v>
      </c>
      <c r="N247" s="229">
        <v>0</v>
      </c>
      <c r="O247" s="229">
        <v>0</v>
      </c>
      <c r="P247" s="229">
        <v>0</v>
      </c>
      <c r="Q247" s="229">
        <v>0</v>
      </c>
      <c r="R247" s="229">
        <v>0</v>
      </c>
      <c r="S247" s="229">
        <v>0</v>
      </c>
      <c r="T247" s="229">
        <v>0</v>
      </c>
      <c r="U247" s="229">
        <v>0</v>
      </c>
      <c r="V247" s="229">
        <v>0</v>
      </c>
      <c r="X247" s="498">
        <f>'Приложение 1'!T244</f>
        <v>4503.95</v>
      </c>
      <c r="Y247" s="498">
        <f t="shared" si="31"/>
        <v>3335.7698297520401</v>
      </c>
      <c r="Z247" s="234">
        <f t="shared" si="32"/>
        <v>1168.1801702479597</v>
      </c>
      <c r="AA247" s="233">
        <f>2137661.38/640.83</f>
        <v>3335.7698297520401</v>
      </c>
    </row>
    <row r="248" spans="1:27" ht="9" customHeight="1">
      <c r="A248" s="890" t="s">
        <v>399</v>
      </c>
      <c r="B248" s="890"/>
      <c r="C248" s="890"/>
      <c r="D248" s="890"/>
      <c r="E248" s="890"/>
      <c r="F248" s="890"/>
      <c r="G248" s="890"/>
      <c r="H248" s="890"/>
      <c r="I248" s="890"/>
      <c r="J248" s="890"/>
      <c r="K248" s="890"/>
      <c r="L248" s="890"/>
      <c r="M248" s="890"/>
      <c r="N248" s="890"/>
      <c r="O248" s="890"/>
      <c r="P248" s="890"/>
      <c r="Q248" s="890"/>
      <c r="R248" s="890"/>
      <c r="S248" s="890"/>
      <c r="T248" s="890"/>
      <c r="U248" s="890"/>
      <c r="V248" s="890"/>
      <c r="X248" s="404">
        <f>'Приложение 1'!T245</f>
        <v>0</v>
      </c>
      <c r="Y248" s="404" t="e">
        <f t="shared" si="31"/>
        <v>#DIV/0!</v>
      </c>
      <c r="Z248" s="19" t="e">
        <f t="shared" si="32"/>
        <v>#DIV/0!</v>
      </c>
    </row>
    <row r="249" spans="1:27" ht="22.5" customHeight="1">
      <c r="A249" s="889" t="s">
        <v>329</v>
      </c>
      <c r="B249" s="889"/>
      <c r="C249" s="60"/>
      <c r="D249" s="60"/>
      <c r="E249" s="23">
        <f>E250+E251</f>
        <v>3591956.5999999996</v>
      </c>
      <c r="F249" s="23">
        <v>0</v>
      </c>
      <c r="G249" s="35">
        <v>0</v>
      </c>
      <c r="H249" s="23">
        <v>0</v>
      </c>
      <c r="I249" s="23">
        <f>I250+I251</f>
        <v>998.8</v>
      </c>
      <c r="J249" s="23"/>
      <c r="K249" s="23"/>
      <c r="L249" s="23">
        <f>SUM(L250:L251)</f>
        <v>3591956.5999999996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15"/>
      <c r="X249" s="404">
        <f>'Приложение 1'!T246</f>
        <v>0</v>
      </c>
      <c r="Y249" s="404">
        <f t="shared" si="31"/>
        <v>3596.2721265518621</v>
      </c>
      <c r="Z249" s="19">
        <f t="shared" si="32"/>
        <v>-3596.2721265518621</v>
      </c>
    </row>
    <row r="250" spans="1:27" ht="9" customHeight="1">
      <c r="A250" s="24">
        <v>192</v>
      </c>
      <c r="B250" s="103" t="s">
        <v>332</v>
      </c>
      <c r="C250" s="69" t="s">
        <v>1006</v>
      </c>
      <c r="D250" s="60"/>
      <c r="E250" s="98">
        <f>F250+H250+L250+N250+P250+R250+S250+T250+U250+V250</f>
        <v>2041266.72</v>
      </c>
      <c r="F250" s="23">
        <v>0</v>
      </c>
      <c r="G250" s="35">
        <v>0</v>
      </c>
      <c r="H250" s="23">
        <v>0</v>
      </c>
      <c r="I250" s="23">
        <v>544.79999999999995</v>
      </c>
      <c r="J250" s="98" t="s">
        <v>111</v>
      </c>
      <c r="K250" s="98">
        <v>3438.05</v>
      </c>
      <c r="L250" s="98">
        <v>2041266.72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15"/>
      <c r="X250" s="404">
        <f>'Приложение 1'!T247</f>
        <v>4503.95</v>
      </c>
      <c r="Y250" s="404">
        <f t="shared" si="31"/>
        <v>3746.8185022026432</v>
      </c>
      <c r="Z250" s="19">
        <f t="shared" si="32"/>
        <v>757.13149779735659</v>
      </c>
    </row>
    <row r="251" spans="1:27" s="233" customFormat="1" ht="9" customHeight="1">
      <c r="A251" s="241">
        <v>193</v>
      </c>
      <c r="B251" s="242" t="s">
        <v>335</v>
      </c>
      <c r="C251" s="243" t="s">
        <v>1006</v>
      </c>
      <c r="D251" s="244"/>
      <c r="E251" s="229">
        <f>F251+H251+L251+N251+P251+R251+S251+T251+U251+V251</f>
        <v>1550689.88</v>
      </c>
      <c r="F251" s="245">
        <v>0</v>
      </c>
      <c r="G251" s="246">
        <v>0</v>
      </c>
      <c r="H251" s="245">
        <v>0</v>
      </c>
      <c r="I251" s="245">
        <v>454</v>
      </c>
      <c r="J251" s="229" t="s">
        <v>111</v>
      </c>
      <c r="K251" s="229">
        <v>3438.05</v>
      </c>
      <c r="L251" s="229">
        <v>1550689.88</v>
      </c>
      <c r="M251" s="245">
        <v>0</v>
      </c>
      <c r="N251" s="245">
        <v>0</v>
      </c>
      <c r="O251" s="245">
        <v>0</v>
      </c>
      <c r="P251" s="245">
        <v>0</v>
      </c>
      <c r="Q251" s="245">
        <v>0</v>
      </c>
      <c r="R251" s="245">
        <v>0</v>
      </c>
      <c r="S251" s="245">
        <v>0</v>
      </c>
      <c r="T251" s="245">
        <v>0</v>
      </c>
      <c r="U251" s="245">
        <v>0</v>
      </c>
      <c r="V251" s="245">
        <v>0</v>
      </c>
      <c r="W251" s="247"/>
      <c r="X251" s="498">
        <f>'Приложение 1'!T248</f>
        <v>4503.95</v>
      </c>
      <c r="Y251" s="498">
        <f t="shared" si="31"/>
        <v>3415.6164757709248</v>
      </c>
      <c r="Z251" s="234">
        <f t="shared" si="32"/>
        <v>1088.333524229075</v>
      </c>
    </row>
    <row r="252" spans="1:27" ht="9" customHeight="1">
      <c r="A252" s="890" t="s">
        <v>330</v>
      </c>
      <c r="B252" s="890"/>
      <c r="C252" s="890"/>
      <c r="D252" s="890"/>
      <c r="E252" s="890"/>
      <c r="F252" s="890"/>
      <c r="G252" s="890"/>
      <c r="H252" s="890"/>
      <c r="I252" s="890"/>
      <c r="J252" s="890"/>
      <c r="K252" s="890"/>
      <c r="L252" s="890"/>
      <c r="M252" s="890"/>
      <c r="N252" s="890"/>
      <c r="O252" s="890"/>
      <c r="P252" s="890"/>
      <c r="Q252" s="890"/>
      <c r="R252" s="890"/>
      <c r="S252" s="890"/>
      <c r="T252" s="890"/>
      <c r="U252" s="890"/>
      <c r="V252" s="890"/>
      <c r="X252" s="404">
        <f>'Приложение 1'!T249</f>
        <v>0</v>
      </c>
      <c r="Y252" s="404" t="e">
        <f t="shared" si="31"/>
        <v>#DIV/0!</v>
      </c>
      <c r="Z252" s="19" t="e">
        <f t="shared" si="32"/>
        <v>#DIV/0!</v>
      </c>
    </row>
    <row r="253" spans="1:27" ht="22.5" customHeight="1">
      <c r="A253" s="889" t="s">
        <v>331</v>
      </c>
      <c r="B253" s="889"/>
      <c r="C253" s="60"/>
      <c r="D253" s="60"/>
      <c r="E253" s="23">
        <f>E254+E255</f>
        <v>6597086.1400000006</v>
      </c>
      <c r="F253" s="23">
        <v>0</v>
      </c>
      <c r="G253" s="35">
        <v>0</v>
      </c>
      <c r="H253" s="23">
        <v>0</v>
      </c>
      <c r="I253" s="23">
        <f>I254+I255</f>
        <v>1979.5</v>
      </c>
      <c r="J253" s="23"/>
      <c r="K253" s="23"/>
      <c r="L253" s="23">
        <f>L254+L255</f>
        <v>6597086.1400000006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X253" s="404">
        <f>'Приложение 1'!T250</f>
        <v>0</v>
      </c>
      <c r="Y253" s="404">
        <f t="shared" si="31"/>
        <v>3332.7032786057089</v>
      </c>
      <c r="Z253" s="19">
        <f t="shared" si="32"/>
        <v>-3332.7032786057089</v>
      </c>
    </row>
    <row r="254" spans="1:27" ht="9" customHeight="1">
      <c r="A254" s="24">
        <v>194</v>
      </c>
      <c r="B254" s="103" t="s">
        <v>333</v>
      </c>
      <c r="C254" s="60" t="s">
        <v>1005</v>
      </c>
      <c r="D254" s="60"/>
      <c r="E254" s="98">
        <f>F254+H254+L254+N254+P254+R254+S254+T254+U254+V254</f>
        <v>3865908.46</v>
      </c>
      <c r="F254" s="23">
        <v>0</v>
      </c>
      <c r="G254" s="35">
        <v>0</v>
      </c>
      <c r="H254" s="23">
        <v>0</v>
      </c>
      <c r="I254" s="23">
        <v>1023.2</v>
      </c>
      <c r="J254" s="21" t="s">
        <v>110</v>
      </c>
      <c r="K254" s="98">
        <v>2022.07</v>
      </c>
      <c r="L254" s="98">
        <v>3865908.46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X254" s="404">
        <f>'Приложение 1'!T251</f>
        <v>4180</v>
      </c>
      <c r="Y254" s="404">
        <f t="shared" si="31"/>
        <v>3778.2529906176696</v>
      </c>
      <c r="Z254" s="19">
        <f t="shared" si="32"/>
        <v>401.74700938233036</v>
      </c>
    </row>
    <row r="255" spans="1:27" ht="9" customHeight="1">
      <c r="A255" s="24">
        <v>195</v>
      </c>
      <c r="B255" s="103" t="s">
        <v>334</v>
      </c>
      <c r="C255" s="60" t="s">
        <v>1005</v>
      </c>
      <c r="D255" s="60"/>
      <c r="E255" s="98">
        <f>F255+H255+L255+N255+P255+R255+S255+T255+U255+V255</f>
        <v>2731177.68</v>
      </c>
      <c r="F255" s="23">
        <v>0</v>
      </c>
      <c r="G255" s="35">
        <v>0</v>
      </c>
      <c r="H255" s="23">
        <v>0</v>
      </c>
      <c r="I255" s="23">
        <v>956.3</v>
      </c>
      <c r="J255" s="21" t="s">
        <v>110</v>
      </c>
      <c r="K255" s="98">
        <v>2022.07</v>
      </c>
      <c r="L255" s="98">
        <v>2731177.68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X255" s="404">
        <f>'Приложение 1'!T252</f>
        <v>4180</v>
      </c>
      <c r="Y255" s="404">
        <f t="shared" si="31"/>
        <v>2855.98418906201</v>
      </c>
      <c r="Z255" s="19">
        <f t="shared" si="32"/>
        <v>1324.01581093799</v>
      </c>
    </row>
    <row r="256" spans="1:27" ht="9" customHeight="1">
      <c r="A256" s="890" t="s">
        <v>405</v>
      </c>
      <c r="B256" s="890"/>
      <c r="C256" s="890"/>
      <c r="D256" s="890"/>
      <c r="E256" s="890"/>
      <c r="F256" s="890"/>
      <c r="G256" s="890"/>
      <c r="H256" s="890"/>
      <c r="I256" s="890"/>
      <c r="J256" s="890"/>
      <c r="K256" s="890"/>
      <c r="L256" s="890"/>
      <c r="M256" s="890"/>
      <c r="N256" s="890"/>
      <c r="O256" s="890"/>
      <c r="P256" s="890"/>
      <c r="Q256" s="890"/>
      <c r="R256" s="890"/>
      <c r="S256" s="890"/>
      <c r="T256" s="890"/>
      <c r="U256" s="890"/>
      <c r="V256" s="890"/>
      <c r="X256" s="404">
        <f>'Приложение 1'!T253</f>
        <v>0</v>
      </c>
      <c r="Y256" s="404" t="e">
        <f t="shared" si="31"/>
        <v>#DIV/0!</v>
      </c>
      <c r="Z256" s="19" t="e">
        <f t="shared" si="32"/>
        <v>#DIV/0!</v>
      </c>
    </row>
    <row r="257" spans="1:26" ht="24.75" customHeight="1">
      <c r="A257" s="889" t="s">
        <v>406</v>
      </c>
      <c r="B257" s="889"/>
      <c r="C257" s="60"/>
      <c r="D257" s="60"/>
      <c r="E257" s="23">
        <f>E258</f>
        <v>2050199.17</v>
      </c>
      <c r="F257" s="23">
        <v>0</v>
      </c>
      <c r="G257" s="35">
        <v>0</v>
      </c>
      <c r="H257" s="23">
        <v>0</v>
      </c>
      <c r="I257" s="23">
        <f>I258</f>
        <v>618.1</v>
      </c>
      <c r="J257" s="23"/>
      <c r="K257" s="23"/>
      <c r="L257" s="23">
        <f>L258</f>
        <v>2050199.17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X257" s="404">
        <f>'Приложение 1'!T254</f>
        <v>0</v>
      </c>
      <c r="Y257" s="404">
        <f t="shared" si="31"/>
        <v>3316.937663808445</v>
      </c>
      <c r="Z257" s="19">
        <f t="shared" si="32"/>
        <v>-3316.937663808445</v>
      </c>
    </row>
    <row r="258" spans="1:26" s="233" customFormat="1" ht="9" customHeight="1">
      <c r="A258" s="241">
        <v>196</v>
      </c>
      <c r="B258" s="242" t="s">
        <v>407</v>
      </c>
      <c r="C258" s="236" t="s">
        <v>1006</v>
      </c>
      <c r="D258" s="236"/>
      <c r="E258" s="229">
        <f t="shared" ref="E258:E266" si="35">F258+H258+L258+N258+P258+R258+S258+T258+U258+V258</f>
        <v>2050199.17</v>
      </c>
      <c r="F258" s="245">
        <v>0</v>
      </c>
      <c r="G258" s="246">
        <v>0</v>
      </c>
      <c r="H258" s="245">
        <v>0</v>
      </c>
      <c r="I258" s="245">
        <v>618.1</v>
      </c>
      <c r="J258" s="229" t="s">
        <v>111</v>
      </c>
      <c r="K258" s="229">
        <v>3438.05</v>
      </c>
      <c r="L258" s="229">
        <v>2050199.17</v>
      </c>
      <c r="M258" s="245">
        <v>0</v>
      </c>
      <c r="N258" s="245">
        <v>0</v>
      </c>
      <c r="O258" s="245">
        <v>0</v>
      </c>
      <c r="P258" s="245">
        <v>0</v>
      </c>
      <c r="Q258" s="245">
        <v>0</v>
      </c>
      <c r="R258" s="245">
        <v>0</v>
      </c>
      <c r="S258" s="245">
        <v>0</v>
      </c>
      <c r="T258" s="245">
        <v>0</v>
      </c>
      <c r="U258" s="245">
        <v>0</v>
      </c>
      <c r="V258" s="245">
        <v>0</v>
      </c>
      <c r="X258" s="498">
        <f>'Приложение 1'!T255</f>
        <v>4503.95</v>
      </c>
      <c r="Y258" s="498">
        <f t="shared" si="31"/>
        <v>3316.937663808445</v>
      </c>
      <c r="Z258" s="234">
        <f t="shared" si="32"/>
        <v>1187.0123361915548</v>
      </c>
    </row>
    <row r="259" spans="1:26" ht="9" customHeight="1">
      <c r="A259" s="890" t="s">
        <v>427</v>
      </c>
      <c r="B259" s="890"/>
      <c r="C259" s="890"/>
      <c r="D259" s="890"/>
      <c r="E259" s="890"/>
      <c r="F259" s="890"/>
      <c r="G259" s="890"/>
      <c r="H259" s="890"/>
      <c r="I259" s="890"/>
      <c r="J259" s="890"/>
      <c r="K259" s="890"/>
      <c r="L259" s="890"/>
      <c r="M259" s="890"/>
      <c r="N259" s="890"/>
      <c r="O259" s="890"/>
      <c r="P259" s="890"/>
      <c r="Q259" s="890"/>
      <c r="R259" s="890"/>
      <c r="S259" s="890"/>
      <c r="T259" s="890"/>
      <c r="U259" s="890"/>
      <c r="V259" s="890"/>
      <c r="X259" s="404">
        <f>'Приложение 1'!T256</f>
        <v>0</v>
      </c>
      <c r="Y259" s="404" t="e">
        <f t="shared" si="31"/>
        <v>#DIV/0!</v>
      </c>
      <c r="Z259" s="19" t="e">
        <f t="shared" si="32"/>
        <v>#DIV/0!</v>
      </c>
    </row>
    <row r="260" spans="1:26" ht="22.5" customHeight="1">
      <c r="A260" s="881" t="s">
        <v>428</v>
      </c>
      <c r="B260" s="881"/>
      <c r="C260" s="58"/>
      <c r="D260" s="58"/>
      <c r="E260" s="98">
        <f>SUM(E261:E266)</f>
        <v>17252755.929999996</v>
      </c>
      <c r="F260" s="98">
        <v>0</v>
      </c>
      <c r="G260" s="17">
        <v>0</v>
      </c>
      <c r="H260" s="98">
        <v>0</v>
      </c>
      <c r="I260" s="98">
        <f>SUM(I261:I266)</f>
        <v>5369.46</v>
      </c>
      <c r="J260" s="98"/>
      <c r="K260" s="98"/>
      <c r="L260" s="98">
        <f>SUM(L261:L266)</f>
        <v>17252755.929999996</v>
      </c>
      <c r="M260" s="98">
        <v>0</v>
      </c>
      <c r="N260" s="98">
        <v>0</v>
      </c>
      <c r="O260" s="98">
        <v>0</v>
      </c>
      <c r="P260" s="98">
        <v>0</v>
      </c>
      <c r="Q260" s="98">
        <v>0</v>
      </c>
      <c r="R260" s="98">
        <v>0</v>
      </c>
      <c r="S260" s="98">
        <v>0</v>
      </c>
      <c r="T260" s="98">
        <v>0</v>
      </c>
      <c r="U260" s="98">
        <v>0</v>
      </c>
      <c r="V260" s="98">
        <v>0</v>
      </c>
      <c r="X260" s="404">
        <f>'Приложение 1'!T257</f>
        <v>0</v>
      </c>
      <c r="Y260" s="404">
        <f t="shared" si="31"/>
        <v>3213.1268190842275</v>
      </c>
      <c r="Z260" s="19">
        <f t="shared" si="32"/>
        <v>-3213.1268190842275</v>
      </c>
    </row>
    <row r="261" spans="1:26" ht="9" customHeight="1">
      <c r="A261" s="99">
        <v>197</v>
      </c>
      <c r="B261" s="96" t="s">
        <v>413</v>
      </c>
      <c r="C261" s="58" t="s">
        <v>1005</v>
      </c>
      <c r="D261" s="58"/>
      <c r="E261" s="98">
        <f t="shared" si="35"/>
        <v>4206410</v>
      </c>
      <c r="F261" s="98">
        <v>0</v>
      </c>
      <c r="G261" s="17">
        <v>0</v>
      </c>
      <c r="H261" s="98">
        <v>0</v>
      </c>
      <c r="I261" s="98">
        <v>1237.2</v>
      </c>
      <c r="J261" s="98" t="s">
        <v>110</v>
      </c>
      <c r="K261" s="98">
        <v>2022.07</v>
      </c>
      <c r="L261" s="98">
        <v>4206410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X261" s="404">
        <f>'Приложение 1'!T258</f>
        <v>4180</v>
      </c>
      <c r="Y261" s="404">
        <f t="shared" si="31"/>
        <v>3399.9434206272226</v>
      </c>
      <c r="Z261" s="19">
        <f t="shared" si="32"/>
        <v>780.05657937277738</v>
      </c>
    </row>
    <row r="262" spans="1:26" ht="9" customHeight="1">
      <c r="A262" s="99">
        <v>198</v>
      </c>
      <c r="B262" s="96" t="s">
        <v>371</v>
      </c>
      <c r="C262" s="58" t="s">
        <v>1005</v>
      </c>
      <c r="D262" s="58"/>
      <c r="E262" s="98">
        <f t="shared" si="35"/>
        <v>4307392.5599999996</v>
      </c>
      <c r="F262" s="98">
        <v>0</v>
      </c>
      <c r="G262" s="17">
        <v>0</v>
      </c>
      <c r="H262" s="98">
        <v>0</v>
      </c>
      <c r="I262" s="98">
        <v>1550</v>
      </c>
      <c r="J262" s="21" t="s">
        <v>110</v>
      </c>
      <c r="K262" s="98">
        <v>2022.07</v>
      </c>
      <c r="L262" s="98">
        <v>4307392.5599999996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  <c r="U262" s="98">
        <v>0</v>
      </c>
      <c r="V262" s="98">
        <v>0</v>
      </c>
      <c r="X262" s="404">
        <f>'Приложение 1'!T259</f>
        <v>4180</v>
      </c>
      <c r="Y262" s="404">
        <f>L262/I262</f>
        <v>2778.9629419354837</v>
      </c>
      <c r="Z262" s="19">
        <f t="shared" si="32"/>
        <v>1401.0370580645163</v>
      </c>
    </row>
    <row r="263" spans="1:26" ht="9" customHeight="1">
      <c r="A263" s="502">
        <v>199</v>
      </c>
      <c r="B263" s="96" t="s">
        <v>336</v>
      </c>
      <c r="C263" s="58" t="s">
        <v>1005</v>
      </c>
      <c r="D263" s="58"/>
      <c r="E263" s="98">
        <f t="shared" si="35"/>
        <v>3629686.28</v>
      </c>
      <c r="F263" s="98">
        <v>0</v>
      </c>
      <c r="G263" s="17">
        <v>0</v>
      </c>
      <c r="H263" s="98">
        <v>0</v>
      </c>
      <c r="I263" s="98">
        <v>975.5</v>
      </c>
      <c r="J263" s="21" t="s">
        <v>110</v>
      </c>
      <c r="K263" s="98">
        <v>2022.07</v>
      </c>
      <c r="L263" s="98">
        <v>3629686.28</v>
      </c>
      <c r="M263" s="98">
        <v>0</v>
      </c>
      <c r="N263" s="98">
        <v>0</v>
      </c>
      <c r="O263" s="98">
        <v>0</v>
      </c>
      <c r="P263" s="98">
        <v>0</v>
      </c>
      <c r="Q263" s="98">
        <v>0</v>
      </c>
      <c r="R263" s="98">
        <v>0</v>
      </c>
      <c r="S263" s="98">
        <v>0</v>
      </c>
      <c r="T263" s="98">
        <v>0</v>
      </c>
      <c r="U263" s="98">
        <v>0</v>
      </c>
      <c r="V263" s="98">
        <v>0</v>
      </c>
      <c r="X263" s="404">
        <f>'Приложение 1'!T260</f>
        <v>4180</v>
      </c>
      <c r="Y263" s="404">
        <f t="shared" si="31"/>
        <v>3720.8470322911326</v>
      </c>
      <c r="Z263" s="19">
        <f t="shared" si="32"/>
        <v>459.15296770886744</v>
      </c>
    </row>
    <row r="264" spans="1:26" ht="9" customHeight="1">
      <c r="A264" s="502">
        <v>200</v>
      </c>
      <c r="B264" s="96" t="s">
        <v>339</v>
      </c>
      <c r="C264" s="58" t="s">
        <v>1006</v>
      </c>
      <c r="D264" s="58"/>
      <c r="E264" s="98">
        <f t="shared" si="35"/>
        <v>2417022.98</v>
      </c>
      <c r="F264" s="98">
        <v>0</v>
      </c>
      <c r="G264" s="17">
        <v>0</v>
      </c>
      <c r="H264" s="98">
        <v>0</v>
      </c>
      <c r="I264" s="98">
        <v>755.76</v>
      </c>
      <c r="J264" s="98" t="s">
        <v>111</v>
      </c>
      <c r="K264" s="98">
        <v>3438.05</v>
      </c>
      <c r="L264" s="98">
        <v>2417022.98</v>
      </c>
      <c r="M264" s="98">
        <v>0</v>
      </c>
      <c r="N264" s="98">
        <v>0</v>
      </c>
      <c r="O264" s="98">
        <v>0</v>
      </c>
      <c r="P264" s="98">
        <v>0</v>
      </c>
      <c r="Q264" s="98">
        <v>0</v>
      </c>
      <c r="R264" s="98">
        <v>0</v>
      </c>
      <c r="S264" s="98">
        <v>0</v>
      </c>
      <c r="T264" s="98">
        <v>0</v>
      </c>
      <c r="U264" s="98">
        <v>0</v>
      </c>
      <c r="V264" s="98">
        <v>0</v>
      </c>
      <c r="X264" s="404">
        <f>'Приложение 1'!T261</f>
        <v>4503.95</v>
      </c>
      <c r="Y264" s="404">
        <f t="shared" si="31"/>
        <v>3198.1356250661588</v>
      </c>
      <c r="Z264" s="19">
        <f t="shared" si="32"/>
        <v>1305.814374933841</v>
      </c>
    </row>
    <row r="265" spans="1:26" ht="9" customHeight="1">
      <c r="A265" s="502">
        <v>201</v>
      </c>
      <c r="B265" s="96" t="s">
        <v>337</v>
      </c>
      <c r="C265" s="58" t="s">
        <v>1006</v>
      </c>
      <c r="D265" s="58"/>
      <c r="E265" s="98">
        <f t="shared" si="35"/>
        <v>1226713.3700000001</v>
      </c>
      <c r="F265" s="98">
        <v>0</v>
      </c>
      <c r="G265" s="17">
        <v>0</v>
      </c>
      <c r="H265" s="98">
        <v>0</v>
      </c>
      <c r="I265" s="98">
        <v>370</v>
      </c>
      <c r="J265" s="98" t="s">
        <v>111</v>
      </c>
      <c r="K265" s="98">
        <v>3438.05</v>
      </c>
      <c r="L265" s="98">
        <v>1226713.3700000001</v>
      </c>
      <c r="M265" s="98">
        <v>0</v>
      </c>
      <c r="N265" s="98">
        <v>0</v>
      </c>
      <c r="O265" s="98">
        <v>0</v>
      </c>
      <c r="P265" s="98">
        <v>0</v>
      </c>
      <c r="Q265" s="98">
        <v>0</v>
      </c>
      <c r="R265" s="98">
        <v>0</v>
      </c>
      <c r="S265" s="98">
        <v>0</v>
      </c>
      <c r="T265" s="98">
        <v>0</v>
      </c>
      <c r="U265" s="98">
        <v>0</v>
      </c>
      <c r="V265" s="98">
        <v>0</v>
      </c>
      <c r="X265" s="404">
        <f>'Приложение 1'!T262</f>
        <v>4503.95</v>
      </c>
      <c r="Y265" s="404">
        <f t="shared" si="31"/>
        <v>3315.4415405405407</v>
      </c>
      <c r="Z265" s="19">
        <f t="shared" si="32"/>
        <v>1188.5084594594591</v>
      </c>
    </row>
    <row r="266" spans="1:26" s="233" customFormat="1" ht="9" customHeight="1">
      <c r="A266" s="502">
        <v>202</v>
      </c>
      <c r="B266" s="235" t="s">
        <v>338</v>
      </c>
      <c r="C266" s="236" t="s">
        <v>1006</v>
      </c>
      <c r="D266" s="236"/>
      <c r="E266" s="229">
        <f t="shared" si="35"/>
        <v>1465530.74</v>
      </c>
      <c r="F266" s="229">
        <v>0</v>
      </c>
      <c r="G266" s="230">
        <v>0</v>
      </c>
      <c r="H266" s="229">
        <v>0</v>
      </c>
      <c r="I266" s="229">
        <v>481</v>
      </c>
      <c r="J266" s="229" t="s">
        <v>111</v>
      </c>
      <c r="K266" s="229">
        <v>3438.05</v>
      </c>
      <c r="L266" s="229">
        <v>1465530.74</v>
      </c>
      <c r="M266" s="229">
        <v>0</v>
      </c>
      <c r="N266" s="229">
        <v>0</v>
      </c>
      <c r="O266" s="229">
        <v>0</v>
      </c>
      <c r="P266" s="229">
        <v>0</v>
      </c>
      <c r="Q266" s="229">
        <v>0</v>
      </c>
      <c r="R266" s="229">
        <v>0</v>
      </c>
      <c r="S266" s="229">
        <v>0</v>
      </c>
      <c r="T266" s="229">
        <v>0</v>
      </c>
      <c r="U266" s="229">
        <v>0</v>
      </c>
      <c r="V266" s="229">
        <v>0</v>
      </c>
      <c r="X266" s="498">
        <f>'Приложение 1'!T263</f>
        <v>4503.95</v>
      </c>
      <c r="Y266" s="498">
        <f t="shared" si="31"/>
        <v>3046.8414553014554</v>
      </c>
      <c r="Z266" s="234">
        <f t="shared" si="32"/>
        <v>1457.1085446985444</v>
      </c>
    </row>
    <row r="267" spans="1:26" ht="9" customHeight="1">
      <c r="A267" s="882" t="s">
        <v>341</v>
      </c>
      <c r="B267" s="882"/>
      <c r="C267" s="882"/>
      <c r="D267" s="882"/>
      <c r="E267" s="882"/>
      <c r="F267" s="882"/>
      <c r="G267" s="882"/>
      <c r="H267" s="882"/>
      <c r="I267" s="882"/>
      <c r="J267" s="882"/>
      <c r="K267" s="882"/>
      <c r="L267" s="882"/>
      <c r="M267" s="882"/>
      <c r="N267" s="882"/>
      <c r="O267" s="882"/>
      <c r="P267" s="882"/>
      <c r="Q267" s="882"/>
      <c r="R267" s="882"/>
      <c r="S267" s="882"/>
      <c r="T267" s="882"/>
      <c r="U267" s="882"/>
      <c r="V267" s="882"/>
      <c r="X267" s="404">
        <f>'Приложение 1'!T264</f>
        <v>0</v>
      </c>
      <c r="Y267" s="404" t="e">
        <f t="shared" si="31"/>
        <v>#DIV/0!</v>
      </c>
      <c r="Z267" s="19" t="e">
        <f t="shared" si="32"/>
        <v>#DIV/0!</v>
      </c>
    </row>
    <row r="268" spans="1:26" ht="21.75" customHeight="1">
      <c r="A268" s="881" t="s">
        <v>342</v>
      </c>
      <c r="B268" s="881"/>
      <c r="C268" s="58"/>
      <c r="D268" s="58"/>
      <c r="E268" s="98">
        <f>E269+E270</f>
        <v>2592742.1</v>
      </c>
      <c r="F268" s="98">
        <v>0</v>
      </c>
      <c r="G268" s="17">
        <v>0</v>
      </c>
      <c r="H268" s="98">
        <v>0</v>
      </c>
      <c r="I268" s="98">
        <f>I269+I270</f>
        <v>762</v>
      </c>
      <c r="J268" s="98"/>
      <c r="K268" s="98"/>
      <c r="L268" s="98">
        <f>L269+L270</f>
        <v>2592742.1</v>
      </c>
      <c r="M268" s="98">
        <v>0</v>
      </c>
      <c r="N268" s="98">
        <v>0</v>
      </c>
      <c r="O268" s="98">
        <v>0</v>
      </c>
      <c r="P268" s="98">
        <v>0</v>
      </c>
      <c r="Q268" s="98">
        <v>0</v>
      </c>
      <c r="R268" s="98">
        <v>0</v>
      </c>
      <c r="S268" s="98">
        <v>0</v>
      </c>
      <c r="T268" s="98">
        <v>0</v>
      </c>
      <c r="U268" s="98">
        <v>0</v>
      </c>
      <c r="V268" s="98">
        <v>0</v>
      </c>
      <c r="X268" s="404">
        <f>'Приложение 1'!T265</f>
        <v>0</v>
      </c>
      <c r="Y268" s="404">
        <f t="shared" si="31"/>
        <v>3402.5486876640421</v>
      </c>
      <c r="Z268" s="19">
        <f t="shared" si="32"/>
        <v>-3402.5486876640421</v>
      </c>
    </row>
    <row r="269" spans="1:26" s="233" customFormat="1" ht="9" customHeight="1">
      <c r="A269" s="227">
        <v>203</v>
      </c>
      <c r="B269" s="235" t="s">
        <v>343</v>
      </c>
      <c r="C269" s="236" t="s">
        <v>1006</v>
      </c>
      <c r="D269" s="236"/>
      <c r="E269" s="229">
        <f>F269+H269+L269+N269+P269+R269+S269+T269+U269+V269</f>
        <v>942574.3</v>
      </c>
      <c r="F269" s="229">
        <v>0</v>
      </c>
      <c r="G269" s="230">
        <v>0</v>
      </c>
      <c r="H269" s="229">
        <v>0</v>
      </c>
      <c r="I269" s="229">
        <v>286</v>
      </c>
      <c r="J269" s="229" t="s">
        <v>111</v>
      </c>
      <c r="K269" s="229">
        <v>3438.05</v>
      </c>
      <c r="L269" s="229">
        <v>942574.3</v>
      </c>
      <c r="M269" s="229">
        <v>0</v>
      </c>
      <c r="N269" s="229">
        <v>0</v>
      </c>
      <c r="O269" s="229">
        <v>0</v>
      </c>
      <c r="P269" s="229">
        <v>0</v>
      </c>
      <c r="Q269" s="229">
        <v>0</v>
      </c>
      <c r="R269" s="229">
        <v>0</v>
      </c>
      <c r="S269" s="229">
        <v>0</v>
      </c>
      <c r="T269" s="229">
        <v>0</v>
      </c>
      <c r="U269" s="229">
        <v>0</v>
      </c>
      <c r="V269" s="229">
        <v>0</v>
      </c>
      <c r="X269" s="498">
        <f>'Приложение 1'!T266</f>
        <v>4503.95</v>
      </c>
      <c r="Y269" s="498">
        <f t="shared" si="31"/>
        <v>3295.714335664336</v>
      </c>
      <c r="Z269" s="234">
        <f t="shared" si="32"/>
        <v>1208.2356643356638</v>
      </c>
    </row>
    <row r="270" spans="1:26" ht="9" customHeight="1">
      <c r="A270" s="99">
        <v>204</v>
      </c>
      <c r="B270" s="107" t="s">
        <v>344</v>
      </c>
      <c r="C270" s="58" t="s">
        <v>1006</v>
      </c>
      <c r="D270" s="58"/>
      <c r="E270" s="98">
        <f>F270+H270+L270+N270+P270+R270+S270+T270+U270+V270</f>
        <v>1650167.8</v>
      </c>
      <c r="F270" s="98">
        <v>0</v>
      </c>
      <c r="G270" s="17">
        <v>0</v>
      </c>
      <c r="H270" s="19">
        <v>0</v>
      </c>
      <c r="I270" s="98">
        <v>476</v>
      </c>
      <c r="J270" s="98" t="s">
        <v>111</v>
      </c>
      <c r="K270" s="98">
        <v>3438.05</v>
      </c>
      <c r="L270" s="98">
        <v>1650167.8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X270" s="404">
        <f>'Приложение 1'!T267</f>
        <v>4503.95</v>
      </c>
      <c r="Y270" s="404">
        <f t="shared" si="31"/>
        <v>3466.739075630252</v>
      </c>
      <c r="Z270" s="19">
        <f t="shared" si="32"/>
        <v>1037.2109243697478</v>
      </c>
    </row>
    <row r="271" spans="1:26" ht="9" customHeight="1">
      <c r="A271" s="882" t="s">
        <v>1015</v>
      </c>
      <c r="B271" s="882"/>
      <c r="C271" s="882"/>
      <c r="D271" s="882"/>
      <c r="E271" s="882"/>
      <c r="F271" s="882"/>
      <c r="G271" s="882"/>
      <c r="H271" s="882"/>
      <c r="I271" s="882"/>
      <c r="J271" s="882"/>
      <c r="K271" s="882"/>
      <c r="L271" s="882"/>
      <c r="M271" s="882"/>
      <c r="N271" s="882"/>
      <c r="O271" s="882"/>
      <c r="P271" s="882"/>
      <c r="Q271" s="882"/>
      <c r="R271" s="882"/>
      <c r="S271" s="882"/>
      <c r="T271" s="882"/>
      <c r="U271" s="882"/>
      <c r="V271" s="882"/>
      <c r="X271" s="404">
        <f>'Приложение 1'!T268</f>
        <v>0</v>
      </c>
      <c r="Y271" s="404" t="e">
        <f t="shared" si="31"/>
        <v>#DIV/0!</v>
      </c>
      <c r="Z271" s="19" t="e">
        <f t="shared" si="32"/>
        <v>#DIV/0!</v>
      </c>
    </row>
    <row r="272" spans="1:26" ht="21.75" customHeight="1">
      <c r="A272" s="881" t="s">
        <v>346</v>
      </c>
      <c r="B272" s="881"/>
      <c r="C272" s="58"/>
      <c r="D272" s="58"/>
      <c r="E272" s="98">
        <f>SUM(E273:E276)</f>
        <v>6877592.8399999999</v>
      </c>
      <c r="F272" s="98">
        <v>0</v>
      </c>
      <c r="G272" s="17">
        <v>0</v>
      </c>
      <c r="H272" s="98">
        <v>0</v>
      </c>
      <c r="I272" s="98">
        <f>SUM(I273:I276)</f>
        <v>1989.7999999999997</v>
      </c>
      <c r="J272" s="98"/>
      <c r="K272" s="98"/>
      <c r="L272" s="98">
        <f>SUM(L273:L276)</f>
        <v>6877592.8399999999</v>
      </c>
      <c r="M272" s="98">
        <v>0</v>
      </c>
      <c r="N272" s="98">
        <v>0</v>
      </c>
      <c r="O272" s="98">
        <v>0</v>
      </c>
      <c r="P272" s="98">
        <v>0</v>
      </c>
      <c r="Q272" s="98">
        <v>0</v>
      </c>
      <c r="R272" s="98">
        <v>0</v>
      </c>
      <c r="S272" s="98">
        <v>0</v>
      </c>
      <c r="T272" s="98">
        <v>0</v>
      </c>
      <c r="U272" s="98">
        <v>0</v>
      </c>
      <c r="V272" s="98">
        <v>0</v>
      </c>
      <c r="X272" s="404">
        <f>'Приложение 1'!T269</f>
        <v>0</v>
      </c>
      <c r="Y272" s="404">
        <f t="shared" si="31"/>
        <v>3456.4241833350088</v>
      </c>
      <c r="Z272" s="19">
        <f t="shared" si="32"/>
        <v>-3456.4241833350088</v>
      </c>
    </row>
    <row r="273" spans="1:26" ht="9" customHeight="1">
      <c r="A273" s="99">
        <v>205</v>
      </c>
      <c r="B273" s="96" t="s">
        <v>348</v>
      </c>
      <c r="C273" s="58" t="s">
        <v>1006</v>
      </c>
      <c r="D273" s="58"/>
      <c r="E273" s="98">
        <f>F273+H273+L273+N273+P273+R273+S273+T273+U273+V273</f>
        <v>1838962.93</v>
      </c>
      <c r="F273" s="98">
        <v>0</v>
      </c>
      <c r="G273" s="17">
        <v>0</v>
      </c>
      <c r="H273" s="98">
        <v>0</v>
      </c>
      <c r="I273" s="98">
        <v>527.54999999999995</v>
      </c>
      <c r="J273" s="98" t="s">
        <v>111</v>
      </c>
      <c r="K273" s="98">
        <v>3438.05</v>
      </c>
      <c r="L273" s="98">
        <v>1838962.93</v>
      </c>
      <c r="M273" s="98">
        <v>0</v>
      </c>
      <c r="N273" s="98">
        <v>0</v>
      </c>
      <c r="O273" s="98">
        <v>0</v>
      </c>
      <c r="P273" s="98">
        <v>0</v>
      </c>
      <c r="Q273" s="98">
        <v>0</v>
      </c>
      <c r="R273" s="98">
        <v>0</v>
      </c>
      <c r="S273" s="98">
        <v>0</v>
      </c>
      <c r="T273" s="98">
        <v>0</v>
      </c>
      <c r="U273" s="98">
        <v>0</v>
      </c>
      <c r="V273" s="98">
        <v>0</v>
      </c>
      <c r="X273" s="404">
        <f>'Приложение 1'!T270</f>
        <v>4503.95</v>
      </c>
      <c r="Y273" s="404">
        <f t="shared" si="31"/>
        <v>3485.8552364704769</v>
      </c>
      <c r="Z273" s="19">
        <f t="shared" si="32"/>
        <v>1018.0947635295229</v>
      </c>
    </row>
    <row r="274" spans="1:26" ht="9" customHeight="1">
      <c r="A274" s="99">
        <v>206</v>
      </c>
      <c r="B274" s="96" t="s">
        <v>349</v>
      </c>
      <c r="C274" s="58" t="s">
        <v>1006</v>
      </c>
      <c r="D274" s="58"/>
      <c r="E274" s="98">
        <f>F274+H274+L274+N274+P274+R274+S274+T274+U274+V274</f>
        <v>1570295.59</v>
      </c>
      <c r="F274" s="98">
        <v>0</v>
      </c>
      <c r="G274" s="17">
        <v>0</v>
      </c>
      <c r="H274" s="98">
        <v>0</v>
      </c>
      <c r="I274" s="98">
        <v>440.65</v>
      </c>
      <c r="J274" s="98" t="s">
        <v>111</v>
      </c>
      <c r="K274" s="98">
        <v>3438.05</v>
      </c>
      <c r="L274" s="98">
        <v>1570295.59</v>
      </c>
      <c r="M274" s="98">
        <v>0</v>
      </c>
      <c r="N274" s="98">
        <v>0</v>
      </c>
      <c r="O274" s="98">
        <v>0</v>
      </c>
      <c r="P274" s="98">
        <v>0</v>
      </c>
      <c r="Q274" s="98">
        <v>0</v>
      </c>
      <c r="R274" s="98">
        <v>0</v>
      </c>
      <c r="S274" s="98">
        <v>0</v>
      </c>
      <c r="T274" s="98">
        <v>0</v>
      </c>
      <c r="U274" s="98">
        <v>0</v>
      </c>
      <c r="V274" s="98">
        <v>0</v>
      </c>
      <c r="X274" s="404">
        <f>'Приложение 1'!T271</f>
        <v>4503.95</v>
      </c>
      <c r="Y274" s="404">
        <f t="shared" si="31"/>
        <v>3563.5892204697611</v>
      </c>
      <c r="Z274" s="19">
        <f t="shared" si="32"/>
        <v>940.36077953023869</v>
      </c>
    </row>
    <row r="275" spans="1:26" s="233" customFormat="1" ht="9" customHeight="1">
      <c r="A275" s="502">
        <v>207</v>
      </c>
      <c r="B275" s="235" t="s">
        <v>347</v>
      </c>
      <c r="C275" s="236" t="s">
        <v>1005</v>
      </c>
      <c r="D275" s="236"/>
      <c r="E275" s="229">
        <f>F275+H275+L275+N275+P275+R275+S275+T275+U275+V275</f>
        <v>2207655.35</v>
      </c>
      <c r="F275" s="229">
        <v>0</v>
      </c>
      <c r="G275" s="230">
        <v>0</v>
      </c>
      <c r="H275" s="229">
        <v>0</v>
      </c>
      <c r="I275" s="229">
        <v>655</v>
      </c>
      <c r="J275" s="239" t="s">
        <v>110</v>
      </c>
      <c r="K275" s="229">
        <v>2022.07</v>
      </c>
      <c r="L275" s="229">
        <v>2207655.35</v>
      </c>
      <c r="M275" s="229">
        <v>0</v>
      </c>
      <c r="N275" s="229">
        <v>0</v>
      </c>
      <c r="O275" s="229">
        <v>0</v>
      </c>
      <c r="P275" s="229">
        <v>0</v>
      </c>
      <c r="Q275" s="229">
        <v>0</v>
      </c>
      <c r="R275" s="229">
        <v>0</v>
      </c>
      <c r="S275" s="229">
        <v>0</v>
      </c>
      <c r="T275" s="229">
        <v>0</v>
      </c>
      <c r="U275" s="229">
        <v>0</v>
      </c>
      <c r="V275" s="229">
        <v>0</v>
      </c>
      <c r="X275" s="498">
        <f>'Приложение 1'!T272</f>
        <v>4180</v>
      </c>
      <c r="Y275" s="498">
        <f t="shared" si="31"/>
        <v>3370.466183206107</v>
      </c>
      <c r="Z275" s="234">
        <f t="shared" si="32"/>
        <v>809.53381679389304</v>
      </c>
    </row>
    <row r="276" spans="1:26" ht="9" customHeight="1">
      <c r="A276" s="502">
        <v>208</v>
      </c>
      <c r="B276" s="96" t="s">
        <v>374</v>
      </c>
      <c r="C276" s="58" t="s">
        <v>1006</v>
      </c>
      <c r="D276" s="58"/>
      <c r="E276" s="98">
        <f>F276+H276+L276+N276+P276+R276+S276+T276+U276+V276</f>
        <v>1260678.97</v>
      </c>
      <c r="F276" s="98">
        <v>0</v>
      </c>
      <c r="G276" s="17">
        <v>0</v>
      </c>
      <c r="H276" s="98">
        <v>0</v>
      </c>
      <c r="I276" s="98">
        <v>366.6</v>
      </c>
      <c r="J276" s="98" t="s">
        <v>111</v>
      </c>
      <c r="K276" s="98">
        <v>3438.05</v>
      </c>
      <c r="L276" s="98">
        <v>1260678.97</v>
      </c>
      <c r="M276" s="98">
        <v>0</v>
      </c>
      <c r="N276" s="98">
        <v>0</v>
      </c>
      <c r="O276" s="98">
        <v>0</v>
      </c>
      <c r="P276" s="98">
        <v>0</v>
      </c>
      <c r="Q276" s="98">
        <v>0</v>
      </c>
      <c r="R276" s="98">
        <v>0</v>
      </c>
      <c r="S276" s="98">
        <v>0</v>
      </c>
      <c r="T276" s="98">
        <v>0</v>
      </c>
      <c r="U276" s="98">
        <v>0</v>
      </c>
      <c r="V276" s="98">
        <v>0</v>
      </c>
      <c r="X276" s="404">
        <f>'Приложение 1'!T273</f>
        <v>4503.95</v>
      </c>
      <c r="Y276" s="404">
        <f t="shared" si="31"/>
        <v>3438.8406164757225</v>
      </c>
      <c r="Z276" s="19">
        <f t="shared" si="32"/>
        <v>1065.1093835242773</v>
      </c>
    </row>
    <row r="277" spans="1:26" ht="9" customHeight="1">
      <c r="A277" s="882" t="s">
        <v>423</v>
      </c>
      <c r="B277" s="882"/>
      <c r="C277" s="882"/>
      <c r="D277" s="882"/>
      <c r="E277" s="882"/>
      <c r="F277" s="882"/>
      <c r="G277" s="882"/>
      <c r="H277" s="882"/>
      <c r="I277" s="882"/>
      <c r="J277" s="882"/>
      <c r="K277" s="882"/>
      <c r="L277" s="882"/>
      <c r="M277" s="882"/>
      <c r="N277" s="882"/>
      <c r="O277" s="882"/>
      <c r="P277" s="882"/>
      <c r="Q277" s="882"/>
      <c r="R277" s="882"/>
      <c r="S277" s="882"/>
      <c r="T277" s="882"/>
      <c r="U277" s="882"/>
      <c r="V277" s="882"/>
      <c r="X277" s="404">
        <f>'Приложение 1'!T274</f>
        <v>0</v>
      </c>
      <c r="Y277" s="404" t="e">
        <f t="shared" si="31"/>
        <v>#DIV/0!</v>
      </c>
      <c r="Z277" s="19" t="e">
        <f t="shared" si="32"/>
        <v>#DIV/0!</v>
      </c>
    </row>
    <row r="278" spans="1:26" ht="23.25" customHeight="1">
      <c r="A278" s="881" t="s">
        <v>424</v>
      </c>
      <c r="B278" s="881"/>
      <c r="C278" s="58"/>
      <c r="D278" s="58"/>
      <c r="E278" s="98">
        <f>SUM(E279:E280)</f>
        <v>2587419.73</v>
      </c>
      <c r="F278" s="98">
        <f t="shared" ref="F278:V278" si="36">SUM(F279:F280)</f>
        <v>0</v>
      </c>
      <c r="G278" s="8">
        <f t="shared" si="36"/>
        <v>0</v>
      </c>
      <c r="H278" s="98">
        <f t="shared" si="36"/>
        <v>0</v>
      </c>
      <c r="I278" s="98">
        <f>SUM(I279:I280)</f>
        <v>874</v>
      </c>
      <c r="J278" s="98">
        <f t="shared" si="36"/>
        <v>0</v>
      </c>
      <c r="K278" s="98">
        <f t="shared" si="36"/>
        <v>6876.1</v>
      </c>
      <c r="L278" s="98">
        <f>SUM(L279:L280)</f>
        <v>2587419.73</v>
      </c>
      <c r="M278" s="98">
        <f t="shared" si="36"/>
        <v>0</v>
      </c>
      <c r="N278" s="98">
        <f t="shared" si="36"/>
        <v>0</v>
      </c>
      <c r="O278" s="98">
        <f t="shared" si="36"/>
        <v>0</v>
      </c>
      <c r="P278" s="98">
        <f t="shared" si="36"/>
        <v>0</v>
      </c>
      <c r="Q278" s="98">
        <f t="shared" si="36"/>
        <v>0</v>
      </c>
      <c r="R278" s="98">
        <f t="shared" si="36"/>
        <v>0</v>
      </c>
      <c r="S278" s="98">
        <f t="shared" si="36"/>
        <v>0</v>
      </c>
      <c r="T278" s="98">
        <f t="shared" si="36"/>
        <v>0</v>
      </c>
      <c r="U278" s="98">
        <f t="shared" si="36"/>
        <v>0</v>
      </c>
      <c r="V278" s="98">
        <f t="shared" si="36"/>
        <v>0</v>
      </c>
      <c r="X278" s="404">
        <f>'Приложение 1'!T275</f>
        <v>0</v>
      </c>
      <c r="Y278" s="404">
        <f t="shared" si="31"/>
        <v>2960.4344736842104</v>
      </c>
      <c r="Z278" s="19">
        <f t="shared" si="32"/>
        <v>-2960.4344736842104</v>
      </c>
    </row>
    <row r="279" spans="1:26" ht="9" customHeight="1">
      <c r="A279" s="99">
        <v>209</v>
      </c>
      <c r="B279" s="96" t="s">
        <v>421</v>
      </c>
      <c r="C279" s="58" t="s">
        <v>1006</v>
      </c>
      <c r="D279" s="58"/>
      <c r="E279" s="98">
        <f>F279+H279+L279+N279+P279+R279+S279+T279+U279+V279</f>
        <v>1293694.5</v>
      </c>
      <c r="F279" s="98">
        <v>0</v>
      </c>
      <c r="G279" s="17">
        <v>0</v>
      </c>
      <c r="H279" s="98">
        <v>0</v>
      </c>
      <c r="I279" s="98">
        <v>437</v>
      </c>
      <c r="J279" s="98" t="s">
        <v>111</v>
      </c>
      <c r="K279" s="98">
        <v>3438.05</v>
      </c>
      <c r="L279" s="98">
        <v>1293694.5</v>
      </c>
      <c r="M279" s="98">
        <v>0</v>
      </c>
      <c r="N279" s="98">
        <v>0</v>
      </c>
      <c r="O279" s="98">
        <v>0</v>
      </c>
      <c r="P279" s="98">
        <v>0</v>
      </c>
      <c r="Q279" s="98">
        <v>0</v>
      </c>
      <c r="R279" s="98">
        <v>0</v>
      </c>
      <c r="S279" s="98">
        <v>0</v>
      </c>
      <c r="T279" s="98">
        <v>0</v>
      </c>
      <c r="U279" s="98">
        <v>0</v>
      </c>
      <c r="V279" s="98">
        <v>0</v>
      </c>
      <c r="X279" s="404">
        <f>'Приложение 1'!T276</f>
        <v>4503.95</v>
      </c>
      <c r="Y279" s="404">
        <f t="shared" ref="Y279:Y342" si="37">L279/I279</f>
        <v>2960.3993135011442</v>
      </c>
      <c r="Z279" s="19">
        <f t="shared" ref="Z279:Z342" si="38">X279-Y279</f>
        <v>1543.5506864988556</v>
      </c>
    </row>
    <row r="280" spans="1:26" ht="9" customHeight="1">
      <c r="A280" s="99">
        <v>210</v>
      </c>
      <c r="B280" s="96" t="s">
        <v>422</v>
      </c>
      <c r="C280" s="58" t="s">
        <v>1006</v>
      </c>
      <c r="D280" s="58"/>
      <c r="E280" s="98">
        <f>F280+H280+L280+N280+P280+R280+S280+T280+U280+V280</f>
        <v>1293725.23</v>
      </c>
      <c r="F280" s="98">
        <v>0</v>
      </c>
      <c r="G280" s="17">
        <v>0</v>
      </c>
      <c r="H280" s="98">
        <v>0</v>
      </c>
      <c r="I280" s="98">
        <v>437</v>
      </c>
      <c r="J280" s="98" t="s">
        <v>111</v>
      </c>
      <c r="K280" s="98">
        <v>3438.05</v>
      </c>
      <c r="L280" s="98">
        <v>1293725.23</v>
      </c>
      <c r="M280" s="98">
        <v>0</v>
      </c>
      <c r="N280" s="98">
        <v>0</v>
      </c>
      <c r="O280" s="98">
        <v>0</v>
      </c>
      <c r="P280" s="98">
        <v>0</v>
      </c>
      <c r="Q280" s="98">
        <v>0</v>
      </c>
      <c r="R280" s="98">
        <v>0</v>
      </c>
      <c r="S280" s="98">
        <v>0</v>
      </c>
      <c r="T280" s="98">
        <v>0</v>
      </c>
      <c r="U280" s="98">
        <v>0</v>
      </c>
      <c r="V280" s="98">
        <v>0</v>
      </c>
      <c r="X280" s="404">
        <f>'Приложение 1'!T277</f>
        <v>4503.95</v>
      </c>
      <c r="Y280" s="404">
        <f t="shared" si="37"/>
        <v>2960.469633867277</v>
      </c>
      <c r="Z280" s="19">
        <f t="shared" si="38"/>
        <v>1543.4803661327228</v>
      </c>
    </row>
    <row r="281" spans="1:26" ht="9" customHeight="1">
      <c r="A281" s="882" t="s">
        <v>352</v>
      </c>
      <c r="B281" s="882"/>
      <c r="C281" s="882"/>
      <c r="D281" s="882"/>
      <c r="E281" s="882"/>
      <c r="F281" s="882"/>
      <c r="G281" s="882"/>
      <c r="H281" s="882"/>
      <c r="I281" s="882"/>
      <c r="J281" s="882"/>
      <c r="K281" s="882"/>
      <c r="L281" s="882"/>
      <c r="M281" s="882"/>
      <c r="N281" s="882"/>
      <c r="O281" s="882"/>
      <c r="P281" s="882"/>
      <c r="Q281" s="882"/>
      <c r="R281" s="882"/>
      <c r="S281" s="882"/>
      <c r="T281" s="882"/>
      <c r="U281" s="882"/>
      <c r="V281" s="882"/>
      <c r="X281" s="404">
        <f>'Приложение 1'!T278</f>
        <v>0</v>
      </c>
      <c r="Y281" s="404" t="e">
        <f t="shared" si="37"/>
        <v>#DIV/0!</v>
      </c>
      <c r="Z281" s="19" t="e">
        <f t="shared" si="38"/>
        <v>#DIV/0!</v>
      </c>
    </row>
    <row r="282" spans="1:26" ht="22.5" customHeight="1">
      <c r="A282" s="881" t="s">
        <v>351</v>
      </c>
      <c r="B282" s="881"/>
      <c r="C282" s="58"/>
      <c r="D282" s="58"/>
      <c r="E282" s="98">
        <f>E283</f>
        <v>3249893.6</v>
      </c>
      <c r="F282" s="98">
        <f t="shared" ref="F282:V282" si="39">F283</f>
        <v>0</v>
      </c>
      <c r="G282" s="8">
        <f t="shared" si="39"/>
        <v>0</v>
      </c>
      <c r="H282" s="98">
        <f t="shared" si="39"/>
        <v>0</v>
      </c>
      <c r="I282" s="98">
        <f>I283</f>
        <v>935</v>
      </c>
      <c r="J282" s="98" t="str">
        <f t="shared" si="39"/>
        <v>скатная</v>
      </c>
      <c r="K282" s="98">
        <f t="shared" si="39"/>
        <v>3438.05</v>
      </c>
      <c r="L282" s="98">
        <f t="shared" si="39"/>
        <v>3249893.6</v>
      </c>
      <c r="M282" s="98">
        <f t="shared" si="39"/>
        <v>0</v>
      </c>
      <c r="N282" s="98">
        <f t="shared" si="39"/>
        <v>0</v>
      </c>
      <c r="O282" s="98">
        <f t="shared" si="39"/>
        <v>0</v>
      </c>
      <c r="P282" s="98">
        <f t="shared" si="39"/>
        <v>0</v>
      </c>
      <c r="Q282" s="98">
        <f t="shared" si="39"/>
        <v>0</v>
      </c>
      <c r="R282" s="98">
        <f t="shared" si="39"/>
        <v>0</v>
      </c>
      <c r="S282" s="98">
        <f t="shared" si="39"/>
        <v>0</v>
      </c>
      <c r="T282" s="98">
        <f t="shared" si="39"/>
        <v>0</v>
      </c>
      <c r="U282" s="98">
        <f t="shared" si="39"/>
        <v>0</v>
      </c>
      <c r="V282" s="98">
        <f t="shared" si="39"/>
        <v>0</v>
      </c>
      <c r="X282" s="404">
        <f>'Приложение 1'!T279</f>
        <v>0</v>
      </c>
      <c r="Y282" s="404">
        <f t="shared" si="37"/>
        <v>3475.8220320855617</v>
      </c>
      <c r="Z282" s="19">
        <f t="shared" si="38"/>
        <v>-3475.8220320855617</v>
      </c>
    </row>
    <row r="283" spans="1:26" ht="9" customHeight="1">
      <c r="A283" s="99">
        <v>211</v>
      </c>
      <c r="B283" s="96" t="s">
        <v>354</v>
      </c>
      <c r="C283" s="58" t="s">
        <v>1006</v>
      </c>
      <c r="D283" s="58"/>
      <c r="E283" s="98">
        <f>F283+H283+L283+N283+P283+R283+S283+T283+U283+V283</f>
        <v>3249893.6</v>
      </c>
      <c r="F283" s="98">
        <v>0</v>
      </c>
      <c r="G283" s="17">
        <v>0</v>
      </c>
      <c r="H283" s="98">
        <v>0</v>
      </c>
      <c r="I283" s="98">
        <v>935</v>
      </c>
      <c r="J283" s="98" t="s">
        <v>111</v>
      </c>
      <c r="K283" s="98">
        <v>3438.05</v>
      </c>
      <c r="L283" s="98">
        <v>3249893.6</v>
      </c>
      <c r="M283" s="98">
        <v>0</v>
      </c>
      <c r="N283" s="98">
        <v>0</v>
      </c>
      <c r="O283" s="98">
        <v>0</v>
      </c>
      <c r="P283" s="98">
        <v>0</v>
      </c>
      <c r="Q283" s="98">
        <v>0</v>
      </c>
      <c r="R283" s="98">
        <v>0</v>
      </c>
      <c r="S283" s="98">
        <v>0</v>
      </c>
      <c r="T283" s="98">
        <v>0</v>
      </c>
      <c r="U283" s="98">
        <v>0</v>
      </c>
      <c r="V283" s="98">
        <v>0</v>
      </c>
      <c r="X283" s="404">
        <f>'Приложение 1'!T280</f>
        <v>4503.95</v>
      </c>
      <c r="Y283" s="404">
        <f t="shared" si="37"/>
        <v>3475.8220320855617</v>
      </c>
      <c r="Z283" s="19">
        <f t="shared" si="38"/>
        <v>1028.1279679144382</v>
      </c>
    </row>
    <row r="284" spans="1:26" ht="9" customHeight="1">
      <c r="A284" s="882" t="s">
        <v>433</v>
      </c>
      <c r="B284" s="882"/>
      <c r="C284" s="882"/>
      <c r="D284" s="882"/>
      <c r="E284" s="882"/>
      <c r="F284" s="882"/>
      <c r="G284" s="882"/>
      <c r="H284" s="882"/>
      <c r="I284" s="882"/>
      <c r="J284" s="882"/>
      <c r="K284" s="882"/>
      <c r="L284" s="882"/>
      <c r="M284" s="882"/>
      <c r="N284" s="882"/>
      <c r="O284" s="882"/>
      <c r="P284" s="882"/>
      <c r="Q284" s="882"/>
      <c r="R284" s="882"/>
      <c r="S284" s="882"/>
      <c r="T284" s="882"/>
      <c r="U284" s="882"/>
      <c r="V284" s="882"/>
      <c r="X284" s="404">
        <f>'Приложение 1'!T281</f>
        <v>0</v>
      </c>
      <c r="Y284" s="404" t="e">
        <f t="shared" si="37"/>
        <v>#DIV/0!</v>
      </c>
      <c r="Z284" s="19" t="e">
        <f t="shared" si="38"/>
        <v>#DIV/0!</v>
      </c>
    </row>
    <row r="285" spans="1:26" ht="21.75" customHeight="1">
      <c r="A285" s="899" t="s">
        <v>449</v>
      </c>
      <c r="B285" s="899"/>
      <c r="C285" s="70"/>
      <c r="D285" s="70"/>
      <c r="E285" s="25">
        <f>SUM(E286:E287)</f>
        <v>689350.98</v>
      </c>
      <c r="F285" s="25">
        <f t="shared" ref="F285:V285" si="40">SUM(F286:F287)</f>
        <v>689350.98</v>
      </c>
      <c r="G285" s="112">
        <f t="shared" si="40"/>
        <v>0</v>
      </c>
      <c r="H285" s="25">
        <f t="shared" si="40"/>
        <v>0</v>
      </c>
      <c r="I285" s="25">
        <f t="shared" si="40"/>
        <v>0</v>
      </c>
      <c r="J285" s="25">
        <f t="shared" si="40"/>
        <v>0</v>
      </c>
      <c r="K285" s="25">
        <f t="shared" si="40"/>
        <v>355.29999999999995</v>
      </c>
      <c r="L285" s="25">
        <f t="shared" si="40"/>
        <v>0</v>
      </c>
      <c r="M285" s="25">
        <f t="shared" si="40"/>
        <v>0</v>
      </c>
      <c r="N285" s="25">
        <f t="shared" si="40"/>
        <v>0</v>
      </c>
      <c r="O285" s="25">
        <f t="shared" si="40"/>
        <v>0</v>
      </c>
      <c r="P285" s="25">
        <f t="shared" si="40"/>
        <v>0</v>
      </c>
      <c r="Q285" s="25">
        <f t="shared" si="40"/>
        <v>0</v>
      </c>
      <c r="R285" s="25">
        <f t="shared" si="40"/>
        <v>0</v>
      </c>
      <c r="S285" s="25">
        <f t="shared" si="40"/>
        <v>0</v>
      </c>
      <c r="T285" s="25">
        <f t="shared" si="40"/>
        <v>0</v>
      </c>
      <c r="U285" s="25">
        <f t="shared" si="40"/>
        <v>0</v>
      </c>
      <c r="V285" s="25">
        <f t="shared" si="40"/>
        <v>0</v>
      </c>
      <c r="X285" s="404">
        <f>'Приложение 1'!T282</f>
        <v>0</v>
      </c>
      <c r="Y285" s="404" t="e">
        <f t="shared" si="37"/>
        <v>#DIV/0!</v>
      </c>
      <c r="Z285" s="19" t="e">
        <f t="shared" si="38"/>
        <v>#DIV/0!</v>
      </c>
    </row>
    <row r="286" spans="1:26" ht="9" customHeight="1">
      <c r="A286" s="26">
        <v>212</v>
      </c>
      <c r="B286" s="106" t="s">
        <v>355</v>
      </c>
      <c r="C286" s="70" t="s">
        <v>1008</v>
      </c>
      <c r="D286" s="70"/>
      <c r="E286" s="98">
        <f>F286+H286+L286+N286+P286+R286+S286+T286+U286+V286</f>
        <v>344852.47</v>
      </c>
      <c r="F286" s="25">
        <v>344852.47</v>
      </c>
      <c r="G286" s="36">
        <v>0</v>
      </c>
      <c r="H286" s="25">
        <v>0</v>
      </c>
      <c r="I286" s="25">
        <v>0</v>
      </c>
      <c r="J286" s="98" t="s">
        <v>375</v>
      </c>
      <c r="K286" s="98">
        <f>(170)*1.045</f>
        <v>177.64999999999998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X286" s="404">
        <f>'Приложение 1'!T283</f>
        <v>4984.6499999999996</v>
      </c>
      <c r="Y286" s="404" t="e">
        <f t="shared" si="37"/>
        <v>#DIV/0!</v>
      </c>
      <c r="Z286" s="19" t="e">
        <f t="shared" si="38"/>
        <v>#DIV/0!</v>
      </c>
    </row>
    <row r="287" spans="1:26" ht="9" customHeight="1">
      <c r="A287" s="26">
        <v>213</v>
      </c>
      <c r="B287" s="106" t="s">
        <v>356</v>
      </c>
      <c r="C287" s="70" t="s">
        <v>1008</v>
      </c>
      <c r="D287" s="70"/>
      <c r="E287" s="98">
        <f>F287+H287+L287+N287+P287+R287+S287+T287+U287+V287</f>
        <v>344498.51</v>
      </c>
      <c r="F287" s="25">
        <v>344498.51</v>
      </c>
      <c r="G287" s="36">
        <v>0</v>
      </c>
      <c r="H287" s="25">
        <v>0</v>
      </c>
      <c r="I287" s="25">
        <v>0</v>
      </c>
      <c r="J287" s="98" t="s">
        <v>375</v>
      </c>
      <c r="K287" s="98">
        <f>(170)*1.045</f>
        <v>177.64999999999998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X287" s="404">
        <f>'Приложение 1'!T284</f>
        <v>4984.6499999999996</v>
      </c>
      <c r="Y287" s="404" t="e">
        <f t="shared" si="37"/>
        <v>#DIV/0!</v>
      </c>
      <c r="Z287" s="19" t="e">
        <f t="shared" si="38"/>
        <v>#DIV/0!</v>
      </c>
    </row>
    <row r="288" spans="1:26" ht="9" customHeight="1">
      <c r="A288" s="886" t="s">
        <v>1073</v>
      </c>
      <c r="B288" s="886"/>
      <c r="C288" s="886"/>
      <c r="D288" s="886"/>
      <c r="E288" s="886"/>
      <c r="F288" s="886"/>
      <c r="G288" s="886"/>
      <c r="H288" s="886"/>
      <c r="I288" s="886"/>
      <c r="J288" s="886"/>
      <c r="K288" s="886"/>
      <c r="L288" s="886"/>
      <c r="M288" s="886"/>
      <c r="N288" s="886"/>
      <c r="O288" s="886"/>
      <c r="P288" s="886"/>
      <c r="Q288" s="886"/>
      <c r="R288" s="886"/>
      <c r="S288" s="886"/>
      <c r="T288" s="886"/>
      <c r="U288" s="886"/>
      <c r="V288" s="886"/>
      <c r="X288" s="404">
        <f>'Приложение 1'!T285</f>
        <v>0</v>
      </c>
      <c r="Y288" s="404" t="e">
        <f t="shared" si="37"/>
        <v>#DIV/0!</v>
      </c>
      <c r="Z288" s="19" t="e">
        <f t="shared" si="38"/>
        <v>#DIV/0!</v>
      </c>
    </row>
    <row r="289" spans="1:26" ht="22.5" customHeight="1">
      <c r="A289" s="885" t="s">
        <v>1074</v>
      </c>
      <c r="B289" s="885"/>
      <c r="C289" s="66"/>
      <c r="D289" s="66"/>
      <c r="E289" s="20">
        <f>E290</f>
        <v>1059478.07</v>
      </c>
      <c r="F289" s="20">
        <f t="shared" ref="F289:V289" si="41">F290</f>
        <v>0</v>
      </c>
      <c r="G289" s="113">
        <f t="shared" si="41"/>
        <v>0</v>
      </c>
      <c r="H289" s="20">
        <f t="shared" si="41"/>
        <v>0</v>
      </c>
      <c r="I289" s="20">
        <f t="shared" si="41"/>
        <v>351</v>
      </c>
      <c r="J289" s="20" t="str">
        <f t="shared" si="41"/>
        <v>скатная</v>
      </c>
      <c r="K289" s="20">
        <f t="shared" si="41"/>
        <v>3438.05</v>
      </c>
      <c r="L289" s="20">
        <f t="shared" si="41"/>
        <v>1059478.07</v>
      </c>
      <c r="M289" s="20">
        <f t="shared" si="41"/>
        <v>0</v>
      </c>
      <c r="N289" s="20">
        <f t="shared" si="41"/>
        <v>0</v>
      </c>
      <c r="O289" s="20">
        <f t="shared" si="41"/>
        <v>0</v>
      </c>
      <c r="P289" s="20">
        <f t="shared" si="41"/>
        <v>0</v>
      </c>
      <c r="Q289" s="20">
        <f t="shared" si="41"/>
        <v>0</v>
      </c>
      <c r="R289" s="20">
        <f t="shared" si="41"/>
        <v>0</v>
      </c>
      <c r="S289" s="20">
        <f t="shared" si="41"/>
        <v>0</v>
      </c>
      <c r="T289" s="20">
        <f t="shared" si="41"/>
        <v>0</v>
      </c>
      <c r="U289" s="20">
        <f t="shared" si="41"/>
        <v>0</v>
      </c>
      <c r="V289" s="20">
        <f t="shared" si="41"/>
        <v>0</v>
      </c>
      <c r="X289" s="404">
        <f>'Приложение 1'!T286</f>
        <v>0</v>
      </c>
      <c r="Y289" s="404">
        <f t="shared" si="37"/>
        <v>3018.4560398860399</v>
      </c>
      <c r="Z289" s="19">
        <f t="shared" si="38"/>
        <v>-3018.4560398860399</v>
      </c>
    </row>
    <row r="290" spans="1:26" ht="9" customHeight="1">
      <c r="A290" s="21">
        <v>214</v>
      </c>
      <c r="B290" s="102" t="s">
        <v>359</v>
      </c>
      <c r="C290" s="65" t="s">
        <v>1006</v>
      </c>
      <c r="D290" s="66"/>
      <c r="E290" s="98">
        <f>F290+H290+L290+N290+P290+R290+S290+T290+U290+V290</f>
        <v>1059478.07</v>
      </c>
      <c r="F290" s="20">
        <v>0</v>
      </c>
      <c r="G290" s="33">
        <v>0</v>
      </c>
      <c r="H290" s="20">
        <v>0</v>
      </c>
      <c r="I290" s="20">
        <v>351</v>
      </c>
      <c r="J290" s="98" t="s">
        <v>111</v>
      </c>
      <c r="K290" s="98">
        <v>3438.05</v>
      </c>
      <c r="L290" s="98">
        <v>1059478.07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X290" s="404">
        <f>'Приложение 1'!T287</f>
        <v>4503.95</v>
      </c>
      <c r="Y290" s="404">
        <f t="shared" si="37"/>
        <v>3018.4560398860399</v>
      </c>
      <c r="Z290" s="19">
        <f t="shared" si="38"/>
        <v>1485.4939601139599</v>
      </c>
    </row>
    <row r="291" spans="1:26" ht="9" customHeight="1">
      <c r="A291" s="882" t="s">
        <v>361</v>
      </c>
      <c r="B291" s="882"/>
      <c r="C291" s="882"/>
      <c r="D291" s="882"/>
      <c r="E291" s="882"/>
      <c r="F291" s="882"/>
      <c r="G291" s="882"/>
      <c r="H291" s="882"/>
      <c r="I291" s="882"/>
      <c r="J291" s="882"/>
      <c r="K291" s="882"/>
      <c r="L291" s="882"/>
      <c r="M291" s="882"/>
      <c r="N291" s="882"/>
      <c r="O291" s="882"/>
      <c r="P291" s="882"/>
      <c r="Q291" s="882"/>
      <c r="R291" s="882"/>
      <c r="S291" s="882"/>
      <c r="T291" s="882"/>
      <c r="U291" s="882"/>
      <c r="V291" s="882"/>
      <c r="X291" s="404">
        <f>'Приложение 1'!T288</f>
        <v>0</v>
      </c>
      <c r="Y291" s="404" t="e">
        <f t="shared" si="37"/>
        <v>#DIV/0!</v>
      </c>
      <c r="Z291" s="19" t="e">
        <f t="shared" si="38"/>
        <v>#DIV/0!</v>
      </c>
    </row>
    <row r="292" spans="1:26" ht="22.5" customHeight="1">
      <c r="A292" s="881" t="s">
        <v>450</v>
      </c>
      <c r="B292" s="881"/>
      <c r="C292" s="58"/>
      <c r="D292" s="58"/>
      <c r="E292" s="98">
        <f>SUM(E293:E294)</f>
        <v>6412375.1500000004</v>
      </c>
      <c r="F292" s="98">
        <f t="shared" ref="F292:V292" si="42">SUM(F293:F294)</f>
        <v>0</v>
      </c>
      <c r="G292" s="8">
        <f t="shared" si="42"/>
        <v>0</v>
      </c>
      <c r="H292" s="98">
        <f t="shared" si="42"/>
        <v>0</v>
      </c>
      <c r="I292" s="98">
        <f>SUM(I293:I294)</f>
        <v>2089.4</v>
      </c>
      <c r="J292" s="98">
        <f t="shared" si="42"/>
        <v>0</v>
      </c>
      <c r="K292" s="98">
        <f t="shared" si="42"/>
        <v>5460.12</v>
      </c>
      <c r="L292" s="98">
        <f t="shared" si="42"/>
        <v>6412375.1500000004</v>
      </c>
      <c r="M292" s="98">
        <f t="shared" si="42"/>
        <v>0</v>
      </c>
      <c r="N292" s="98">
        <f t="shared" si="42"/>
        <v>0</v>
      </c>
      <c r="O292" s="98">
        <f t="shared" si="42"/>
        <v>0</v>
      </c>
      <c r="P292" s="98">
        <f t="shared" si="42"/>
        <v>0</v>
      </c>
      <c r="Q292" s="98">
        <f t="shared" si="42"/>
        <v>0</v>
      </c>
      <c r="R292" s="98">
        <f t="shared" si="42"/>
        <v>0</v>
      </c>
      <c r="S292" s="98">
        <f t="shared" si="42"/>
        <v>0</v>
      </c>
      <c r="T292" s="98">
        <f t="shared" si="42"/>
        <v>0</v>
      </c>
      <c r="U292" s="98">
        <f t="shared" si="42"/>
        <v>0</v>
      </c>
      <c r="V292" s="98">
        <f t="shared" si="42"/>
        <v>0</v>
      </c>
      <c r="X292" s="404">
        <f>'Приложение 1'!T289</f>
        <v>0</v>
      </c>
      <c r="Y292" s="404">
        <f t="shared" si="37"/>
        <v>3069.003134871255</v>
      </c>
      <c r="Z292" s="19">
        <f t="shared" si="38"/>
        <v>-3069.003134871255</v>
      </c>
    </row>
    <row r="293" spans="1:26" ht="9" customHeight="1">
      <c r="A293" s="99">
        <v>215</v>
      </c>
      <c r="B293" s="96" t="s">
        <v>360</v>
      </c>
      <c r="C293" s="58" t="s">
        <v>1006</v>
      </c>
      <c r="D293" s="58"/>
      <c r="E293" s="98">
        <f>F293+H293+L293+N293+P293+R293+S293+T293+U293+V293</f>
        <v>2063672.3200000001</v>
      </c>
      <c r="F293" s="98">
        <v>0</v>
      </c>
      <c r="G293" s="17">
        <v>0</v>
      </c>
      <c r="H293" s="98">
        <v>0</v>
      </c>
      <c r="I293" s="98">
        <v>614.4</v>
      </c>
      <c r="J293" s="98" t="s">
        <v>111</v>
      </c>
      <c r="K293" s="98">
        <v>3438.05</v>
      </c>
      <c r="L293" s="98">
        <v>2063672.3200000001</v>
      </c>
      <c r="M293" s="98">
        <v>0</v>
      </c>
      <c r="N293" s="98">
        <v>0</v>
      </c>
      <c r="O293" s="98">
        <v>0</v>
      </c>
      <c r="P293" s="98">
        <v>0</v>
      </c>
      <c r="Q293" s="98">
        <v>0</v>
      </c>
      <c r="R293" s="98">
        <v>0</v>
      </c>
      <c r="S293" s="98">
        <v>0</v>
      </c>
      <c r="T293" s="98">
        <v>0</v>
      </c>
      <c r="U293" s="98">
        <v>0</v>
      </c>
      <c r="V293" s="98">
        <v>0</v>
      </c>
      <c r="X293" s="404">
        <f>'Приложение 1'!T290</f>
        <v>4503.95</v>
      </c>
      <c r="Y293" s="404">
        <f t="shared" si="37"/>
        <v>3358.8416666666667</v>
      </c>
      <c r="Z293" s="19">
        <f t="shared" si="38"/>
        <v>1145.1083333333331</v>
      </c>
    </row>
    <row r="294" spans="1:26" ht="9" customHeight="1">
      <c r="A294" s="99">
        <v>216</v>
      </c>
      <c r="B294" s="107" t="s">
        <v>362</v>
      </c>
      <c r="C294" s="58" t="s">
        <v>1005</v>
      </c>
      <c r="D294" s="58"/>
      <c r="E294" s="98">
        <f>F294+H294+L294+N294+P294+R294+S294+T294+U294+V294</f>
        <v>4348702.83</v>
      </c>
      <c r="F294" s="98">
        <v>0</v>
      </c>
      <c r="G294" s="17">
        <v>0</v>
      </c>
      <c r="H294" s="98">
        <v>0</v>
      </c>
      <c r="I294" s="98">
        <v>1475</v>
      </c>
      <c r="J294" s="21" t="s">
        <v>110</v>
      </c>
      <c r="K294" s="98">
        <v>2022.07</v>
      </c>
      <c r="L294" s="98">
        <v>4348702.83</v>
      </c>
      <c r="M294" s="98">
        <v>0</v>
      </c>
      <c r="N294" s="98">
        <v>0</v>
      </c>
      <c r="O294" s="98">
        <v>0</v>
      </c>
      <c r="P294" s="98">
        <v>0</v>
      </c>
      <c r="Q294" s="98">
        <v>0</v>
      </c>
      <c r="R294" s="98">
        <v>0</v>
      </c>
      <c r="S294" s="98">
        <v>0</v>
      </c>
      <c r="T294" s="98">
        <v>0</v>
      </c>
      <c r="U294" s="98">
        <v>0</v>
      </c>
      <c r="V294" s="98">
        <v>0</v>
      </c>
      <c r="X294" s="404">
        <f>'Приложение 1'!T291</f>
        <v>4180</v>
      </c>
      <c r="Y294" s="404">
        <f t="shared" si="37"/>
        <v>2948.273105084746</v>
      </c>
      <c r="Z294" s="19">
        <f t="shared" si="38"/>
        <v>1231.726894915254</v>
      </c>
    </row>
    <row r="295" spans="1:26" ht="9" customHeight="1">
      <c r="A295" s="882" t="s">
        <v>451</v>
      </c>
      <c r="B295" s="882"/>
      <c r="C295" s="882"/>
      <c r="D295" s="882"/>
      <c r="E295" s="882"/>
      <c r="F295" s="882"/>
      <c r="G295" s="882"/>
      <c r="H295" s="882"/>
      <c r="I295" s="882"/>
      <c r="J295" s="882"/>
      <c r="K295" s="882"/>
      <c r="L295" s="882"/>
      <c r="M295" s="882"/>
      <c r="N295" s="882"/>
      <c r="O295" s="882"/>
      <c r="P295" s="882"/>
      <c r="Q295" s="882"/>
      <c r="R295" s="882"/>
      <c r="S295" s="882"/>
      <c r="T295" s="882"/>
      <c r="U295" s="882"/>
      <c r="V295" s="882"/>
      <c r="X295" s="404">
        <f>'Приложение 1'!T292</f>
        <v>0</v>
      </c>
      <c r="Y295" s="404" t="e">
        <f t="shared" si="37"/>
        <v>#DIV/0!</v>
      </c>
      <c r="Z295" s="19" t="e">
        <f t="shared" si="38"/>
        <v>#DIV/0!</v>
      </c>
    </row>
    <row r="296" spans="1:26" ht="20.25" customHeight="1">
      <c r="A296" s="881" t="s">
        <v>452</v>
      </c>
      <c r="B296" s="881"/>
      <c r="C296" s="58"/>
      <c r="D296" s="58"/>
      <c r="E296" s="98">
        <f>E297</f>
        <v>1131126.47</v>
      </c>
      <c r="F296" s="98">
        <v>0</v>
      </c>
      <c r="G296" s="17">
        <v>0</v>
      </c>
      <c r="H296" s="98">
        <v>0</v>
      </c>
      <c r="I296" s="98">
        <f>I297</f>
        <v>380</v>
      </c>
      <c r="J296" s="98"/>
      <c r="K296" s="98"/>
      <c r="L296" s="98">
        <f>L297</f>
        <v>1131126.47</v>
      </c>
      <c r="M296" s="98">
        <v>0</v>
      </c>
      <c r="N296" s="98">
        <v>0</v>
      </c>
      <c r="O296" s="98">
        <v>0</v>
      </c>
      <c r="P296" s="98">
        <v>0</v>
      </c>
      <c r="Q296" s="98">
        <v>0</v>
      </c>
      <c r="R296" s="98">
        <v>0</v>
      </c>
      <c r="S296" s="98">
        <v>0</v>
      </c>
      <c r="T296" s="98">
        <v>0</v>
      </c>
      <c r="U296" s="98">
        <v>0</v>
      </c>
      <c r="V296" s="98">
        <v>0</v>
      </c>
      <c r="X296" s="404">
        <f>'Приложение 1'!T293</f>
        <v>0</v>
      </c>
      <c r="Y296" s="404">
        <f t="shared" si="37"/>
        <v>2976.6486052631576</v>
      </c>
      <c r="Z296" s="19">
        <f t="shared" si="38"/>
        <v>-2976.6486052631576</v>
      </c>
    </row>
    <row r="297" spans="1:26" ht="9" customHeight="1">
      <c r="A297" s="99">
        <v>217</v>
      </c>
      <c r="B297" s="96" t="s">
        <v>363</v>
      </c>
      <c r="C297" s="58" t="s">
        <v>1006</v>
      </c>
      <c r="D297" s="58"/>
      <c r="E297" s="98">
        <f>F297+H297+L297+N297+P297+R297+S297+T297+U297+V297</f>
        <v>1131126.47</v>
      </c>
      <c r="F297" s="98">
        <v>0</v>
      </c>
      <c r="G297" s="17">
        <v>0</v>
      </c>
      <c r="H297" s="98">
        <v>0</v>
      </c>
      <c r="I297" s="98">
        <v>380</v>
      </c>
      <c r="J297" s="98" t="s">
        <v>111</v>
      </c>
      <c r="K297" s="98">
        <v>3438.05</v>
      </c>
      <c r="L297" s="98">
        <v>1131126.47</v>
      </c>
      <c r="M297" s="98">
        <v>0</v>
      </c>
      <c r="N297" s="98">
        <v>0</v>
      </c>
      <c r="O297" s="98">
        <v>0</v>
      </c>
      <c r="P297" s="98">
        <v>0</v>
      </c>
      <c r="Q297" s="98">
        <v>0</v>
      </c>
      <c r="R297" s="98">
        <v>0</v>
      </c>
      <c r="S297" s="98">
        <v>0</v>
      </c>
      <c r="T297" s="98">
        <v>0</v>
      </c>
      <c r="U297" s="98">
        <v>0</v>
      </c>
      <c r="V297" s="98">
        <v>0</v>
      </c>
      <c r="X297" s="404">
        <f>'Приложение 1'!T294</f>
        <v>4503.95</v>
      </c>
      <c r="Y297" s="404">
        <f t="shared" si="37"/>
        <v>2976.6486052631576</v>
      </c>
      <c r="Z297" s="19">
        <f t="shared" si="38"/>
        <v>1527.3013947368422</v>
      </c>
    </row>
    <row r="298" spans="1:26" ht="9" customHeight="1">
      <c r="A298" s="887" t="s">
        <v>402</v>
      </c>
      <c r="B298" s="887"/>
      <c r="C298" s="887"/>
      <c r="D298" s="887"/>
      <c r="E298" s="887"/>
      <c r="F298" s="887"/>
      <c r="G298" s="887"/>
      <c r="H298" s="887"/>
      <c r="I298" s="887"/>
      <c r="J298" s="887"/>
      <c r="K298" s="887"/>
      <c r="L298" s="887"/>
      <c r="M298" s="887"/>
      <c r="N298" s="887"/>
      <c r="O298" s="887"/>
      <c r="P298" s="887"/>
      <c r="Q298" s="887"/>
      <c r="R298" s="887"/>
      <c r="S298" s="887"/>
      <c r="T298" s="887"/>
      <c r="U298" s="887"/>
      <c r="V298" s="887"/>
      <c r="X298" s="404">
        <f>'Приложение 1'!T295</f>
        <v>0</v>
      </c>
      <c r="Y298" s="404" t="e">
        <f t="shared" si="37"/>
        <v>#DIV/0!</v>
      </c>
      <c r="Z298" s="19" t="e">
        <f t="shared" si="38"/>
        <v>#DIV/0!</v>
      </c>
    </row>
    <row r="299" spans="1:26" ht="21" customHeight="1">
      <c r="A299" s="880" t="s">
        <v>364</v>
      </c>
      <c r="B299" s="880"/>
      <c r="C299" s="71"/>
      <c r="D299" s="71"/>
      <c r="E299" s="98">
        <f>E300</f>
        <v>1645051.71</v>
      </c>
      <c r="F299" s="98">
        <v>0</v>
      </c>
      <c r="G299" s="8">
        <v>0</v>
      </c>
      <c r="H299" s="98">
        <v>0</v>
      </c>
      <c r="I299" s="98">
        <f>I300</f>
        <v>495.36</v>
      </c>
      <c r="J299" s="98"/>
      <c r="K299" s="98"/>
      <c r="L299" s="98">
        <f>L300</f>
        <v>1645051.71</v>
      </c>
      <c r="M299" s="98">
        <v>0</v>
      </c>
      <c r="N299" s="98">
        <v>0</v>
      </c>
      <c r="O299" s="98">
        <v>0</v>
      </c>
      <c r="P299" s="98">
        <v>0</v>
      </c>
      <c r="Q299" s="98">
        <v>0</v>
      </c>
      <c r="R299" s="98">
        <v>0</v>
      </c>
      <c r="S299" s="98">
        <v>0</v>
      </c>
      <c r="T299" s="98">
        <v>0</v>
      </c>
      <c r="U299" s="98">
        <v>0</v>
      </c>
      <c r="V299" s="98">
        <v>0</v>
      </c>
      <c r="X299" s="404">
        <f>'Приложение 1'!T296</f>
        <v>0</v>
      </c>
      <c r="Y299" s="404">
        <f t="shared" si="37"/>
        <v>3320.9215721899222</v>
      </c>
      <c r="Z299" s="19">
        <f t="shared" si="38"/>
        <v>-3320.9215721899222</v>
      </c>
    </row>
    <row r="300" spans="1:26" ht="9" customHeight="1">
      <c r="A300" s="31">
        <v>218</v>
      </c>
      <c r="B300" s="96" t="s">
        <v>1</v>
      </c>
      <c r="C300" s="75" t="s">
        <v>1006</v>
      </c>
      <c r="D300" s="100"/>
      <c r="E300" s="98">
        <f>F300+H300+L300+N300+P300+R300+S300+T300+U300+V300</f>
        <v>1645051.71</v>
      </c>
      <c r="F300" s="98">
        <v>0</v>
      </c>
      <c r="G300" s="8">
        <v>0</v>
      </c>
      <c r="H300" s="98">
        <v>0</v>
      </c>
      <c r="I300" s="98">
        <v>495.36</v>
      </c>
      <c r="J300" s="98" t="s">
        <v>111</v>
      </c>
      <c r="K300" s="98">
        <v>3438.05</v>
      </c>
      <c r="L300" s="98">
        <v>1645051.71</v>
      </c>
      <c r="M300" s="98">
        <v>0</v>
      </c>
      <c r="N300" s="98">
        <v>0</v>
      </c>
      <c r="O300" s="98">
        <v>0</v>
      </c>
      <c r="P300" s="98">
        <v>0</v>
      </c>
      <c r="Q300" s="98">
        <v>0</v>
      </c>
      <c r="R300" s="98">
        <v>0</v>
      </c>
      <c r="S300" s="98">
        <v>0</v>
      </c>
      <c r="T300" s="98">
        <v>0</v>
      </c>
      <c r="U300" s="98">
        <v>0</v>
      </c>
      <c r="V300" s="98">
        <v>0</v>
      </c>
      <c r="X300" s="404">
        <f>'Приложение 1'!T297</f>
        <v>4503.95</v>
      </c>
      <c r="Y300" s="404">
        <f t="shared" si="37"/>
        <v>3320.9215721899222</v>
      </c>
      <c r="Z300" s="19">
        <f t="shared" si="38"/>
        <v>1183.0284278100776</v>
      </c>
    </row>
    <row r="301" spans="1:26" s="27" customFormat="1" ht="9" customHeight="1">
      <c r="A301" s="887" t="s">
        <v>3</v>
      </c>
      <c r="B301" s="887"/>
      <c r="C301" s="887"/>
      <c r="D301" s="887"/>
      <c r="E301" s="887"/>
      <c r="F301" s="887"/>
      <c r="G301" s="887"/>
      <c r="H301" s="887"/>
      <c r="I301" s="887"/>
      <c r="J301" s="887"/>
      <c r="K301" s="887"/>
      <c r="L301" s="887"/>
      <c r="M301" s="887"/>
      <c r="N301" s="887"/>
      <c r="O301" s="887"/>
      <c r="P301" s="887"/>
      <c r="Q301" s="887"/>
      <c r="R301" s="887"/>
      <c r="S301" s="887"/>
      <c r="T301" s="887"/>
      <c r="U301" s="887"/>
      <c r="V301" s="887"/>
      <c r="X301" s="404">
        <f>'Приложение 1'!T298</f>
        <v>0</v>
      </c>
      <c r="Y301" s="404" t="e">
        <f t="shared" si="37"/>
        <v>#DIV/0!</v>
      </c>
      <c r="Z301" s="19" t="e">
        <f t="shared" si="38"/>
        <v>#DIV/0!</v>
      </c>
    </row>
    <row r="302" spans="1:26" s="27" customFormat="1" ht="20.25" customHeight="1">
      <c r="A302" s="880" t="s">
        <v>6</v>
      </c>
      <c r="B302" s="880"/>
      <c r="C302" s="71"/>
      <c r="D302" s="71"/>
      <c r="E302" s="49">
        <f>SUM(E303:E304)</f>
        <v>2823117.67</v>
      </c>
      <c r="F302" s="49">
        <f t="shared" ref="F302:V302" si="43">SUM(F303:F304)</f>
        <v>1014248.92</v>
      </c>
      <c r="G302" s="109">
        <f t="shared" si="43"/>
        <v>0</v>
      </c>
      <c r="H302" s="49">
        <f t="shared" si="43"/>
        <v>0</v>
      </c>
      <c r="I302" s="49">
        <f t="shared" si="43"/>
        <v>514.4</v>
      </c>
      <c r="J302" s="49">
        <f t="shared" si="43"/>
        <v>0</v>
      </c>
      <c r="K302" s="49">
        <f t="shared" si="43"/>
        <v>4294.95</v>
      </c>
      <c r="L302" s="49">
        <f t="shared" si="43"/>
        <v>1785735.76</v>
      </c>
      <c r="M302" s="49">
        <f t="shared" si="43"/>
        <v>0</v>
      </c>
      <c r="N302" s="49">
        <f t="shared" si="43"/>
        <v>0</v>
      </c>
      <c r="O302" s="49">
        <f t="shared" si="43"/>
        <v>0</v>
      </c>
      <c r="P302" s="49">
        <f t="shared" si="43"/>
        <v>0</v>
      </c>
      <c r="Q302" s="49">
        <f t="shared" si="43"/>
        <v>0</v>
      </c>
      <c r="R302" s="49">
        <f t="shared" si="43"/>
        <v>0</v>
      </c>
      <c r="S302" s="49">
        <f t="shared" si="43"/>
        <v>0</v>
      </c>
      <c r="T302" s="49">
        <f t="shared" si="43"/>
        <v>0</v>
      </c>
      <c r="U302" s="49">
        <f t="shared" si="43"/>
        <v>23132.99</v>
      </c>
      <c r="V302" s="49">
        <f t="shared" si="43"/>
        <v>0</v>
      </c>
      <c r="X302" s="404">
        <f>'Приложение 1'!T299</f>
        <v>0</v>
      </c>
      <c r="Y302" s="404">
        <f t="shared" si="37"/>
        <v>3471.4925349922241</v>
      </c>
      <c r="Z302" s="19">
        <f t="shared" si="38"/>
        <v>-3471.4925349922241</v>
      </c>
    </row>
    <row r="303" spans="1:26" s="27" customFormat="1" ht="9" customHeight="1">
      <c r="A303" s="31">
        <v>219</v>
      </c>
      <c r="B303" s="105" t="s">
        <v>4</v>
      </c>
      <c r="C303" s="71" t="s">
        <v>1008</v>
      </c>
      <c r="D303" s="71"/>
      <c r="E303" s="98">
        <f>F303+H303+L303+N303+P303+R303+S303+T303+U303+V303</f>
        <v>1037381.91</v>
      </c>
      <c r="F303" s="49">
        <v>1014248.92</v>
      </c>
      <c r="G303" s="50">
        <v>0</v>
      </c>
      <c r="H303" s="49">
        <v>0</v>
      </c>
      <c r="I303" s="49">
        <v>0</v>
      </c>
      <c r="J303" s="98" t="s">
        <v>403</v>
      </c>
      <c r="K303" s="98">
        <f>(200+170+260+190)*1.045</f>
        <v>856.9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23132.99</v>
      </c>
      <c r="V303" s="49">
        <v>0</v>
      </c>
      <c r="X303" s="404">
        <f>'Приложение 1'!T300</f>
        <v>4984.6499999999996</v>
      </c>
      <c r="Y303" s="404" t="e">
        <f t="shared" si="37"/>
        <v>#DIV/0!</v>
      </c>
      <c r="Z303" s="19" t="e">
        <f t="shared" si="38"/>
        <v>#DIV/0!</v>
      </c>
    </row>
    <row r="304" spans="1:26" s="27" customFormat="1" ht="9" customHeight="1">
      <c r="A304" s="31">
        <v>220</v>
      </c>
      <c r="B304" s="105" t="s">
        <v>5</v>
      </c>
      <c r="C304" s="71" t="s">
        <v>1006</v>
      </c>
      <c r="D304" s="71"/>
      <c r="E304" s="98">
        <f>F304+H304+L304+N304+P304+R304+S304+T304+U304+V304</f>
        <v>1785735.76</v>
      </c>
      <c r="F304" s="49">
        <v>0</v>
      </c>
      <c r="G304" s="50">
        <v>0</v>
      </c>
      <c r="H304" s="49">
        <v>0</v>
      </c>
      <c r="I304" s="49">
        <v>514.4</v>
      </c>
      <c r="J304" s="98" t="s">
        <v>111</v>
      </c>
      <c r="K304" s="98">
        <v>3438.05</v>
      </c>
      <c r="L304" s="98">
        <v>1785735.76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X304" s="404">
        <f>'Приложение 1'!T301</f>
        <v>4503.95</v>
      </c>
      <c r="Y304" s="404">
        <f t="shared" si="37"/>
        <v>3471.4925349922241</v>
      </c>
      <c r="Z304" s="19">
        <f t="shared" si="38"/>
        <v>1032.4574650077757</v>
      </c>
    </row>
    <row r="305" spans="1:26" s="27" customFormat="1" ht="9" customHeight="1">
      <c r="A305" s="886" t="s">
        <v>9</v>
      </c>
      <c r="B305" s="886"/>
      <c r="C305" s="886"/>
      <c r="D305" s="886"/>
      <c r="E305" s="886"/>
      <c r="F305" s="886"/>
      <c r="G305" s="886"/>
      <c r="H305" s="886"/>
      <c r="I305" s="886"/>
      <c r="J305" s="886"/>
      <c r="K305" s="886"/>
      <c r="L305" s="886"/>
      <c r="M305" s="886"/>
      <c r="N305" s="886"/>
      <c r="O305" s="886"/>
      <c r="P305" s="886"/>
      <c r="Q305" s="886"/>
      <c r="R305" s="886"/>
      <c r="S305" s="886"/>
      <c r="T305" s="886"/>
      <c r="U305" s="886"/>
      <c r="V305" s="886"/>
      <c r="X305" s="404">
        <f>'Приложение 1'!T302</f>
        <v>0</v>
      </c>
      <c r="Y305" s="404" t="e">
        <f t="shared" si="37"/>
        <v>#DIV/0!</v>
      </c>
      <c r="Z305" s="19" t="e">
        <f t="shared" si="38"/>
        <v>#DIV/0!</v>
      </c>
    </row>
    <row r="306" spans="1:26" s="27" customFormat="1" ht="20.25" customHeight="1">
      <c r="A306" s="885" t="s">
        <v>10</v>
      </c>
      <c r="B306" s="885"/>
      <c r="C306" s="66"/>
      <c r="D306" s="66"/>
      <c r="E306" s="20">
        <f>E307+E308</f>
        <v>2488251.2999999998</v>
      </c>
      <c r="F306" s="20">
        <v>0</v>
      </c>
      <c r="G306" s="33">
        <v>0</v>
      </c>
      <c r="H306" s="20">
        <v>0</v>
      </c>
      <c r="I306" s="20">
        <f>SUM(I307:I308)</f>
        <v>748</v>
      </c>
      <c r="J306" s="20"/>
      <c r="K306" s="20"/>
      <c r="L306" s="20">
        <f>SUM(L307:L308)</f>
        <v>2488251.2999999998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X306" s="404">
        <f>'Приложение 1'!T303</f>
        <v>0</v>
      </c>
      <c r="Y306" s="404">
        <f t="shared" si="37"/>
        <v>3326.5391711229945</v>
      </c>
      <c r="Z306" s="19">
        <f t="shared" si="38"/>
        <v>-3326.5391711229945</v>
      </c>
    </row>
    <row r="307" spans="1:26" s="27" customFormat="1" ht="9" customHeight="1">
      <c r="A307" s="21">
        <v>221</v>
      </c>
      <c r="B307" s="102" t="s">
        <v>13</v>
      </c>
      <c r="C307" s="66" t="s">
        <v>1005</v>
      </c>
      <c r="D307" s="66"/>
      <c r="E307" s="98">
        <f>F307+H307+L307+N307+P307+R307+S307+T307+U307+V307</f>
        <v>1356096.58</v>
      </c>
      <c r="F307" s="20">
        <v>0</v>
      </c>
      <c r="G307" s="33">
        <v>0</v>
      </c>
      <c r="H307" s="20">
        <v>0</v>
      </c>
      <c r="I307" s="20">
        <v>432</v>
      </c>
      <c r="J307" s="21" t="s">
        <v>110</v>
      </c>
      <c r="K307" s="98">
        <v>2022.07</v>
      </c>
      <c r="L307" s="98">
        <v>1356096.58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X307" s="404">
        <f>'Приложение 1'!T304</f>
        <v>4180</v>
      </c>
      <c r="Y307" s="404">
        <f t="shared" si="37"/>
        <v>3139.112453703704</v>
      </c>
      <c r="Z307" s="19">
        <f t="shared" si="38"/>
        <v>1040.887546296296</v>
      </c>
    </row>
    <row r="308" spans="1:26" s="27" customFormat="1" ht="9" customHeight="1">
      <c r="A308" s="21">
        <v>222</v>
      </c>
      <c r="B308" s="102" t="s">
        <v>14</v>
      </c>
      <c r="C308" s="66" t="s">
        <v>1006</v>
      </c>
      <c r="D308" s="66"/>
      <c r="E308" s="98">
        <f>F308+H308+L308+N308+P308+R308+S308+T308+U308+V308</f>
        <v>1132154.72</v>
      </c>
      <c r="F308" s="20">
        <v>0</v>
      </c>
      <c r="G308" s="33">
        <v>0</v>
      </c>
      <c r="H308" s="20">
        <v>0</v>
      </c>
      <c r="I308" s="20">
        <v>316</v>
      </c>
      <c r="J308" s="98" t="s">
        <v>111</v>
      </c>
      <c r="K308" s="98">
        <v>3438.05</v>
      </c>
      <c r="L308" s="98">
        <v>1132154.72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X308" s="404">
        <f>'Приложение 1'!T305</f>
        <v>4503.95</v>
      </c>
      <c r="Y308" s="404">
        <f t="shared" si="37"/>
        <v>3582.7681012658227</v>
      </c>
      <c r="Z308" s="19">
        <f t="shared" si="38"/>
        <v>921.18189873417714</v>
      </c>
    </row>
    <row r="309" spans="1:26" s="27" customFormat="1" ht="9" customHeight="1">
      <c r="A309" s="886" t="s">
        <v>11</v>
      </c>
      <c r="B309" s="886"/>
      <c r="C309" s="886"/>
      <c r="D309" s="886"/>
      <c r="E309" s="886"/>
      <c r="F309" s="886"/>
      <c r="G309" s="886"/>
      <c r="H309" s="886"/>
      <c r="I309" s="886"/>
      <c r="J309" s="886"/>
      <c r="K309" s="886"/>
      <c r="L309" s="886"/>
      <c r="M309" s="886"/>
      <c r="N309" s="886"/>
      <c r="O309" s="886"/>
      <c r="P309" s="886"/>
      <c r="Q309" s="886"/>
      <c r="R309" s="886"/>
      <c r="S309" s="886"/>
      <c r="T309" s="886"/>
      <c r="U309" s="886"/>
      <c r="V309" s="886"/>
      <c r="X309" s="404">
        <f>'Приложение 1'!T306</f>
        <v>0</v>
      </c>
      <c r="Y309" s="404" t="e">
        <f t="shared" si="37"/>
        <v>#DIV/0!</v>
      </c>
      <c r="Z309" s="19" t="e">
        <f t="shared" si="38"/>
        <v>#DIV/0!</v>
      </c>
    </row>
    <row r="310" spans="1:26" s="27" customFormat="1" ht="21.75" customHeight="1">
      <c r="A310" s="885" t="s">
        <v>12</v>
      </c>
      <c r="B310" s="885"/>
      <c r="C310" s="66"/>
      <c r="D310" s="66"/>
      <c r="E310" s="20">
        <f>SUM(E311:E314)</f>
        <v>5648744.8499999996</v>
      </c>
      <c r="F310" s="20">
        <v>0</v>
      </c>
      <c r="G310" s="33">
        <v>0</v>
      </c>
      <c r="H310" s="20">
        <v>0</v>
      </c>
      <c r="I310" s="20">
        <f>SUM(I311:I314)</f>
        <v>1609.7</v>
      </c>
      <c r="J310" s="20"/>
      <c r="K310" s="20"/>
      <c r="L310" s="20">
        <f>SUM(L311:L314)</f>
        <v>5648744.8499999996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X310" s="404">
        <f>'Приложение 1'!T307</f>
        <v>0</v>
      </c>
      <c r="Y310" s="404">
        <f t="shared" si="37"/>
        <v>3509.1910604460454</v>
      </c>
      <c r="Z310" s="19">
        <f t="shared" si="38"/>
        <v>-3509.1910604460454</v>
      </c>
    </row>
    <row r="311" spans="1:26" s="27" customFormat="1" ht="9" customHeight="1">
      <c r="A311" s="21">
        <v>223</v>
      </c>
      <c r="B311" s="102" t="s">
        <v>16</v>
      </c>
      <c r="C311" s="66" t="s">
        <v>1006</v>
      </c>
      <c r="D311" s="66"/>
      <c r="E311" s="98">
        <f>F311+H311+L311+N311+P311+R311+S311+T311+U311+V311</f>
        <v>1114763.93</v>
      </c>
      <c r="F311" s="20">
        <v>0</v>
      </c>
      <c r="G311" s="33">
        <v>0</v>
      </c>
      <c r="H311" s="20">
        <v>0</v>
      </c>
      <c r="I311" s="20">
        <v>310</v>
      </c>
      <c r="J311" s="98" t="s">
        <v>111</v>
      </c>
      <c r="K311" s="98">
        <v>3438.05</v>
      </c>
      <c r="L311" s="98">
        <v>1114763.93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X311" s="404">
        <f>'Приложение 1'!T308</f>
        <v>4503.95</v>
      </c>
      <c r="Y311" s="404">
        <f t="shared" si="37"/>
        <v>3596.0126774193545</v>
      </c>
      <c r="Z311" s="19">
        <f t="shared" si="38"/>
        <v>907.93732258064529</v>
      </c>
    </row>
    <row r="312" spans="1:26" s="27" customFormat="1" ht="9" customHeight="1">
      <c r="A312" s="21">
        <v>224</v>
      </c>
      <c r="B312" s="102" t="s">
        <v>15</v>
      </c>
      <c r="C312" s="66" t="s">
        <v>1006</v>
      </c>
      <c r="D312" s="66"/>
      <c r="E312" s="98">
        <f>F312+H312+L312+N312+P312+R312+S312+T312+U312+V312</f>
        <v>1182887.76</v>
      </c>
      <c r="F312" s="20">
        <v>0</v>
      </c>
      <c r="G312" s="33">
        <v>0</v>
      </c>
      <c r="H312" s="20">
        <v>0</v>
      </c>
      <c r="I312" s="20">
        <v>300</v>
      </c>
      <c r="J312" s="98" t="s">
        <v>111</v>
      </c>
      <c r="K312" s="98">
        <v>3438.05</v>
      </c>
      <c r="L312" s="98">
        <v>1182887.76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X312" s="404">
        <f>'Приложение 1'!T309</f>
        <v>4503.95</v>
      </c>
      <c r="Y312" s="404">
        <f t="shared" si="37"/>
        <v>3942.9592000000002</v>
      </c>
      <c r="Z312" s="19">
        <f t="shared" si="38"/>
        <v>560.99079999999958</v>
      </c>
    </row>
    <row r="313" spans="1:26" s="27" customFormat="1" ht="9" customHeight="1">
      <c r="A313" s="21">
        <v>225</v>
      </c>
      <c r="B313" s="102" t="s">
        <v>17</v>
      </c>
      <c r="C313" s="66" t="s">
        <v>1006</v>
      </c>
      <c r="D313" s="66"/>
      <c r="E313" s="98">
        <f>F313+H313+L313+N313+P313+R313+S313+T313+U313+V313</f>
        <v>1588788.78</v>
      </c>
      <c r="F313" s="20">
        <v>0</v>
      </c>
      <c r="G313" s="33">
        <v>0</v>
      </c>
      <c r="H313" s="20">
        <v>0</v>
      </c>
      <c r="I313" s="20">
        <v>502</v>
      </c>
      <c r="J313" s="98" t="s">
        <v>111</v>
      </c>
      <c r="K313" s="98">
        <v>3438.05</v>
      </c>
      <c r="L313" s="98">
        <v>1588788.78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X313" s="404">
        <f>'Приложение 1'!T310</f>
        <v>4503.95</v>
      </c>
      <c r="Y313" s="404">
        <f t="shared" si="37"/>
        <v>3164.9178884462153</v>
      </c>
      <c r="Z313" s="19">
        <f t="shared" si="38"/>
        <v>1339.0321115537845</v>
      </c>
    </row>
    <row r="314" spans="1:26" s="27" customFormat="1" ht="9" customHeight="1">
      <c r="A314" s="21">
        <v>226</v>
      </c>
      <c r="B314" s="102" t="s">
        <v>18</v>
      </c>
      <c r="C314" s="66" t="s">
        <v>1006</v>
      </c>
      <c r="D314" s="66"/>
      <c r="E314" s="98">
        <f>F314+H314+L314+N314+P314+R314+S314+T314+U314+V314</f>
        <v>1762304.38</v>
      </c>
      <c r="F314" s="20">
        <v>0</v>
      </c>
      <c r="G314" s="33">
        <v>0</v>
      </c>
      <c r="H314" s="20">
        <v>0</v>
      </c>
      <c r="I314" s="20">
        <v>497.7</v>
      </c>
      <c r="J314" s="98" t="s">
        <v>111</v>
      </c>
      <c r="K314" s="98">
        <v>3438.05</v>
      </c>
      <c r="L314" s="98">
        <v>1762304.38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X314" s="404">
        <f>'Приложение 1'!T311</f>
        <v>4503.95</v>
      </c>
      <c r="Y314" s="404">
        <f t="shared" si="37"/>
        <v>3540.8968856741008</v>
      </c>
      <c r="Z314" s="19">
        <f t="shared" si="38"/>
        <v>963.05311432589906</v>
      </c>
    </row>
    <row r="315" spans="1:26" s="27" customFormat="1" ht="9" customHeight="1">
      <c r="A315" s="883" t="s">
        <v>455</v>
      </c>
      <c r="B315" s="883"/>
      <c r="C315" s="883"/>
      <c r="D315" s="883"/>
      <c r="E315" s="883"/>
      <c r="F315" s="883"/>
      <c r="G315" s="883"/>
      <c r="H315" s="883"/>
      <c r="I315" s="883"/>
      <c r="J315" s="883"/>
      <c r="K315" s="883"/>
      <c r="L315" s="883"/>
      <c r="M315" s="883"/>
      <c r="N315" s="883"/>
      <c r="O315" s="883"/>
      <c r="P315" s="883"/>
      <c r="Q315" s="883"/>
      <c r="R315" s="883"/>
      <c r="S315" s="883"/>
      <c r="T315" s="883"/>
      <c r="U315" s="883"/>
      <c r="V315" s="883"/>
      <c r="X315" s="404">
        <f>'Приложение 1'!T312</f>
        <v>0</v>
      </c>
      <c r="Y315" s="404" t="e">
        <f t="shared" si="37"/>
        <v>#DIV/0!</v>
      </c>
      <c r="Z315" s="19" t="e">
        <f t="shared" si="38"/>
        <v>#DIV/0!</v>
      </c>
    </row>
    <row r="316" spans="1:26" s="27" customFormat="1" ht="21" customHeight="1">
      <c r="A316" s="884" t="s">
        <v>21</v>
      </c>
      <c r="B316" s="884"/>
      <c r="C316" s="72"/>
      <c r="D316" s="72"/>
      <c r="E316" s="76">
        <f>SUM(E317:E318)</f>
        <v>5054598.5600000005</v>
      </c>
      <c r="F316" s="47">
        <v>0</v>
      </c>
      <c r="G316" s="46">
        <v>0</v>
      </c>
      <c r="H316" s="47">
        <v>0</v>
      </c>
      <c r="I316" s="76">
        <f>SUM(I317:I318)</f>
        <v>1376.4</v>
      </c>
      <c r="J316" s="45"/>
      <c r="K316" s="45"/>
      <c r="L316" s="76">
        <f>SUM(L317:L318)</f>
        <v>5054598.5600000005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77">
        <v>0</v>
      </c>
      <c r="X316" s="404">
        <f>'Приложение 1'!T313</f>
        <v>0</v>
      </c>
      <c r="Y316" s="404">
        <f t="shared" si="37"/>
        <v>3672.3325777390296</v>
      </c>
      <c r="Z316" s="19">
        <f t="shared" si="38"/>
        <v>-3672.3325777390296</v>
      </c>
    </row>
    <row r="317" spans="1:26" s="27" customFormat="1" ht="11.25" customHeight="1">
      <c r="A317" s="53">
        <v>227</v>
      </c>
      <c r="B317" s="55" t="s">
        <v>23</v>
      </c>
      <c r="C317" s="74" t="s">
        <v>1005</v>
      </c>
      <c r="D317" s="42"/>
      <c r="E317" s="98">
        <f>F317+H317+L317+N317+P317+R317+S317+T317+U317+V317</f>
        <v>2502922.84</v>
      </c>
      <c r="F317" s="51">
        <v>0</v>
      </c>
      <c r="G317" s="52">
        <v>0</v>
      </c>
      <c r="H317" s="51">
        <v>0</v>
      </c>
      <c r="I317" s="51">
        <v>641</v>
      </c>
      <c r="J317" s="21" t="s">
        <v>110</v>
      </c>
      <c r="K317" s="98">
        <v>2022.07</v>
      </c>
      <c r="L317" s="98">
        <v>2502922.84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51">
        <v>0</v>
      </c>
      <c r="V317" s="54">
        <v>0</v>
      </c>
      <c r="X317" s="404">
        <f>'Приложение 1'!T314</f>
        <v>4180</v>
      </c>
      <c r="Y317" s="404">
        <f t="shared" si="37"/>
        <v>3904.7158190327609</v>
      </c>
      <c r="Z317" s="19">
        <f t="shared" si="38"/>
        <v>275.28418096723908</v>
      </c>
    </row>
    <row r="318" spans="1:26" s="27" customFormat="1" ht="11.25" customHeight="1">
      <c r="A318" s="53">
        <v>228</v>
      </c>
      <c r="B318" s="55" t="s">
        <v>24</v>
      </c>
      <c r="C318" s="74" t="s">
        <v>1005</v>
      </c>
      <c r="D318" s="42"/>
      <c r="E318" s="98">
        <f>F318+H318+L318+N318+P318+R318+S318+T318+U318+V318</f>
        <v>2551675.7200000002</v>
      </c>
      <c r="F318" s="51">
        <v>0</v>
      </c>
      <c r="G318" s="52">
        <v>0</v>
      </c>
      <c r="H318" s="51">
        <v>0</v>
      </c>
      <c r="I318" s="51">
        <v>735.4</v>
      </c>
      <c r="J318" s="21" t="s">
        <v>110</v>
      </c>
      <c r="K318" s="98">
        <v>2022.07</v>
      </c>
      <c r="L318" s="98">
        <v>2551675.7200000002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4">
        <v>0</v>
      </c>
      <c r="X318" s="404">
        <f>'Приложение 1'!T315</f>
        <v>4180</v>
      </c>
      <c r="Y318" s="404">
        <f t="shared" si="37"/>
        <v>3469.7793309763397</v>
      </c>
      <c r="Z318" s="19">
        <f t="shared" si="38"/>
        <v>710.22066902366032</v>
      </c>
    </row>
    <row r="319" spans="1:26" s="27" customFormat="1" ht="10.5" customHeight="1">
      <c r="A319" s="883" t="s">
        <v>1071</v>
      </c>
      <c r="B319" s="883"/>
      <c r="C319" s="883"/>
      <c r="D319" s="883"/>
      <c r="E319" s="883"/>
      <c r="F319" s="883"/>
      <c r="G319" s="883"/>
      <c r="H319" s="883"/>
      <c r="I319" s="883"/>
      <c r="J319" s="883"/>
      <c r="K319" s="883"/>
      <c r="L319" s="883"/>
      <c r="M319" s="883"/>
      <c r="N319" s="883"/>
      <c r="O319" s="883"/>
      <c r="P319" s="883"/>
      <c r="Q319" s="883"/>
      <c r="R319" s="883"/>
      <c r="S319" s="883"/>
      <c r="T319" s="883"/>
      <c r="U319" s="883"/>
      <c r="V319" s="883"/>
      <c r="X319" s="404">
        <f>'Приложение 1'!T316</f>
        <v>0</v>
      </c>
      <c r="Y319" s="404" t="e">
        <f t="shared" si="37"/>
        <v>#DIV/0!</v>
      </c>
      <c r="Z319" s="19" t="e">
        <f t="shared" si="38"/>
        <v>#DIV/0!</v>
      </c>
    </row>
    <row r="320" spans="1:26" s="27" customFormat="1" ht="21" customHeight="1">
      <c r="A320" s="884" t="s">
        <v>1072</v>
      </c>
      <c r="B320" s="884"/>
      <c r="C320" s="72"/>
      <c r="D320" s="72"/>
      <c r="E320" s="76">
        <f>E321</f>
        <v>551093.68000000005</v>
      </c>
      <c r="F320" s="76">
        <f>F321</f>
        <v>551093.68000000005</v>
      </c>
      <c r="G320" s="46">
        <v>0</v>
      </c>
      <c r="H320" s="47">
        <v>0</v>
      </c>
      <c r="I320" s="47">
        <f>I321</f>
        <v>0</v>
      </c>
      <c r="J320" s="45"/>
      <c r="K320" s="45"/>
      <c r="L320" s="76">
        <f>L321</f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77">
        <v>0</v>
      </c>
      <c r="X320" s="404">
        <f>'Приложение 1'!T317</f>
        <v>0</v>
      </c>
      <c r="Y320" s="404" t="e">
        <f t="shared" si="37"/>
        <v>#DIV/0!</v>
      </c>
      <c r="Z320" s="19" t="e">
        <f t="shared" si="38"/>
        <v>#DIV/0!</v>
      </c>
    </row>
    <row r="321" spans="1:26" s="27" customFormat="1" ht="11.25" customHeight="1">
      <c r="A321" s="53">
        <v>229</v>
      </c>
      <c r="B321" s="55" t="s">
        <v>25</v>
      </c>
      <c r="C321" s="74" t="s">
        <v>1008</v>
      </c>
      <c r="D321" s="94"/>
      <c r="E321" s="98">
        <f>F321+H321+L321+N321+P321+R321+S321+T321+U321+V321</f>
        <v>551093.68000000005</v>
      </c>
      <c r="F321" s="95">
        <v>551093.68000000005</v>
      </c>
      <c r="G321" s="52">
        <v>0</v>
      </c>
      <c r="H321" s="51">
        <v>0</v>
      </c>
      <c r="I321" s="51">
        <v>0</v>
      </c>
      <c r="J321" s="98" t="s">
        <v>414</v>
      </c>
      <c r="K321" s="98"/>
      <c r="L321" s="95">
        <f>K321*I321</f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4">
        <v>0</v>
      </c>
      <c r="X321" s="404">
        <f>'Приложение 1'!T318</f>
        <v>4984.6499999999996</v>
      </c>
      <c r="Y321" s="404" t="e">
        <f t="shared" si="37"/>
        <v>#DIV/0!</v>
      </c>
      <c r="Z321" s="19" t="e">
        <f t="shared" si="38"/>
        <v>#DIV/0!</v>
      </c>
    </row>
    <row r="322" spans="1:26" s="27" customFormat="1" ht="12" customHeight="1">
      <c r="A322" s="883" t="s">
        <v>453</v>
      </c>
      <c r="B322" s="883"/>
      <c r="C322" s="883"/>
      <c r="D322" s="883"/>
      <c r="E322" s="883"/>
      <c r="F322" s="883"/>
      <c r="G322" s="883"/>
      <c r="H322" s="883"/>
      <c r="I322" s="883"/>
      <c r="J322" s="883"/>
      <c r="K322" s="883"/>
      <c r="L322" s="883"/>
      <c r="M322" s="883"/>
      <c r="N322" s="883"/>
      <c r="O322" s="883"/>
      <c r="P322" s="883"/>
      <c r="Q322" s="883"/>
      <c r="R322" s="883"/>
      <c r="S322" s="883"/>
      <c r="T322" s="883"/>
      <c r="U322" s="883"/>
      <c r="V322" s="883"/>
      <c r="X322" s="404">
        <f>'Приложение 1'!T319</f>
        <v>0</v>
      </c>
      <c r="Y322" s="404" t="e">
        <f t="shared" si="37"/>
        <v>#DIV/0!</v>
      </c>
      <c r="Z322" s="19" t="e">
        <f t="shared" si="38"/>
        <v>#DIV/0!</v>
      </c>
    </row>
    <row r="323" spans="1:26" s="27" customFormat="1" ht="21" customHeight="1">
      <c r="A323" s="881" t="s">
        <v>454</v>
      </c>
      <c r="B323" s="881"/>
      <c r="C323" s="58"/>
      <c r="D323" s="58"/>
      <c r="E323" s="98">
        <f>E324</f>
        <v>3606258</v>
      </c>
      <c r="F323" s="98">
        <v>0</v>
      </c>
      <c r="G323" s="17">
        <v>0</v>
      </c>
      <c r="H323" s="98">
        <v>0</v>
      </c>
      <c r="I323" s="98">
        <v>0</v>
      </c>
      <c r="J323" s="98"/>
      <c r="K323" s="98"/>
      <c r="L323" s="98">
        <v>0</v>
      </c>
      <c r="M323" s="98">
        <v>0</v>
      </c>
      <c r="N323" s="98">
        <v>0</v>
      </c>
      <c r="O323" s="98">
        <v>0</v>
      </c>
      <c r="P323" s="98">
        <v>0</v>
      </c>
      <c r="Q323" s="98">
        <v>0</v>
      </c>
      <c r="R323" s="98">
        <v>0</v>
      </c>
      <c r="S323" s="98">
        <v>0</v>
      </c>
      <c r="T323" s="98">
        <f>T324</f>
        <v>3606258</v>
      </c>
      <c r="U323" s="98">
        <v>0</v>
      </c>
      <c r="V323" s="98">
        <v>0</v>
      </c>
      <c r="X323" s="404">
        <f>'Приложение 1'!T320</f>
        <v>0</v>
      </c>
      <c r="Y323" s="404" t="e">
        <f t="shared" si="37"/>
        <v>#DIV/0!</v>
      </c>
      <c r="Z323" s="19" t="e">
        <f t="shared" si="38"/>
        <v>#DIV/0!</v>
      </c>
    </row>
    <row r="324" spans="1:26" s="27" customFormat="1" ht="9" customHeight="1">
      <c r="A324" s="99">
        <v>230</v>
      </c>
      <c r="B324" s="96" t="s">
        <v>26</v>
      </c>
      <c r="C324" s="58" t="s">
        <v>1013</v>
      </c>
      <c r="D324" s="58"/>
      <c r="E324" s="98">
        <f>F324+H324+L324+N324+P324+R324+S324+T324+U324+V324</f>
        <v>3606258</v>
      </c>
      <c r="F324" s="98">
        <v>0</v>
      </c>
      <c r="G324" s="17">
        <v>0</v>
      </c>
      <c r="H324" s="98">
        <v>0</v>
      </c>
      <c r="I324" s="98">
        <v>0</v>
      </c>
      <c r="J324" s="98" t="s">
        <v>377</v>
      </c>
      <c r="K324" s="98">
        <v>3762</v>
      </c>
      <c r="L324" s="111">
        <v>0</v>
      </c>
      <c r="M324" s="98">
        <v>0</v>
      </c>
      <c r="N324" s="98">
        <v>0</v>
      </c>
      <c r="O324" s="98">
        <v>0</v>
      </c>
      <c r="P324" s="98">
        <v>0</v>
      </c>
      <c r="Q324" s="98">
        <v>0</v>
      </c>
      <c r="R324" s="98">
        <v>0</v>
      </c>
      <c r="S324" s="98">
        <v>0</v>
      </c>
      <c r="T324" s="98">
        <v>3606258</v>
      </c>
      <c r="U324" s="98">
        <v>0</v>
      </c>
      <c r="V324" s="98">
        <v>0</v>
      </c>
      <c r="X324" s="404">
        <f>'Приложение 1'!T321</f>
        <v>4733.8500000000004</v>
      </c>
      <c r="Y324" s="404">
        <f>T324/796.4</f>
        <v>4528.1993972877954</v>
      </c>
      <c r="Z324" s="19">
        <f t="shared" si="38"/>
        <v>205.650602712205</v>
      </c>
    </row>
    <row r="325" spans="1:26" s="27" customFormat="1" ht="11.25" customHeight="1">
      <c r="A325" s="883" t="s">
        <v>429</v>
      </c>
      <c r="B325" s="883"/>
      <c r="C325" s="883"/>
      <c r="D325" s="883"/>
      <c r="E325" s="883"/>
      <c r="F325" s="883"/>
      <c r="G325" s="883"/>
      <c r="H325" s="883"/>
      <c r="I325" s="883"/>
      <c r="J325" s="883"/>
      <c r="K325" s="883"/>
      <c r="L325" s="883"/>
      <c r="M325" s="883"/>
      <c r="N325" s="883"/>
      <c r="O325" s="883"/>
      <c r="P325" s="883"/>
      <c r="Q325" s="883"/>
      <c r="R325" s="883"/>
      <c r="S325" s="883"/>
      <c r="T325" s="883"/>
      <c r="U325" s="883"/>
      <c r="V325" s="883"/>
      <c r="X325" s="404">
        <f>'Приложение 1'!T322</f>
        <v>0</v>
      </c>
      <c r="Y325" s="404" t="e">
        <f t="shared" si="37"/>
        <v>#DIV/0!</v>
      </c>
      <c r="Z325" s="19" t="e">
        <f t="shared" si="38"/>
        <v>#DIV/0!</v>
      </c>
    </row>
    <row r="326" spans="1:26" s="27" customFormat="1" ht="24" customHeight="1">
      <c r="A326" s="881" t="s">
        <v>456</v>
      </c>
      <c r="B326" s="881"/>
      <c r="C326" s="58"/>
      <c r="D326" s="58"/>
      <c r="E326" s="98">
        <f>SUM(E327:E328)</f>
        <v>2901974.3200000003</v>
      </c>
      <c r="F326" s="98">
        <v>0</v>
      </c>
      <c r="G326" s="17">
        <v>0</v>
      </c>
      <c r="H326" s="98">
        <v>0</v>
      </c>
      <c r="I326" s="19">
        <f>SUM(I327:I328)</f>
        <v>741.33999999999992</v>
      </c>
      <c r="J326" s="19"/>
      <c r="K326" s="19"/>
      <c r="L326" s="98">
        <f>SUM(L327:L328)</f>
        <v>2901974.3200000003</v>
      </c>
      <c r="M326" s="19">
        <v>0</v>
      </c>
      <c r="N326" s="98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X326" s="404">
        <f>'Приложение 1'!T323</f>
        <v>0</v>
      </c>
      <c r="Y326" s="404">
        <f t="shared" si="37"/>
        <v>3914.4985027113075</v>
      </c>
      <c r="Z326" s="19">
        <f t="shared" si="38"/>
        <v>-3914.4985027113075</v>
      </c>
    </row>
    <row r="327" spans="1:26" s="27" customFormat="1" ht="9" customHeight="1">
      <c r="A327" s="99">
        <v>231</v>
      </c>
      <c r="B327" s="96" t="s">
        <v>27</v>
      </c>
      <c r="C327" s="58" t="s">
        <v>1006</v>
      </c>
      <c r="D327" s="58"/>
      <c r="E327" s="98">
        <f>F327+H327+L327+N327+P327+R327+S327+T327+U327+V327</f>
        <v>1551397.34</v>
      </c>
      <c r="F327" s="98">
        <v>0</v>
      </c>
      <c r="G327" s="17">
        <v>0</v>
      </c>
      <c r="H327" s="98">
        <v>0</v>
      </c>
      <c r="I327" s="19">
        <v>365.4</v>
      </c>
      <c r="J327" s="98" t="s">
        <v>111</v>
      </c>
      <c r="K327" s="98">
        <v>3438.05</v>
      </c>
      <c r="L327" s="98">
        <v>1551397.34</v>
      </c>
      <c r="M327" s="19">
        <v>0</v>
      </c>
      <c r="N327" s="98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X327" s="404">
        <f>'Приложение 1'!T324</f>
        <v>4503.95</v>
      </c>
      <c r="Y327" s="404">
        <f t="shared" si="37"/>
        <v>4245.7507936507945</v>
      </c>
      <c r="Z327" s="19">
        <f t="shared" si="38"/>
        <v>258.19920634920527</v>
      </c>
    </row>
    <row r="328" spans="1:26" s="27" customFormat="1" ht="9" customHeight="1">
      <c r="A328" s="116">
        <v>232</v>
      </c>
      <c r="B328" s="114" t="s">
        <v>28</v>
      </c>
      <c r="C328" s="58" t="s">
        <v>1006</v>
      </c>
      <c r="D328" s="58"/>
      <c r="E328" s="115">
        <f>F328+H328+L328+N328+P328+R328+S328+T328+U328+V328</f>
        <v>1350576.98</v>
      </c>
      <c r="F328" s="115">
        <v>0</v>
      </c>
      <c r="G328" s="17">
        <v>0</v>
      </c>
      <c r="H328" s="115">
        <v>0</v>
      </c>
      <c r="I328" s="19">
        <v>375.94</v>
      </c>
      <c r="J328" s="115" t="s">
        <v>111</v>
      </c>
      <c r="K328" s="115">
        <v>3438.05</v>
      </c>
      <c r="L328" s="115">
        <v>1350576.98</v>
      </c>
      <c r="M328" s="19">
        <v>0</v>
      </c>
      <c r="N328" s="115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X328" s="404">
        <f>'Приложение 1'!T325</f>
        <v>4503.95</v>
      </c>
      <c r="Y328" s="404">
        <f t="shared" si="37"/>
        <v>3592.5333297866682</v>
      </c>
      <c r="Z328" s="19">
        <f t="shared" si="38"/>
        <v>911.4166702133316</v>
      </c>
    </row>
    <row r="329" spans="1:26" s="27" customFormat="1" ht="11.25" customHeight="1">
      <c r="A329" s="883" t="s">
        <v>29</v>
      </c>
      <c r="B329" s="883"/>
      <c r="C329" s="883"/>
      <c r="D329" s="883"/>
      <c r="E329" s="883"/>
      <c r="F329" s="883"/>
      <c r="G329" s="883"/>
      <c r="H329" s="883"/>
      <c r="I329" s="883"/>
      <c r="J329" s="883"/>
      <c r="K329" s="883"/>
      <c r="L329" s="883"/>
      <c r="M329" s="883"/>
      <c r="N329" s="883"/>
      <c r="O329" s="883"/>
      <c r="P329" s="883"/>
      <c r="Q329" s="883"/>
      <c r="R329" s="883"/>
      <c r="S329" s="883"/>
      <c r="T329" s="883"/>
      <c r="U329" s="883"/>
      <c r="V329" s="883"/>
      <c r="X329" s="404">
        <f>'Приложение 1'!T326</f>
        <v>0</v>
      </c>
      <c r="Y329" s="404" t="e">
        <f t="shared" si="37"/>
        <v>#DIV/0!</v>
      </c>
      <c r="Z329" s="19" t="e">
        <f t="shared" si="38"/>
        <v>#DIV/0!</v>
      </c>
    </row>
    <row r="330" spans="1:26" s="27" customFormat="1" ht="21" customHeight="1">
      <c r="A330" s="881" t="s">
        <v>30</v>
      </c>
      <c r="B330" s="881"/>
      <c r="C330" s="58"/>
      <c r="D330" s="58"/>
      <c r="E330" s="98">
        <f>SUM(E331:E334)</f>
        <v>4866311.3499999996</v>
      </c>
      <c r="F330" s="98">
        <v>0</v>
      </c>
      <c r="G330" s="17">
        <v>0</v>
      </c>
      <c r="H330" s="98">
        <v>0</v>
      </c>
      <c r="I330" s="98">
        <f>SUM(I331:I334)</f>
        <v>1380.8</v>
      </c>
      <c r="J330" s="98"/>
      <c r="K330" s="98"/>
      <c r="L330" s="98">
        <f>SUM(L331:L334)</f>
        <v>4866311.3499999996</v>
      </c>
      <c r="M330" s="98">
        <v>0</v>
      </c>
      <c r="N330" s="98">
        <v>0</v>
      </c>
      <c r="O330" s="98">
        <v>0</v>
      </c>
      <c r="P330" s="98">
        <v>0</v>
      </c>
      <c r="Q330" s="98">
        <v>0</v>
      </c>
      <c r="R330" s="98">
        <v>0</v>
      </c>
      <c r="S330" s="98">
        <v>0</v>
      </c>
      <c r="T330" s="98">
        <v>0</v>
      </c>
      <c r="U330" s="98">
        <v>0</v>
      </c>
      <c r="V330" s="98">
        <v>0</v>
      </c>
      <c r="X330" s="404">
        <f>'Приложение 1'!T327</f>
        <v>0</v>
      </c>
      <c r="Y330" s="404">
        <f t="shared" si="37"/>
        <v>3524.2695176709153</v>
      </c>
      <c r="Z330" s="19">
        <f t="shared" si="38"/>
        <v>-3524.2695176709153</v>
      </c>
    </row>
    <row r="331" spans="1:26" s="27" customFormat="1" ht="9" customHeight="1">
      <c r="A331" s="99">
        <v>233</v>
      </c>
      <c r="B331" s="96" t="s">
        <v>31</v>
      </c>
      <c r="C331" s="58" t="s">
        <v>1006</v>
      </c>
      <c r="D331" s="58"/>
      <c r="E331" s="98">
        <f>F331+H331+L331+N331+P331+R331+S331+T331+U331+V331</f>
        <v>1578037.99</v>
      </c>
      <c r="F331" s="98">
        <v>0</v>
      </c>
      <c r="G331" s="17">
        <v>0</v>
      </c>
      <c r="H331" s="98">
        <v>0</v>
      </c>
      <c r="I331" s="98">
        <v>445</v>
      </c>
      <c r="J331" s="98" t="s">
        <v>111</v>
      </c>
      <c r="K331" s="98">
        <v>3438.05</v>
      </c>
      <c r="L331" s="98">
        <v>1578037.99</v>
      </c>
      <c r="M331" s="98">
        <v>0</v>
      </c>
      <c r="N331" s="98">
        <v>0</v>
      </c>
      <c r="O331" s="98">
        <v>0</v>
      </c>
      <c r="P331" s="98">
        <v>0</v>
      </c>
      <c r="Q331" s="98">
        <v>0</v>
      </c>
      <c r="R331" s="98">
        <v>0</v>
      </c>
      <c r="S331" s="98">
        <v>0</v>
      </c>
      <c r="T331" s="98">
        <v>0</v>
      </c>
      <c r="U331" s="98">
        <v>0</v>
      </c>
      <c r="V331" s="98">
        <v>0</v>
      </c>
      <c r="X331" s="404">
        <f>'Приложение 1'!T328</f>
        <v>4503.95</v>
      </c>
      <c r="Y331" s="404">
        <f t="shared" si="37"/>
        <v>3546.1527865168541</v>
      </c>
      <c r="Z331" s="19">
        <f t="shared" si="38"/>
        <v>957.7972134831457</v>
      </c>
    </row>
    <row r="332" spans="1:26" s="27" customFormat="1" ht="9" customHeight="1">
      <c r="A332" s="99">
        <v>234</v>
      </c>
      <c r="B332" s="96" t="s">
        <v>32</v>
      </c>
      <c r="C332" s="58" t="s">
        <v>1006</v>
      </c>
      <c r="D332" s="58"/>
      <c r="E332" s="98">
        <f>F332+H332+L332+N332+P332+R332+S332+T332+U332+V332</f>
        <v>1647365.1099999999</v>
      </c>
      <c r="F332" s="98">
        <v>0</v>
      </c>
      <c r="G332" s="17">
        <v>0</v>
      </c>
      <c r="H332" s="98">
        <v>0</v>
      </c>
      <c r="I332" s="98">
        <v>475.8</v>
      </c>
      <c r="J332" s="98" t="s">
        <v>111</v>
      </c>
      <c r="K332" s="98">
        <v>3438.05</v>
      </c>
      <c r="L332" s="98">
        <v>1647365.1099999999</v>
      </c>
      <c r="M332" s="98">
        <v>0</v>
      </c>
      <c r="N332" s="98">
        <v>0</v>
      </c>
      <c r="O332" s="98">
        <v>0</v>
      </c>
      <c r="P332" s="98">
        <v>0</v>
      </c>
      <c r="Q332" s="98">
        <v>0</v>
      </c>
      <c r="R332" s="98">
        <v>0</v>
      </c>
      <c r="S332" s="98">
        <v>0</v>
      </c>
      <c r="T332" s="98">
        <v>0</v>
      </c>
      <c r="U332" s="98">
        <v>0</v>
      </c>
      <c r="V332" s="98">
        <v>0</v>
      </c>
      <c r="X332" s="404">
        <f>'Приложение 1'!T329</f>
        <v>4503.95</v>
      </c>
      <c r="Y332" s="404">
        <f t="shared" si="37"/>
        <v>3462.3058217738544</v>
      </c>
      <c r="Z332" s="19">
        <f t="shared" si="38"/>
        <v>1041.6441782261454</v>
      </c>
    </row>
    <row r="333" spans="1:26" s="27" customFormat="1" ht="9" customHeight="1">
      <c r="A333" s="502">
        <v>235</v>
      </c>
      <c r="B333" s="96" t="s">
        <v>33</v>
      </c>
      <c r="C333" s="58" t="s">
        <v>1006</v>
      </c>
      <c r="D333" s="58"/>
      <c r="E333" s="98">
        <f>F333+H333+L333+N333+P333+R333+S333+T333+U333+V333</f>
        <v>729456.35</v>
      </c>
      <c r="F333" s="98">
        <v>0</v>
      </c>
      <c r="G333" s="17">
        <v>0</v>
      </c>
      <c r="H333" s="98">
        <v>0</v>
      </c>
      <c r="I333" s="98">
        <v>207</v>
      </c>
      <c r="J333" s="98" t="s">
        <v>111</v>
      </c>
      <c r="K333" s="98">
        <v>3438.05</v>
      </c>
      <c r="L333" s="98">
        <v>729456.35</v>
      </c>
      <c r="M333" s="98">
        <v>0</v>
      </c>
      <c r="N333" s="98">
        <v>0</v>
      </c>
      <c r="O333" s="98">
        <v>0</v>
      </c>
      <c r="P333" s="98">
        <v>0</v>
      </c>
      <c r="Q333" s="98">
        <v>0</v>
      </c>
      <c r="R333" s="98">
        <v>0</v>
      </c>
      <c r="S333" s="98">
        <v>0</v>
      </c>
      <c r="T333" s="98">
        <v>0</v>
      </c>
      <c r="U333" s="98">
        <v>0</v>
      </c>
      <c r="V333" s="98">
        <v>0</v>
      </c>
      <c r="X333" s="404">
        <f>'Приложение 1'!T330</f>
        <v>4503.95</v>
      </c>
      <c r="Y333" s="404">
        <f t="shared" si="37"/>
        <v>3523.9437198067631</v>
      </c>
      <c r="Z333" s="19">
        <f t="shared" si="38"/>
        <v>980.00628019323676</v>
      </c>
    </row>
    <row r="334" spans="1:26" s="27" customFormat="1" ht="9" customHeight="1">
      <c r="A334" s="502">
        <v>236</v>
      </c>
      <c r="B334" s="96" t="s">
        <v>34</v>
      </c>
      <c r="C334" s="58" t="s">
        <v>1006</v>
      </c>
      <c r="D334" s="58"/>
      <c r="E334" s="98">
        <f>F334+H334+L334+N334+P334+R334+S334+T334+U334+V334</f>
        <v>911451.9</v>
      </c>
      <c r="F334" s="98">
        <v>0</v>
      </c>
      <c r="G334" s="17">
        <v>0</v>
      </c>
      <c r="H334" s="98">
        <v>0</v>
      </c>
      <c r="I334" s="98">
        <v>253</v>
      </c>
      <c r="J334" s="98" t="s">
        <v>111</v>
      </c>
      <c r="K334" s="98">
        <v>3438.05</v>
      </c>
      <c r="L334" s="98">
        <v>911451.9</v>
      </c>
      <c r="M334" s="98">
        <v>0</v>
      </c>
      <c r="N334" s="98">
        <v>0</v>
      </c>
      <c r="O334" s="98">
        <v>0</v>
      </c>
      <c r="P334" s="98">
        <v>0</v>
      </c>
      <c r="Q334" s="98">
        <v>0</v>
      </c>
      <c r="R334" s="98">
        <v>0</v>
      </c>
      <c r="S334" s="98">
        <v>0</v>
      </c>
      <c r="T334" s="98">
        <v>0</v>
      </c>
      <c r="U334" s="98">
        <v>0</v>
      </c>
      <c r="V334" s="98">
        <v>0</v>
      </c>
      <c r="X334" s="404">
        <f>'Приложение 1'!T331</f>
        <v>4503.95</v>
      </c>
      <c r="Y334" s="404">
        <f t="shared" si="37"/>
        <v>3602.5766798418972</v>
      </c>
      <c r="Z334" s="19">
        <f t="shared" si="38"/>
        <v>901.37332015810262</v>
      </c>
    </row>
    <row r="335" spans="1:26" s="27" customFormat="1" ht="10.5" customHeight="1">
      <c r="A335" s="882" t="s">
        <v>35</v>
      </c>
      <c r="B335" s="882"/>
      <c r="C335" s="882"/>
      <c r="D335" s="882"/>
      <c r="E335" s="882"/>
      <c r="F335" s="882"/>
      <c r="G335" s="882"/>
      <c r="H335" s="882"/>
      <c r="I335" s="882"/>
      <c r="J335" s="882"/>
      <c r="K335" s="882"/>
      <c r="L335" s="882"/>
      <c r="M335" s="882"/>
      <c r="N335" s="882"/>
      <c r="O335" s="882"/>
      <c r="P335" s="882"/>
      <c r="Q335" s="882"/>
      <c r="R335" s="882"/>
      <c r="S335" s="882"/>
      <c r="T335" s="882"/>
      <c r="U335" s="882"/>
      <c r="V335" s="882"/>
      <c r="X335" s="404">
        <f>'Приложение 1'!T332</f>
        <v>0</v>
      </c>
      <c r="Y335" s="404" t="e">
        <f t="shared" si="37"/>
        <v>#DIV/0!</v>
      </c>
      <c r="Z335" s="19" t="e">
        <f t="shared" si="38"/>
        <v>#DIV/0!</v>
      </c>
    </row>
    <row r="336" spans="1:26" s="27" customFormat="1" ht="22.5" customHeight="1">
      <c r="A336" s="881" t="s">
        <v>36</v>
      </c>
      <c r="B336" s="881"/>
      <c r="C336" s="58"/>
      <c r="D336" s="58"/>
      <c r="E336" s="98">
        <f>SUM(E337:E339)</f>
        <v>10282222.369999999</v>
      </c>
      <c r="F336" s="22">
        <v>0</v>
      </c>
      <c r="G336" s="37">
        <v>0</v>
      </c>
      <c r="H336" s="22">
        <v>0</v>
      </c>
      <c r="I336" s="98">
        <f>SUM(I337:I339)</f>
        <v>2662</v>
      </c>
      <c r="J336" s="22"/>
      <c r="K336" s="22"/>
      <c r="L336" s="98">
        <f>SUM(L337:L339)</f>
        <v>10282222.369999999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X336" s="404">
        <f>'Приложение 1'!T333</f>
        <v>0</v>
      </c>
      <c r="Y336" s="404">
        <f t="shared" si="37"/>
        <v>3862.5929263711491</v>
      </c>
      <c r="Z336" s="19">
        <f t="shared" si="38"/>
        <v>-3862.5929263711491</v>
      </c>
    </row>
    <row r="337" spans="1:26" s="27" customFormat="1" ht="9" customHeight="1">
      <c r="A337" s="99">
        <v>237</v>
      </c>
      <c r="B337" s="96" t="s">
        <v>37</v>
      </c>
      <c r="C337" s="58" t="s">
        <v>1005</v>
      </c>
      <c r="D337" s="58"/>
      <c r="E337" s="98">
        <f>L337</f>
        <v>8244894.0599999996</v>
      </c>
      <c r="F337" s="22">
        <v>0</v>
      </c>
      <c r="G337" s="37">
        <v>0</v>
      </c>
      <c r="H337" s="22">
        <v>0</v>
      </c>
      <c r="I337" s="98">
        <v>2022</v>
      </c>
      <c r="J337" s="21" t="s">
        <v>110</v>
      </c>
      <c r="K337" s="98">
        <v>2022.07</v>
      </c>
      <c r="L337" s="98">
        <v>8244894.0599999996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X337" s="404">
        <f>'Приложение 1'!T334</f>
        <v>4180</v>
      </c>
      <c r="Y337" s="404">
        <f t="shared" si="37"/>
        <v>4077.5935014836791</v>
      </c>
      <c r="Z337" s="19">
        <f t="shared" si="38"/>
        <v>102.40649851632088</v>
      </c>
    </row>
    <row r="338" spans="1:26" s="27" customFormat="1" ht="9" customHeight="1">
      <c r="A338" s="99">
        <v>238</v>
      </c>
      <c r="B338" s="96" t="s">
        <v>38</v>
      </c>
      <c r="C338" s="58" t="s">
        <v>1006</v>
      </c>
      <c r="D338" s="58"/>
      <c r="E338" s="98">
        <f>L338</f>
        <v>799522.22</v>
      </c>
      <c r="F338" s="22">
        <v>0</v>
      </c>
      <c r="G338" s="37">
        <v>0</v>
      </c>
      <c r="H338" s="22">
        <v>0</v>
      </c>
      <c r="I338" s="98">
        <v>223</v>
      </c>
      <c r="J338" s="98" t="s">
        <v>111</v>
      </c>
      <c r="K338" s="98">
        <v>3438.05</v>
      </c>
      <c r="L338" s="98">
        <v>799522.22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X338" s="404">
        <f>'Приложение 1'!T335</f>
        <v>4503.95</v>
      </c>
      <c r="Y338" s="404">
        <f t="shared" si="37"/>
        <v>3585.3014349775785</v>
      </c>
      <c r="Z338" s="19">
        <f t="shared" si="38"/>
        <v>918.64856502242128</v>
      </c>
    </row>
    <row r="339" spans="1:26" s="27" customFormat="1" ht="9" customHeight="1">
      <c r="A339" s="99">
        <v>239</v>
      </c>
      <c r="B339" s="96" t="s">
        <v>365</v>
      </c>
      <c r="C339" s="58" t="s">
        <v>1005</v>
      </c>
      <c r="D339" s="58"/>
      <c r="E339" s="98">
        <f>L339</f>
        <v>1237806.0900000001</v>
      </c>
      <c r="F339" s="22">
        <v>0</v>
      </c>
      <c r="G339" s="37">
        <v>0</v>
      </c>
      <c r="H339" s="22">
        <v>0</v>
      </c>
      <c r="I339" s="98">
        <v>417</v>
      </c>
      <c r="J339" s="21" t="s">
        <v>110</v>
      </c>
      <c r="K339" s="98">
        <v>2022.07</v>
      </c>
      <c r="L339" s="98">
        <v>1237806.0900000001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X339" s="404">
        <f>'Приложение 1'!T336</f>
        <v>4180</v>
      </c>
      <c r="Y339" s="404">
        <f t="shared" si="37"/>
        <v>2968.359928057554</v>
      </c>
      <c r="Z339" s="19">
        <f t="shared" si="38"/>
        <v>1211.640071942446</v>
      </c>
    </row>
    <row r="340" spans="1:26" s="27" customFormat="1" ht="11.25" customHeight="1">
      <c r="A340" s="882" t="s">
        <v>40</v>
      </c>
      <c r="B340" s="882"/>
      <c r="C340" s="882"/>
      <c r="D340" s="882"/>
      <c r="E340" s="882"/>
      <c r="F340" s="882"/>
      <c r="G340" s="882"/>
      <c r="H340" s="882"/>
      <c r="I340" s="882"/>
      <c r="J340" s="882"/>
      <c r="K340" s="882"/>
      <c r="L340" s="882"/>
      <c r="M340" s="882"/>
      <c r="N340" s="882"/>
      <c r="O340" s="882"/>
      <c r="P340" s="882"/>
      <c r="Q340" s="882"/>
      <c r="R340" s="882"/>
      <c r="S340" s="882"/>
      <c r="T340" s="882"/>
      <c r="U340" s="882"/>
      <c r="V340" s="882"/>
      <c r="X340" s="404">
        <f>'Приложение 1'!T337</f>
        <v>0</v>
      </c>
      <c r="Y340" s="404" t="e">
        <f t="shared" si="37"/>
        <v>#DIV/0!</v>
      </c>
      <c r="Z340" s="19" t="e">
        <f t="shared" si="38"/>
        <v>#DIV/0!</v>
      </c>
    </row>
    <row r="341" spans="1:26" s="27" customFormat="1" ht="21" customHeight="1">
      <c r="A341" s="881" t="s">
        <v>39</v>
      </c>
      <c r="B341" s="881"/>
      <c r="C341" s="58"/>
      <c r="D341" s="58"/>
      <c r="E341" s="98">
        <f>SUM(E342:E343)</f>
        <v>4840895.9399999995</v>
      </c>
      <c r="F341" s="98">
        <f t="shared" ref="F341:V341" si="44">SUM(F342:F343)</f>
        <v>2772758.46</v>
      </c>
      <c r="G341" s="8">
        <f t="shared" si="44"/>
        <v>0</v>
      </c>
      <c r="H341" s="98">
        <f t="shared" si="44"/>
        <v>0</v>
      </c>
      <c r="I341" s="98">
        <f t="shared" si="44"/>
        <v>545.82000000000005</v>
      </c>
      <c r="J341" s="98">
        <f t="shared" si="44"/>
        <v>0</v>
      </c>
      <c r="K341" s="98">
        <f t="shared" si="44"/>
        <v>5402.65</v>
      </c>
      <c r="L341" s="98">
        <f t="shared" si="44"/>
        <v>2068137.48</v>
      </c>
      <c r="M341" s="98">
        <f t="shared" si="44"/>
        <v>0</v>
      </c>
      <c r="N341" s="98">
        <f t="shared" si="44"/>
        <v>0</v>
      </c>
      <c r="O341" s="98">
        <f t="shared" si="44"/>
        <v>0</v>
      </c>
      <c r="P341" s="98">
        <f t="shared" si="44"/>
        <v>0</v>
      </c>
      <c r="Q341" s="98">
        <f t="shared" si="44"/>
        <v>0</v>
      </c>
      <c r="R341" s="98">
        <f t="shared" si="44"/>
        <v>0</v>
      </c>
      <c r="S341" s="98">
        <f t="shared" si="44"/>
        <v>0</v>
      </c>
      <c r="T341" s="98">
        <f t="shared" si="44"/>
        <v>0</v>
      </c>
      <c r="U341" s="98">
        <f t="shared" si="44"/>
        <v>0</v>
      </c>
      <c r="V341" s="98">
        <f t="shared" si="44"/>
        <v>0</v>
      </c>
      <c r="X341" s="404">
        <f>'Приложение 1'!T338</f>
        <v>0</v>
      </c>
      <c r="Y341" s="404">
        <f t="shared" si="37"/>
        <v>3789.0467186984715</v>
      </c>
      <c r="Z341" s="19">
        <f t="shared" si="38"/>
        <v>-3789.0467186984715</v>
      </c>
    </row>
    <row r="342" spans="1:26" s="27" customFormat="1" ht="9" customHeight="1">
      <c r="A342" s="99">
        <v>240</v>
      </c>
      <c r="B342" s="96" t="s">
        <v>43</v>
      </c>
      <c r="C342" s="58" t="s">
        <v>1006</v>
      </c>
      <c r="D342" s="58"/>
      <c r="E342" s="98">
        <f>F342+H342+L342+N342+P342+R342+S342+T342+U342+V342</f>
        <v>2068137.48</v>
      </c>
      <c r="F342" s="98">
        <v>0</v>
      </c>
      <c r="G342" s="17">
        <v>0</v>
      </c>
      <c r="H342" s="98">
        <v>0</v>
      </c>
      <c r="I342" s="98">
        <v>545.82000000000005</v>
      </c>
      <c r="J342" s="98" t="s">
        <v>111</v>
      </c>
      <c r="K342" s="98">
        <v>3438.05</v>
      </c>
      <c r="L342" s="98">
        <v>2068137.48</v>
      </c>
      <c r="M342" s="98">
        <v>0</v>
      </c>
      <c r="N342" s="98">
        <v>0</v>
      </c>
      <c r="O342" s="98">
        <v>0</v>
      </c>
      <c r="P342" s="98">
        <v>0</v>
      </c>
      <c r="Q342" s="98">
        <v>0</v>
      </c>
      <c r="R342" s="98">
        <v>0</v>
      </c>
      <c r="S342" s="98">
        <v>0</v>
      </c>
      <c r="T342" s="98">
        <v>0</v>
      </c>
      <c r="U342" s="98">
        <v>0</v>
      </c>
      <c r="V342" s="98">
        <v>0</v>
      </c>
      <c r="X342" s="404">
        <f>'Приложение 1'!T339</f>
        <v>4503.95</v>
      </c>
      <c r="Y342" s="404">
        <f t="shared" si="37"/>
        <v>3789.0467186984715</v>
      </c>
      <c r="Z342" s="19">
        <f t="shared" si="38"/>
        <v>714.9032813015283</v>
      </c>
    </row>
    <row r="343" spans="1:26" s="27" customFormat="1" ht="9" customHeight="1">
      <c r="A343" s="99">
        <v>241</v>
      </c>
      <c r="B343" s="96" t="s">
        <v>41</v>
      </c>
      <c r="C343" s="58" t="s">
        <v>1008</v>
      </c>
      <c r="D343" s="58"/>
      <c r="E343" s="98">
        <f>F343+H343+L343+N343+P343+R343+S343+T343+U343+V343</f>
        <v>2772758.46</v>
      </c>
      <c r="F343" s="98">
        <v>2772758.46</v>
      </c>
      <c r="G343" s="17">
        <v>0</v>
      </c>
      <c r="H343" s="98">
        <v>0</v>
      </c>
      <c r="I343" s="98">
        <v>0</v>
      </c>
      <c r="J343" s="98" t="s">
        <v>229</v>
      </c>
      <c r="K343" s="98">
        <f>(200+1060+170+260+190)*1.045</f>
        <v>1964.6</v>
      </c>
      <c r="L343" s="98">
        <v>0</v>
      </c>
      <c r="M343" s="98">
        <v>0</v>
      </c>
      <c r="N343" s="98">
        <v>0</v>
      </c>
      <c r="O343" s="98">
        <v>0</v>
      </c>
      <c r="P343" s="98">
        <v>0</v>
      </c>
      <c r="Q343" s="98">
        <v>0</v>
      </c>
      <c r="R343" s="98">
        <v>0</v>
      </c>
      <c r="S343" s="98">
        <v>0</v>
      </c>
      <c r="T343" s="98">
        <v>0</v>
      </c>
      <c r="U343" s="98">
        <v>0</v>
      </c>
      <c r="V343" s="98">
        <v>0</v>
      </c>
      <c r="W343" s="32"/>
      <c r="X343" s="404">
        <f>'Приложение 1'!T340</f>
        <v>4984.6499999999996</v>
      </c>
      <c r="Y343" s="404" t="e">
        <f t="shared" ref="Y343:Y357" si="45">L343/I343</f>
        <v>#DIV/0!</v>
      </c>
      <c r="Z343" s="19" t="e">
        <f t="shared" ref="Z343:Z406" si="46">X343-Y343</f>
        <v>#DIV/0!</v>
      </c>
    </row>
    <row r="344" spans="1:26" s="27" customFormat="1" ht="11.25" customHeight="1">
      <c r="A344" s="882" t="s">
        <v>45</v>
      </c>
      <c r="B344" s="882"/>
      <c r="C344" s="882"/>
      <c r="D344" s="882"/>
      <c r="E344" s="882"/>
      <c r="F344" s="882"/>
      <c r="G344" s="882"/>
      <c r="H344" s="882"/>
      <c r="I344" s="882"/>
      <c r="J344" s="882"/>
      <c r="K344" s="882"/>
      <c r="L344" s="882"/>
      <c r="M344" s="882"/>
      <c r="N344" s="882"/>
      <c r="O344" s="882"/>
      <c r="P344" s="882"/>
      <c r="Q344" s="882"/>
      <c r="R344" s="882"/>
      <c r="S344" s="882"/>
      <c r="T344" s="882"/>
      <c r="U344" s="882"/>
      <c r="V344" s="882"/>
      <c r="X344" s="404">
        <f>'Приложение 1'!T341</f>
        <v>0</v>
      </c>
      <c r="Y344" s="404" t="e">
        <f t="shared" si="45"/>
        <v>#DIV/0!</v>
      </c>
      <c r="Z344" s="19" t="e">
        <f t="shared" si="46"/>
        <v>#DIV/0!</v>
      </c>
    </row>
    <row r="345" spans="1:26" s="27" customFormat="1" ht="20.25" customHeight="1">
      <c r="A345" s="881" t="s">
        <v>44</v>
      </c>
      <c r="B345" s="881"/>
      <c r="C345" s="58"/>
      <c r="D345" s="58"/>
      <c r="E345" s="98">
        <f>SUM(E346:E359)</f>
        <v>28823701.019999996</v>
      </c>
      <c r="F345" s="98">
        <v>0</v>
      </c>
      <c r="G345" s="17">
        <v>0</v>
      </c>
      <c r="H345" s="98">
        <v>0</v>
      </c>
      <c r="I345" s="98">
        <f>SUM(I346:I359)</f>
        <v>8442.0600000000013</v>
      </c>
      <c r="J345" s="98"/>
      <c r="K345" s="98"/>
      <c r="L345" s="98">
        <f>SUM(L346:L359)</f>
        <v>28823701.019999996</v>
      </c>
      <c r="M345" s="98">
        <v>0</v>
      </c>
      <c r="N345" s="98">
        <v>0</v>
      </c>
      <c r="O345" s="98">
        <v>0</v>
      </c>
      <c r="P345" s="98">
        <v>0</v>
      </c>
      <c r="Q345" s="98">
        <v>0</v>
      </c>
      <c r="R345" s="98">
        <v>0</v>
      </c>
      <c r="S345" s="98">
        <v>0</v>
      </c>
      <c r="T345" s="98">
        <v>0</v>
      </c>
      <c r="U345" s="98">
        <v>0</v>
      </c>
      <c r="V345" s="98">
        <v>0</v>
      </c>
      <c r="X345" s="404">
        <f>'Приложение 1'!T342</f>
        <v>0</v>
      </c>
      <c r="Y345" s="404">
        <f t="shared" si="45"/>
        <v>3414.2971052089174</v>
      </c>
      <c r="Z345" s="19">
        <f t="shared" si="46"/>
        <v>-3414.2971052089174</v>
      </c>
    </row>
    <row r="346" spans="1:26" s="27" customFormat="1" ht="9" customHeight="1">
      <c r="A346" s="99">
        <v>242</v>
      </c>
      <c r="B346" s="96" t="s">
        <v>46</v>
      </c>
      <c r="C346" s="58" t="s">
        <v>1006</v>
      </c>
      <c r="D346" s="58"/>
      <c r="E346" s="98">
        <f t="shared" ref="E346:E359" si="47">F346+H346+L346+N346+P346+R346+S346+T346+U346+V346</f>
        <v>1720751.65</v>
      </c>
      <c r="F346" s="98">
        <v>0</v>
      </c>
      <c r="G346" s="17">
        <v>0</v>
      </c>
      <c r="H346" s="98">
        <v>0</v>
      </c>
      <c r="I346" s="98">
        <v>568.29999999999995</v>
      </c>
      <c r="J346" s="98" t="s">
        <v>111</v>
      </c>
      <c r="K346" s="98">
        <v>3438.05</v>
      </c>
      <c r="L346" s="98">
        <v>1720751.65</v>
      </c>
      <c r="M346" s="98">
        <v>0</v>
      </c>
      <c r="N346" s="98">
        <v>0</v>
      </c>
      <c r="O346" s="98">
        <v>0</v>
      </c>
      <c r="P346" s="98">
        <v>0</v>
      </c>
      <c r="Q346" s="98">
        <v>0</v>
      </c>
      <c r="R346" s="98">
        <v>0</v>
      </c>
      <c r="S346" s="98">
        <v>0</v>
      </c>
      <c r="T346" s="98">
        <v>0</v>
      </c>
      <c r="U346" s="98">
        <v>0</v>
      </c>
      <c r="V346" s="98">
        <v>0</v>
      </c>
      <c r="X346" s="404">
        <f>'Приложение 1'!T343</f>
        <v>4503.95</v>
      </c>
      <c r="Y346" s="404">
        <f>L346/I346</f>
        <v>3027.8931022347351</v>
      </c>
      <c r="Z346" s="19">
        <f t="shared" si="46"/>
        <v>1476.0568977652647</v>
      </c>
    </row>
    <row r="347" spans="1:26" s="27" customFormat="1" ht="9" customHeight="1">
      <c r="A347" s="99">
        <v>243</v>
      </c>
      <c r="B347" s="96" t="s">
        <v>47</v>
      </c>
      <c r="C347" s="58" t="s">
        <v>1006</v>
      </c>
      <c r="D347" s="58"/>
      <c r="E347" s="98">
        <f t="shared" si="47"/>
        <v>1370972.8199999998</v>
      </c>
      <c r="F347" s="98">
        <v>0</v>
      </c>
      <c r="G347" s="17">
        <v>0</v>
      </c>
      <c r="H347" s="98">
        <v>0</v>
      </c>
      <c r="I347" s="98">
        <v>414.88</v>
      </c>
      <c r="J347" s="98" t="s">
        <v>111</v>
      </c>
      <c r="K347" s="98">
        <v>3438.05</v>
      </c>
      <c r="L347" s="98">
        <v>1370972.8199999998</v>
      </c>
      <c r="M347" s="98">
        <v>0</v>
      </c>
      <c r="N347" s="98">
        <v>0</v>
      </c>
      <c r="O347" s="98">
        <v>0</v>
      </c>
      <c r="P347" s="98">
        <v>0</v>
      </c>
      <c r="Q347" s="98">
        <v>0</v>
      </c>
      <c r="R347" s="98">
        <v>0</v>
      </c>
      <c r="S347" s="98">
        <v>0</v>
      </c>
      <c r="T347" s="98">
        <v>0</v>
      </c>
      <c r="U347" s="98">
        <v>0</v>
      </c>
      <c r="V347" s="98">
        <v>0</v>
      </c>
      <c r="X347" s="404">
        <f>'Приложение 1'!T344</f>
        <v>4503.95</v>
      </c>
      <c r="Y347" s="404">
        <f t="shared" si="45"/>
        <v>3304.5044832240646</v>
      </c>
      <c r="Z347" s="19">
        <f t="shared" si="46"/>
        <v>1199.4455167759352</v>
      </c>
    </row>
    <row r="348" spans="1:26" s="27" customFormat="1" ht="9" customHeight="1">
      <c r="A348" s="502">
        <v>244</v>
      </c>
      <c r="B348" s="96" t="s">
        <v>48</v>
      </c>
      <c r="C348" s="58" t="s">
        <v>1006</v>
      </c>
      <c r="D348" s="58"/>
      <c r="E348" s="98">
        <f t="shared" si="47"/>
        <v>2079205.7999999998</v>
      </c>
      <c r="F348" s="98">
        <v>0</v>
      </c>
      <c r="G348" s="17">
        <v>0</v>
      </c>
      <c r="H348" s="98">
        <v>0</v>
      </c>
      <c r="I348" s="98">
        <v>592.76</v>
      </c>
      <c r="J348" s="98" t="s">
        <v>111</v>
      </c>
      <c r="K348" s="98">
        <v>3438.05</v>
      </c>
      <c r="L348" s="98">
        <v>2079205.7999999998</v>
      </c>
      <c r="M348" s="98">
        <v>0</v>
      </c>
      <c r="N348" s="98">
        <v>0</v>
      </c>
      <c r="O348" s="98">
        <v>0</v>
      </c>
      <c r="P348" s="98">
        <v>0</v>
      </c>
      <c r="Q348" s="98">
        <v>0</v>
      </c>
      <c r="R348" s="98">
        <v>0</v>
      </c>
      <c r="S348" s="98">
        <v>0</v>
      </c>
      <c r="T348" s="98">
        <v>0</v>
      </c>
      <c r="U348" s="98">
        <v>0</v>
      </c>
      <c r="V348" s="98">
        <v>0</v>
      </c>
      <c r="X348" s="404">
        <f>'Приложение 1'!T345</f>
        <v>4503.95</v>
      </c>
      <c r="Y348" s="404">
        <f t="shared" si="45"/>
        <v>3507.6688710439298</v>
      </c>
      <c r="Z348" s="19">
        <f t="shared" si="46"/>
        <v>996.28112895607001</v>
      </c>
    </row>
    <row r="349" spans="1:26" s="27" customFormat="1" ht="9" customHeight="1">
      <c r="A349" s="502">
        <v>245</v>
      </c>
      <c r="B349" s="96" t="s">
        <v>59</v>
      </c>
      <c r="C349" s="58" t="s">
        <v>1005</v>
      </c>
      <c r="D349" s="58"/>
      <c r="E349" s="98">
        <f t="shared" si="47"/>
        <v>3171266.41</v>
      </c>
      <c r="F349" s="98">
        <v>0</v>
      </c>
      <c r="G349" s="17">
        <v>0</v>
      </c>
      <c r="H349" s="98">
        <v>0</v>
      </c>
      <c r="I349" s="98">
        <v>911</v>
      </c>
      <c r="J349" s="21" t="s">
        <v>110</v>
      </c>
      <c r="K349" s="98">
        <v>2022.07</v>
      </c>
      <c r="L349" s="98">
        <v>3171266.41</v>
      </c>
      <c r="M349" s="98">
        <v>0</v>
      </c>
      <c r="N349" s="98">
        <v>0</v>
      </c>
      <c r="O349" s="98">
        <v>0</v>
      </c>
      <c r="P349" s="98">
        <v>0</v>
      </c>
      <c r="Q349" s="98">
        <v>0</v>
      </c>
      <c r="R349" s="98">
        <v>0</v>
      </c>
      <c r="S349" s="98">
        <v>0</v>
      </c>
      <c r="T349" s="98">
        <v>0</v>
      </c>
      <c r="U349" s="98">
        <v>0</v>
      </c>
      <c r="V349" s="98">
        <v>0</v>
      </c>
      <c r="X349" s="404">
        <f>'Приложение 1'!T346</f>
        <v>4180</v>
      </c>
      <c r="Y349" s="404">
        <f t="shared" si="45"/>
        <v>3481.0827771679474</v>
      </c>
      <c r="Z349" s="19">
        <f t="shared" si="46"/>
        <v>698.91722283205263</v>
      </c>
    </row>
    <row r="350" spans="1:26" s="27" customFormat="1" ht="9" customHeight="1">
      <c r="A350" s="502">
        <v>246</v>
      </c>
      <c r="B350" s="96" t="s">
        <v>49</v>
      </c>
      <c r="C350" s="58" t="s">
        <v>1005</v>
      </c>
      <c r="D350" s="58"/>
      <c r="E350" s="98">
        <f t="shared" si="47"/>
        <v>3050452.81</v>
      </c>
      <c r="F350" s="98">
        <v>0</v>
      </c>
      <c r="G350" s="17">
        <v>0</v>
      </c>
      <c r="H350" s="98">
        <v>0</v>
      </c>
      <c r="I350" s="98">
        <v>938</v>
      </c>
      <c r="J350" s="21" t="s">
        <v>110</v>
      </c>
      <c r="K350" s="98">
        <v>2022.07</v>
      </c>
      <c r="L350" s="98">
        <v>3050452.81</v>
      </c>
      <c r="M350" s="98">
        <v>0</v>
      </c>
      <c r="N350" s="98">
        <v>0</v>
      </c>
      <c r="O350" s="98">
        <v>0</v>
      </c>
      <c r="P350" s="98">
        <v>0</v>
      </c>
      <c r="Q350" s="98">
        <v>0</v>
      </c>
      <c r="R350" s="98">
        <v>0</v>
      </c>
      <c r="S350" s="98">
        <v>0</v>
      </c>
      <c r="T350" s="98">
        <v>0</v>
      </c>
      <c r="U350" s="98">
        <v>0</v>
      </c>
      <c r="V350" s="98">
        <v>0</v>
      </c>
      <c r="X350" s="404">
        <f>'Приложение 1'!T347</f>
        <v>4180</v>
      </c>
      <c r="Y350" s="404">
        <f t="shared" si="45"/>
        <v>3252.0818869936033</v>
      </c>
      <c r="Z350" s="19">
        <f t="shared" si="46"/>
        <v>927.91811300639665</v>
      </c>
    </row>
    <row r="351" spans="1:26" s="27" customFormat="1" ht="9" customHeight="1">
      <c r="A351" s="502">
        <v>247</v>
      </c>
      <c r="B351" s="96" t="s">
        <v>56</v>
      </c>
      <c r="C351" s="58" t="s">
        <v>1006</v>
      </c>
      <c r="D351" s="58"/>
      <c r="E351" s="98">
        <f t="shared" si="47"/>
        <v>1651139.81</v>
      </c>
      <c r="F351" s="98">
        <v>0</v>
      </c>
      <c r="G351" s="17">
        <v>0</v>
      </c>
      <c r="H351" s="98">
        <v>0</v>
      </c>
      <c r="I351" s="98">
        <v>531.9</v>
      </c>
      <c r="J351" s="21" t="s">
        <v>111</v>
      </c>
      <c r="K351" s="98">
        <v>3438.05</v>
      </c>
      <c r="L351" s="98">
        <v>1651139.81</v>
      </c>
      <c r="M351" s="98">
        <v>0</v>
      </c>
      <c r="N351" s="98">
        <v>0</v>
      </c>
      <c r="O351" s="98">
        <v>0</v>
      </c>
      <c r="P351" s="98">
        <v>0</v>
      </c>
      <c r="Q351" s="98">
        <v>0</v>
      </c>
      <c r="R351" s="98">
        <v>0</v>
      </c>
      <c r="S351" s="98">
        <v>0</v>
      </c>
      <c r="T351" s="98">
        <v>0</v>
      </c>
      <c r="U351" s="98">
        <v>0</v>
      </c>
      <c r="V351" s="98">
        <v>0</v>
      </c>
      <c r="X351" s="404">
        <f>'Приложение 1'!T348</f>
        <v>4503.95</v>
      </c>
      <c r="Y351" s="404">
        <f t="shared" si="45"/>
        <v>3104.2297612333145</v>
      </c>
      <c r="Z351" s="19">
        <f t="shared" si="46"/>
        <v>1399.7202387666853</v>
      </c>
    </row>
    <row r="352" spans="1:26" s="27" customFormat="1" ht="9" customHeight="1">
      <c r="A352" s="502">
        <v>248</v>
      </c>
      <c r="B352" s="96" t="s">
        <v>50</v>
      </c>
      <c r="C352" s="58" t="s">
        <v>1006</v>
      </c>
      <c r="D352" s="58"/>
      <c r="E352" s="98">
        <f t="shared" si="47"/>
        <v>1301044.3699999999</v>
      </c>
      <c r="F352" s="98">
        <v>0</v>
      </c>
      <c r="G352" s="17">
        <v>0</v>
      </c>
      <c r="H352" s="98">
        <v>0</v>
      </c>
      <c r="I352" s="98">
        <v>371.22</v>
      </c>
      <c r="J352" s="98" t="s">
        <v>111</v>
      </c>
      <c r="K352" s="98">
        <v>3438.05</v>
      </c>
      <c r="L352" s="98">
        <v>1301044.3699999999</v>
      </c>
      <c r="M352" s="98">
        <v>0</v>
      </c>
      <c r="N352" s="98">
        <v>0</v>
      </c>
      <c r="O352" s="98">
        <v>0</v>
      </c>
      <c r="P352" s="98">
        <v>0</v>
      </c>
      <c r="Q352" s="98">
        <v>0</v>
      </c>
      <c r="R352" s="98">
        <v>0</v>
      </c>
      <c r="S352" s="98">
        <v>0</v>
      </c>
      <c r="T352" s="98">
        <v>0</v>
      </c>
      <c r="U352" s="98">
        <v>0</v>
      </c>
      <c r="V352" s="98">
        <v>0</v>
      </c>
      <c r="X352" s="404">
        <f>'Приложение 1'!T349</f>
        <v>4503.95</v>
      </c>
      <c r="Y352" s="404">
        <f t="shared" si="45"/>
        <v>3504.7798340606641</v>
      </c>
      <c r="Z352" s="19">
        <f t="shared" si="46"/>
        <v>999.17016593933567</v>
      </c>
    </row>
    <row r="353" spans="1:27" s="27" customFormat="1" ht="9" customHeight="1">
      <c r="A353" s="502">
        <v>249</v>
      </c>
      <c r="B353" s="96" t="s">
        <v>51</v>
      </c>
      <c r="C353" s="58" t="s">
        <v>1005</v>
      </c>
      <c r="D353" s="58"/>
      <c r="E353" s="98">
        <f t="shared" si="47"/>
        <v>1641356.28</v>
      </c>
      <c r="F353" s="98">
        <v>0</v>
      </c>
      <c r="G353" s="17">
        <v>0</v>
      </c>
      <c r="H353" s="98">
        <v>0</v>
      </c>
      <c r="I353" s="98">
        <v>523</v>
      </c>
      <c r="J353" s="21" t="s">
        <v>110</v>
      </c>
      <c r="K353" s="98">
        <v>2022.07</v>
      </c>
      <c r="L353" s="98">
        <v>1641356.28</v>
      </c>
      <c r="M353" s="98">
        <v>0</v>
      </c>
      <c r="N353" s="98">
        <v>0</v>
      </c>
      <c r="O353" s="98">
        <v>0</v>
      </c>
      <c r="P353" s="98">
        <v>0</v>
      </c>
      <c r="Q353" s="98">
        <v>0</v>
      </c>
      <c r="R353" s="98">
        <v>0</v>
      </c>
      <c r="S353" s="98">
        <v>0</v>
      </c>
      <c r="T353" s="98">
        <v>0</v>
      </c>
      <c r="U353" s="98">
        <v>0</v>
      </c>
      <c r="V353" s="98">
        <v>0</v>
      </c>
      <c r="X353" s="404">
        <f>'Приложение 1'!T350</f>
        <v>4180</v>
      </c>
      <c r="Y353" s="404">
        <f t="shared" si="45"/>
        <v>3138.3485277246655</v>
      </c>
      <c r="Z353" s="19">
        <f t="shared" si="46"/>
        <v>1041.6514722753345</v>
      </c>
    </row>
    <row r="354" spans="1:27" s="27" customFormat="1" ht="9" customHeight="1">
      <c r="A354" s="502">
        <v>250</v>
      </c>
      <c r="B354" s="96" t="s">
        <v>52</v>
      </c>
      <c r="C354" s="58" t="s">
        <v>1005</v>
      </c>
      <c r="D354" s="58"/>
      <c r="E354" s="98">
        <f t="shared" si="47"/>
        <v>1892023.06</v>
      </c>
      <c r="F354" s="98">
        <v>0</v>
      </c>
      <c r="G354" s="17">
        <v>0</v>
      </c>
      <c r="H354" s="98">
        <v>0</v>
      </c>
      <c r="I354" s="98">
        <v>517</v>
      </c>
      <c r="J354" s="21" t="s">
        <v>110</v>
      </c>
      <c r="K354" s="98">
        <v>2022.07</v>
      </c>
      <c r="L354" s="98">
        <v>1892023.06</v>
      </c>
      <c r="M354" s="98">
        <v>0</v>
      </c>
      <c r="N354" s="98">
        <v>0</v>
      </c>
      <c r="O354" s="98">
        <v>0</v>
      </c>
      <c r="P354" s="98">
        <v>0</v>
      </c>
      <c r="Q354" s="98">
        <v>0</v>
      </c>
      <c r="R354" s="98">
        <v>0</v>
      </c>
      <c r="S354" s="98">
        <v>0</v>
      </c>
      <c r="T354" s="98">
        <v>0</v>
      </c>
      <c r="U354" s="98">
        <v>0</v>
      </c>
      <c r="V354" s="98">
        <v>0</v>
      </c>
      <c r="X354" s="404">
        <f>'Приложение 1'!T351</f>
        <v>4180</v>
      </c>
      <c r="Y354" s="404">
        <f t="shared" si="45"/>
        <v>3659.6190715667312</v>
      </c>
      <c r="Z354" s="19">
        <f t="shared" si="46"/>
        <v>520.38092843326876</v>
      </c>
    </row>
    <row r="355" spans="1:27" s="27" customFormat="1" ht="9" customHeight="1">
      <c r="A355" s="502">
        <v>251</v>
      </c>
      <c r="B355" s="96" t="s">
        <v>53</v>
      </c>
      <c r="C355" s="58" t="s">
        <v>1005</v>
      </c>
      <c r="D355" s="58"/>
      <c r="E355" s="98">
        <f t="shared" si="47"/>
        <v>2531240.13</v>
      </c>
      <c r="F355" s="98">
        <v>0</v>
      </c>
      <c r="G355" s="17">
        <v>0</v>
      </c>
      <c r="H355" s="98">
        <v>0</v>
      </c>
      <c r="I355" s="98">
        <v>738</v>
      </c>
      <c r="J355" s="21" t="s">
        <v>110</v>
      </c>
      <c r="K355" s="98">
        <v>2022.07</v>
      </c>
      <c r="L355" s="98">
        <v>2531240.13</v>
      </c>
      <c r="M355" s="98">
        <v>0</v>
      </c>
      <c r="N355" s="98">
        <v>0</v>
      </c>
      <c r="O355" s="98">
        <v>0</v>
      </c>
      <c r="P355" s="98">
        <v>0</v>
      </c>
      <c r="Q355" s="98">
        <v>0</v>
      </c>
      <c r="R355" s="98">
        <v>0</v>
      </c>
      <c r="S355" s="98">
        <v>0</v>
      </c>
      <c r="T355" s="98">
        <v>0</v>
      </c>
      <c r="U355" s="98">
        <v>0</v>
      </c>
      <c r="V355" s="98">
        <v>0</v>
      </c>
      <c r="X355" s="404">
        <f>'Приложение 1'!T352</f>
        <v>4180</v>
      </c>
      <c r="Y355" s="404">
        <f t="shared" si="45"/>
        <v>3429.8646747967477</v>
      </c>
      <c r="Z355" s="19">
        <f t="shared" si="46"/>
        <v>750.13532520325225</v>
      </c>
    </row>
    <row r="356" spans="1:27" s="27" customFormat="1" ht="9" customHeight="1">
      <c r="A356" s="502">
        <v>252</v>
      </c>
      <c r="B356" s="96" t="s">
        <v>54</v>
      </c>
      <c r="C356" s="58" t="s">
        <v>1005</v>
      </c>
      <c r="D356" s="58"/>
      <c r="E356" s="98">
        <f t="shared" si="47"/>
        <v>2534340.3199999998</v>
      </c>
      <c r="F356" s="98">
        <v>0</v>
      </c>
      <c r="G356" s="17">
        <v>0</v>
      </c>
      <c r="H356" s="98">
        <v>0</v>
      </c>
      <c r="I356" s="98">
        <v>738</v>
      </c>
      <c r="J356" s="21" t="s">
        <v>110</v>
      </c>
      <c r="K356" s="98">
        <v>2022.07</v>
      </c>
      <c r="L356" s="98">
        <v>2534340.3199999998</v>
      </c>
      <c r="M356" s="98">
        <v>0</v>
      </c>
      <c r="N356" s="98">
        <v>0</v>
      </c>
      <c r="O356" s="98">
        <v>0</v>
      </c>
      <c r="P356" s="98">
        <v>0</v>
      </c>
      <c r="Q356" s="98">
        <v>0</v>
      </c>
      <c r="R356" s="98">
        <v>0</v>
      </c>
      <c r="S356" s="98">
        <v>0</v>
      </c>
      <c r="T356" s="98">
        <v>0</v>
      </c>
      <c r="U356" s="98">
        <v>0</v>
      </c>
      <c r="V356" s="98">
        <v>0</v>
      </c>
      <c r="X356" s="404">
        <f>'Приложение 1'!T353</f>
        <v>4180</v>
      </c>
      <c r="Y356" s="404">
        <f t="shared" si="45"/>
        <v>3434.0654742547422</v>
      </c>
      <c r="Z356" s="19">
        <f t="shared" si="46"/>
        <v>745.93452574525782</v>
      </c>
    </row>
    <row r="357" spans="1:27" s="27" customFormat="1" ht="9" customHeight="1">
      <c r="A357" s="502">
        <v>253</v>
      </c>
      <c r="B357" s="96" t="s">
        <v>55</v>
      </c>
      <c r="C357" s="58" t="s">
        <v>1006</v>
      </c>
      <c r="D357" s="58"/>
      <c r="E357" s="98">
        <f t="shared" si="47"/>
        <v>1921449.6500000001</v>
      </c>
      <c r="F357" s="98">
        <v>0</v>
      </c>
      <c r="G357" s="17">
        <v>0</v>
      </c>
      <c r="H357" s="98">
        <v>0</v>
      </c>
      <c r="I357" s="98">
        <v>473</v>
      </c>
      <c r="J357" s="98" t="s">
        <v>111</v>
      </c>
      <c r="K357" s="98">
        <v>3438.05</v>
      </c>
      <c r="L357" s="98">
        <v>1921449.6500000001</v>
      </c>
      <c r="M357" s="98">
        <v>0</v>
      </c>
      <c r="N357" s="98">
        <v>0</v>
      </c>
      <c r="O357" s="98">
        <v>0</v>
      </c>
      <c r="P357" s="98">
        <v>0</v>
      </c>
      <c r="Q357" s="98">
        <v>0</v>
      </c>
      <c r="R357" s="98">
        <v>0</v>
      </c>
      <c r="S357" s="98">
        <v>0</v>
      </c>
      <c r="T357" s="98">
        <v>0</v>
      </c>
      <c r="U357" s="98">
        <v>0</v>
      </c>
      <c r="V357" s="98">
        <v>0</v>
      </c>
      <c r="X357" s="404">
        <f>'Приложение 1'!T354</f>
        <v>4503.95</v>
      </c>
      <c r="Y357" s="404">
        <f t="shared" si="45"/>
        <v>4062.2614164904867</v>
      </c>
      <c r="Z357" s="19">
        <f t="shared" si="46"/>
        <v>441.68858350951314</v>
      </c>
    </row>
    <row r="358" spans="1:27" s="27" customFormat="1" ht="9" customHeight="1">
      <c r="A358" s="502">
        <v>254</v>
      </c>
      <c r="B358" s="96" t="s">
        <v>58</v>
      </c>
      <c r="C358" s="58" t="s">
        <v>1010</v>
      </c>
      <c r="D358" s="58"/>
      <c r="E358" s="98">
        <f t="shared" si="47"/>
        <v>2089278.1</v>
      </c>
      <c r="F358" s="98">
        <v>0</v>
      </c>
      <c r="G358" s="17">
        <v>0</v>
      </c>
      <c r="H358" s="98">
        <v>0</v>
      </c>
      <c r="I358" s="98">
        <v>524</v>
      </c>
      <c r="J358" s="21" t="s">
        <v>110</v>
      </c>
      <c r="K358" s="98">
        <v>2022.07</v>
      </c>
      <c r="L358" s="98">
        <v>2089278.1</v>
      </c>
      <c r="M358" s="98">
        <v>0</v>
      </c>
      <c r="N358" s="98">
        <v>0</v>
      </c>
      <c r="O358" s="98">
        <v>0</v>
      </c>
      <c r="P358" s="98">
        <v>0</v>
      </c>
      <c r="Q358" s="98">
        <v>0</v>
      </c>
      <c r="R358" s="98">
        <v>0</v>
      </c>
      <c r="S358" s="98">
        <v>0</v>
      </c>
      <c r="T358" s="98">
        <v>0</v>
      </c>
      <c r="U358" s="98">
        <v>0</v>
      </c>
      <c r="V358" s="98">
        <v>0</v>
      </c>
      <c r="X358" s="404">
        <f>'Приложение 1'!T355</f>
        <v>4180</v>
      </c>
      <c r="Y358" s="404">
        <f>L358/I358</f>
        <v>3987.1719465648857</v>
      </c>
      <c r="Z358" s="19">
        <f t="shared" si="46"/>
        <v>192.82805343511427</v>
      </c>
    </row>
    <row r="359" spans="1:27" s="27" customFormat="1" ht="9" customHeight="1">
      <c r="A359" s="502">
        <v>255</v>
      </c>
      <c r="B359" s="96" t="s">
        <v>57</v>
      </c>
      <c r="C359" s="58" t="s">
        <v>1005</v>
      </c>
      <c r="D359" s="58"/>
      <c r="E359" s="98">
        <f t="shared" si="47"/>
        <v>1869179.81</v>
      </c>
      <c r="F359" s="98">
        <v>0</v>
      </c>
      <c r="G359" s="17">
        <v>0</v>
      </c>
      <c r="H359" s="98">
        <v>0</v>
      </c>
      <c r="I359" s="98">
        <v>601</v>
      </c>
      <c r="J359" s="21" t="s">
        <v>110</v>
      </c>
      <c r="K359" s="98">
        <v>2022.07</v>
      </c>
      <c r="L359" s="98">
        <v>1869179.81</v>
      </c>
      <c r="M359" s="98">
        <v>0</v>
      </c>
      <c r="N359" s="98">
        <v>0</v>
      </c>
      <c r="O359" s="98">
        <v>0</v>
      </c>
      <c r="P359" s="98">
        <v>0</v>
      </c>
      <c r="Q359" s="98">
        <v>0</v>
      </c>
      <c r="R359" s="98">
        <v>0</v>
      </c>
      <c r="S359" s="98">
        <v>0</v>
      </c>
      <c r="T359" s="98">
        <v>0</v>
      </c>
      <c r="U359" s="98">
        <v>0</v>
      </c>
      <c r="V359" s="98">
        <v>0</v>
      </c>
      <c r="X359" s="404">
        <f>'Приложение 1'!T356</f>
        <v>4180</v>
      </c>
      <c r="Y359" s="404">
        <f>L359/I359</f>
        <v>3110.1161564059903</v>
      </c>
      <c r="Z359" s="19">
        <f t="shared" si="46"/>
        <v>1069.8838435940097</v>
      </c>
    </row>
    <row r="360" spans="1:27" s="27" customFormat="1" ht="14.25" customHeight="1">
      <c r="A360" s="898" t="s">
        <v>1046</v>
      </c>
      <c r="B360" s="898"/>
      <c r="C360" s="898"/>
      <c r="D360" s="898"/>
      <c r="E360" s="898"/>
      <c r="F360" s="898"/>
      <c r="G360" s="898"/>
      <c r="H360" s="898"/>
      <c r="I360" s="898"/>
      <c r="J360" s="898"/>
      <c r="K360" s="898"/>
      <c r="L360" s="898"/>
      <c r="M360" s="898"/>
      <c r="N360" s="898"/>
      <c r="O360" s="898"/>
      <c r="P360" s="898"/>
      <c r="Q360" s="898"/>
      <c r="R360" s="898"/>
      <c r="S360" s="898"/>
      <c r="T360" s="898"/>
      <c r="U360" s="898"/>
      <c r="V360" s="898"/>
      <c r="X360" s="38">
        <f>'[2]Приложение 1'!T357</f>
        <v>4180</v>
      </c>
      <c r="Y360" s="9" t="e">
        <f t="shared" ref="Y360:Y423" si="48">L360/I360</f>
        <v>#DIV/0!</v>
      </c>
      <c r="Z360" s="19" t="e">
        <f t="shared" si="46"/>
        <v>#DIV/0!</v>
      </c>
    </row>
    <row r="361" spans="1:27" ht="12" customHeight="1">
      <c r="A361" s="881" t="s">
        <v>1025</v>
      </c>
      <c r="B361" s="881"/>
      <c r="C361" s="58"/>
      <c r="D361" s="58"/>
      <c r="E361" s="511">
        <f t="shared" ref="E361:V361" si="49">E363+E507+E516+E531+E536+E545+E550+E556+E573+E577+E581+E584+E587+E590+E593+E606+E609+E612+E618+E621+E629+E634+E637+E640+E647+E650+E654+E658+E662+E667+E670+E673+E676+E681+E690+E693</f>
        <v>826545902.33000016</v>
      </c>
      <c r="F361" s="519">
        <f t="shared" si="49"/>
        <v>72908786.850000009</v>
      </c>
      <c r="G361" s="519">
        <f t="shared" si="49"/>
        <v>17</v>
      </c>
      <c r="H361" s="519">
        <f t="shared" si="49"/>
        <v>33381145.600000001</v>
      </c>
      <c r="I361" s="519">
        <f t="shared" si="49"/>
        <v>207835.60000000003</v>
      </c>
      <c r="J361" s="519">
        <f t="shared" si="49"/>
        <v>0</v>
      </c>
      <c r="K361" s="519">
        <f t="shared" si="49"/>
        <v>24458.219999999998</v>
      </c>
      <c r="L361" s="519">
        <f t="shared" si="49"/>
        <v>683987628.48999989</v>
      </c>
      <c r="M361" s="519">
        <f t="shared" si="49"/>
        <v>690.2</v>
      </c>
      <c r="N361" s="519">
        <f t="shared" si="49"/>
        <v>173901.59</v>
      </c>
      <c r="O361" s="519">
        <f t="shared" si="49"/>
        <v>9497.619999999999</v>
      </c>
      <c r="P361" s="519">
        <f t="shared" si="49"/>
        <v>22043276.859999999</v>
      </c>
      <c r="Q361" s="519">
        <f t="shared" si="49"/>
        <v>0</v>
      </c>
      <c r="R361" s="519">
        <f t="shared" si="49"/>
        <v>0</v>
      </c>
      <c r="S361" s="519">
        <f t="shared" si="49"/>
        <v>0</v>
      </c>
      <c r="T361" s="519">
        <f t="shared" si="49"/>
        <v>0</v>
      </c>
      <c r="U361" s="519">
        <f t="shared" si="49"/>
        <v>14051162.939999999</v>
      </c>
      <c r="V361" s="519">
        <f t="shared" si="49"/>
        <v>0</v>
      </c>
      <c r="X361" s="38">
        <f>'[2]Приложение 1'!T358</f>
        <v>0</v>
      </c>
      <c r="Y361" s="9">
        <f t="shared" si="48"/>
        <v>3291.0032183610497</v>
      </c>
      <c r="Z361" s="19">
        <f t="shared" si="46"/>
        <v>-3291.0032183610497</v>
      </c>
      <c r="AA361" s="38"/>
    </row>
    <row r="362" spans="1:27" ht="10.5" customHeight="1">
      <c r="A362" s="882" t="s">
        <v>217</v>
      </c>
      <c r="B362" s="882"/>
      <c r="C362" s="882"/>
      <c r="D362" s="882"/>
      <c r="E362" s="882"/>
      <c r="F362" s="882"/>
      <c r="G362" s="882"/>
      <c r="H362" s="882"/>
      <c r="I362" s="882"/>
      <c r="J362" s="882"/>
      <c r="K362" s="882"/>
      <c r="L362" s="882"/>
      <c r="M362" s="882"/>
      <c r="N362" s="882"/>
      <c r="O362" s="882"/>
      <c r="P362" s="882"/>
      <c r="Q362" s="882"/>
      <c r="R362" s="882"/>
      <c r="S362" s="882"/>
      <c r="T362" s="882"/>
      <c r="U362" s="882"/>
      <c r="V362" s="882"/>
      <c r="W362" s="519"/>
      <c r="X362" s="38">
        <f>'[2]Приложение 1'!T359</f>
        <v>0</v>
      </c>
      <c r="Y362" s="9" t="e">
        <f t="shared" si="48"/>
        <v>#DIV/0!</v>
      </c>
      <c r="Z362" s="19" t="e">
        <f t="shared" si="46"/>
        <v>#DIV/0!</v>
      </c>
    </row>
    <row r="363" spans="1:27" ht="21" customHeight="1">
      <c r="A363" s="881" t="s">
        <v>109</v>
      </c>
      <c r="B363" s="881"/>
      <c r="C363" s="58"/>
      <c r="D363" s="58"/>
      <c r="E363" s="511">
        <f>SUM(E364:E505)</f>
        <v>549275227.73000026</v>
      </c>
      <c r="F363" s="519">
        <f t="shared" ref="F363:V363" si="50">SUM(F364:F505)</f>
        <v>41602043.480000004</v>
      </c>
      <c r="G363" s="519">
        <f t="shared" si="50"/>
        <v>15</v>
      </c>
      <c r="H363" s="519">
        <f t="shared" si="50"/>
        <v>29453952</v>
      </c>
      <c r="I363" s="519">
        <f>SUM(I364:I505)</f>
        <v>135369.80000000002</v>
      </c>
      <c r="J363" s="519">
        <f t="shared" si="50"/>
        <v>0</v>
      </c>
      <c r="K363" s="519">
        <f t="shared" si="50"/>
        <v>17190.25</v>
      </c>
      <c r="L363" s="519">
        <f t="shared" si="50"/>
        <v>446382542</v>
      </c>
      <c r="M363" s="519">
        <f t="shared" si="50"/>
        <v>0</v>
      </c>
      <c r="N363" s="519">
        <f t="shared" si="50"/>
        <v>0</v>
      </c>
      <c r="O363" s="519">
        <f t="shared" si="50"/>
        <v>8540.619999999999</v>
      </c>
      <c r="P363" s="519">
        <f t="shared" si="50"/>
        <v>19968137.199999999</v>
      </c>
      <c r="Q363" s="519">
        <f t="shared" si="50"/>
        <v>0</v>
      </c>
      <c r="R363" s="519">
        <f t="shared" si="50"/>
        <v>0</v>
      </c>
      <c r="S363" s="519">
        <f t="shared" si="50"/>
        <v>0</v>
      </c>
      <c r="T363" s="519">
        <f t="shared" si="50"/>
        <v>0</v>
      </c>
      <c r="U363" s="519">
        <f t="shared" si="50"/>
        <v>11868553.049999999</v>
      </c>
      <c r="V363" s="519">
        <f t="shared" si="50"/>
        <v>0</v>
      </c>
      <c r="W363" s="519"/>
      <c r="X363" s="38">
        <f>'[2]Приложение 1'!T360</f>
        <v>0</v>
      </c>
      <c r="Y363" s="9">
        <f t="shared" si="48"/>
        <v>3297.504628063275</v>
      </c>
      <c r="Z363" s="19">
        <f t="shared" si="46"/>
        <v>-3297.504628063275</v>
      </c>
    </row>
    <row r="364" spans="1:27" ht="9" customHeight="1">
      <c r="A364" s="510">
        <v>1</v>
      </c>
      <c r="B364" s="655" t="s">
        <v>476</v>
      </c>
      <c r="C364" s="656" t="s">
        <v>1192</v>
      </c>
      <c r="D364" s="657" t="s">
        <v>111</v>
      </c>
      <c r="E364" s="511">
        <f>F364+H364+L364+N364+P364+R364+S364+T364+U364+V364</f>
        <v>3156384</v>
      </c>
      <c r="F364" s="511">
        <v>0</v>
      </c>
      <c r="G364" s="17">
        <v>0</v>
      </c>
      <c r="H364" s="511">
        <v>0</v>
      </c>
      <c r="I364" s="511">
        <v>976</v>
      </c>
      <c r="J364" s="88"/>
      <c r="K364" s="510"/>
      <c r="L364" s="511">
        <f>ROUND(3234*I364,2)</f>
        <v>3156384</v>
      </c>
      <c r="M364" s="511">
        <v>0</v>
      </c>
      <c r="N364" s="511">
        <v>0</v>
      </c>
      <c r="O364" s="511">
        <v>0</v>
      </c>
      <c r="P364" s="511">
        <v>0</v>
      </c>
      <c r="Q364" s="511">
        <v>0</v>
      </c>
      <c r="R364" s="511">
        <v>0</v>
      </c>
      <c r="S364" s="511">
        <v>0</v>
      </c>
      <c r="T364" s="511">
        <v>0</v>
      </c>
      <c r="U364" s="511">
        <v>0</v>
      </c>
      <c r="V364" s="511">
        <v>0</v>
      </c>
      <c r="X364" s="38">
        <f>'[2]Приложение 1'!T361</f>
        <v>0</v>
      </c>
      <c r="Y364" s="9">
        <f t="shared" si="48"/>
        <v>3234</v>
      </c>
      <c r="Z364" s="19">
        <f t="shared" si="46"/>
        <v>-3234</v>
      </c>
    </row>
    <row r="365" spans="1:27" ht="9" customHeight="1">
      <c r="A365" s="510">
        <v>2</v>
      </c>
      <c r="B365" s="655" t="s">
        <v>477</v>
      </c>
      <c r="C365" s="656" t="s">
        <v>1192</v>
      </c>
      <c r="D365" s="657" t="s">
        <v>110</v>
      </c>
      <c r="E365" s="511">
        <f t="shared" ref="E365:E428" si="51">F365+H365+L365+N365+P365+R365+S365+T365+U365+V365</f>
        <v>2770554</v>
      </c>
      <c r="F365" s="511">
        <v>0</v>
      </c>
      <c r="G365" s="17">
        <v>0</v>
      </c>
      <c r="H365" s="511">
        <v>0</v>
      </c>
      <c r="I365" s="511">
        <v>831</v>
      </c>
      <c r="J365" s="88"/>
      <c r="K365" s="510"/>
      <c r="L365" s="511">
        <f>ROUND(3334*I365,2)</f>
        <v>2770554</v>
      </c>
      <c r="M365" s="511">
        <v>0</v>
      </c>
      <c r="N365" s="511">
        <v>0</v>
      </c>
      <c r="O365" s="511">
        <v>0</v>
      </c>
      <c r="P365" s="511">
        <v>0</v>
      </c>
      <c r="Q365" s="511">
        <v>0</v>
      </c>
      <c r="R365" s="511">
        <v>0</v>
      </c>
      <c r="S365" s="511">
        <v>0</v>
      </c>
      <c r="T365" s="511">
        <v>0</v>
      </c>
      <c r="U365" s="511">
        <v>0</v>
      </c>
      <c r="V365" s="511">
        <v>0</v>
      </c>
      <c r="W365" s="38"/>
      <c r="X365" s="38">
        <f>'[2]Приложение 1'!T362</f>
        <v>4503.95</v>
      </c>
      <c r="Y365" s="9">
        <f t="shared" si="48"/>
        <v>3334</v>
      </c>
      <c r="Z365" s="19">
        <f t="shared" si="46"/>
        <v>1169.9499999999998</v>
      </c>
    </row>
    <row r="366" spans="1:27" ht="9" customHeight="1">
      <c r="A366" s="510">
        <v>3</v>
      </c>
      <c r="B366" s="655" t="s">
        <v>478</v>
      </c>
      <c r="C366" s="656" t="s">
        <v>1192</v>
      </c>
      <c r="D366" s="657" t="s">
        <v>110</v>
      </c>
      <c r="E366" s="511">
        <f t="shared" si="51"/>
        <v>2770554</v>
      </c>
      <c r="F366" s="511">
        <v>0</v>
      </c>
      <c r="G366" s="17">
        <v>0</v>
      </c>
      <c r="H366" s="511">
        <v>0</v>
      </c>
      <c r="I366" s="511">
        <v>831</v>
      </c>
      <c r="J366" s="88"/>
      <c r="K366" s="510"/>
      <c r="L366" s="511">
        <f t="shared" ref="L366:L372" si="52">ROUND(3334*I366,2)</f>
        <v>2770554</v>
      </c>
      <c r="M366" s="511">
        <v>0</v>
      </c>
      <c r="N366" s="511">
        <v>0</v>
      </c>
      <c r="O366" s="511">
        <v>0</v>
      </c>
      <c r="P366" s="511">
        <v>0</v>
      </c>
      <c r="Q366" s="511">
        <v>0</v>
      </c>
      <c r="R366" s="511">
        <v>0</v>
      </c>
      <c r="S366" s="511">
        <v>0</v>
      </c>
      <c r="T366" s="511">
        <v>0</v>
      </c>
      <c r="U366" s="511">
        <v>0</v>
      </c>
      <c r="V366" s="511">
        <v>0</v>
      </c>
      <c r="X366" s="38">
        <f>'[2]Приложение 1'!T363</f>
        <v>4180</v>
      </c>
      <c r="Y366" s="9">
        <f t="shared" si="48"/>
        <v>3334</v>
      </c>
      <c r="Z366" s="19">
        <f t="shared" si="46"/>
        <v>846</v>
      </c>
    </row>
    <row r="367" spans="1:27" ht="9" customHeight="1">
      <c r="A367" s="510">
        <v>4</v>
      </c>
      <c r="B367" s="655" t="s">
        <v>479</v>
      </c>
      <c r="C367" s="656" t="s">
        <v>1192</v>
      </c>
      <c r="D367" s="657" t="s">
        <v>110</v>
      </c>
      <c r="E367" s="511">
        <f t="shared" si="51"/>
        <v>2770554</v>
      </c>
      <c r="F367" s="511">
        <v>0</v>
      </c>
      <c r="G367" s="17">
        <v>0</v>
      </c>
      <c r="H367" s="511">
        <v>0</v>
      </c>
      <c r="I367" s="511">
        <v>831</v>
      </c>
      <c r="J367" s="88"/>
      <c r="K367" s="510"/>
      <c r="L367" s="511">
        <f t="shared" si="52"/>
        <v>2770554</v>
      </c>
      <c r="M367" s="511">
        <v>0</v>
      </c>
      <c r="N367" s="511">
        <v>0</v>
      </c>
      <c r="O367" s="511">
        <v>0</v>
      </c>
      <c r="P367" s="511">
        <v>0</v>
      </c>
      <c r="Q367" s="511">
        <v>0</v>
      </c>
      <c r="R367" s="511">
        <v>0</v>
      </c>
      <c r="S367" s="511">
        <v>0</v>
      </c>
      <c r="T367" s="511">
        <v>0</v>
      </c>
      <c r="U367" s="511">
        <v>0</v>
      </c>
      <c r="V367" s="511">
        <v>0</v>
      </c>
      <c r="X367" s="38">
        <f>'[2]Приложение 1'!T364</f>
        <v>4180</v>
      </c>
      <c r="Y367" s="9">
        <f t="shared" si="48"/>
        <v>3334</v>
      </c>
      <c r="Z367" s="19">
        <f t="shared" si="46"/>
        <v>846</v>
      </c>
    </row>
    <row r="368" spans="1:27" ht="9" customHeight="1">
      <c r="A368" s="510">
        <v>5</v>
      </c>
      <c r="B368" s="655" t="s">
        <v>480</v>
      </c>
      <c r="C368" s="656" t="s">
        <v>1192</v>
      </c>
      <c r="D368" s="657" t="s">
        <v>110</v>
      </c>
      <c r="E368" s="511">
        <f t="shared" si="51"/>
        <v>2770554</v>
      </c>
      <c r="F368" s="511">
        <v>0</v>
      </c>
      <c r="G368" s="17">
        <v>0</v>
      </c>
      <c r="H368" s="511">
        <v>0</v>
      </c>
      <c r="I368" s="511">
        <v>831</v>
      </c>
      <c r="J368" s="88"/>
      <c r="K368" s="510"/>
      <c r="L368" s="511">
        <f t="shared" si="52"/>
        <v>2770554</v>
      </c>
      <c r="M368" s="511">
        <v>0</v>
      </c>
      <c r="N368" s="511">
        <v>0</v>
      </c>
      <c r="O368" s="511">
        <v>0</v>
      </c>
      <c r="P368" s="511">
        <v>0</v>
      </c>
      <c r="Q368" s="511">
        <v>0</v>
      </c>
      <c r="R368" s="511">
        <v>0</v>
      </c>
      <c r="S368" s="511">
        <v>0</v>
      </c>
      <c r="T368" s="511">
        <v>0</v>
      </c>
      <c r="U368" s="511">
        <v>0</v>
      </c>
      <c r="V368" s="511">
        <v>0</v>
      </c>
      <c r="X368" s="38">
        <f>'[2]Приложение 1'!T365</f>
        <v>4180</v>
      </c>
      <c r="Y368" s="9">
        <f t="shared" si="48"/>
        <v>3334</v>
      </c>
      <c r="Z368" s="19">
        <f t="shared" si="46"/>
        <v>846</v>
      </c>
    </row>
    <row r="369" spans="1:26" ht="9" customHeight="1">
      <c r="A369" s="510">
        <v>6</v>
      </c>
      <c r="B369" s="655" t="s">
        <v>481</v>
      </c>
      <c r="C369" s="656" t="s">
        <v>1192</v>
      </c>
      <c r="D369" s="657" t="s">
        <v>110</v>
      </c>
      <c r="E369" s="511">
        <f t="shared" si="51"/>
        <v>2417150</v>
      </c>
      <c r="F369" s="511">
        <v>0</v>
      </c>
      <c r="G369" s="17">
        <v>0</v>
      </c>
      <c r="H369" s="511">
        <v>0</v>
      </c>
      <c r="I369" s="511">
        <v>725</v>
      </c>
      <c r="J369" s="88"/>
      <c r="K369" s="510"/>
      <c r="L369" s="511">
        <f t="shared" si="52"/>
        <v>2417150</v>
      </c>
      <c r="M369" s="511">
        <v>0</v>
      </c>
      <c r="N369" s="511">
        <v>0</v>
      </c>
      <c r="O369" s="511">
        <v>0</v>
      </c>
      <c r="P369" s="511">
        <v>0</v>
      </c>
      <c r="Q369" s="511">
        <v>0</v>
      </c>
      <c r="R369" s="511">
        <v>0</v>
      </c>
      <c r="S369" s="511">
        <v>0</v>
      </c>
      <c r="T369" s="511">
        <v>0</v>
      </c>
      <c r="U369" s="511">
        <v>0</v>
      </c>
      <c r="V369" s="511">
        <v>0</v>
      </c>
      <c r="X369" s="38">
        <f>'[2]Приложение 1'!T366</f>
        <v>4180</v>
      </c>
      <c r="Y369" s="9">
        <f t="shared" si="48"/>
        <v>3334</v>
      </c>
      <c r="Z369" s="19">
        <f t="shared" si="46"/>
        <v>846</v>
      </c>
    </row>
    <row r="370" spans="1:26" ht="9" customHeight="1">
      <c r="A370" s="510">
        <v>7</v>
      </c>
      <c r="B370" s="655" t="s">
        <v>482</v>
      </c>
      <c r="C370" s="656" t="s">
        <v>1192</v>
      </c>
      <c r="D370" s="657" t="s">
        <v>110</v>
      </c>
      <c r="E370" s="511">
        <f t="shared" si="51"/>
        <v>2890578</v>
      </c>
      <c r="F370" s="511">
        <v>0</v>
      </c>
      <c r="G370" s="17">
        <v>0</v>
      </c>
      <c r="H370" s="511">
        <v>0</v>
      </c>
      <c r="I370" s="511">
        <v>867</v>
      </c>
      <c r="J370" s="88"/>
      <c r="K370" s="510"/>
      <c r="L370" s="511">
        <f t="shared" si="52"/>
        <v>2890578</v>
      </c>
      <c r="M370" s="511">
        <v>0</v>
      </c>
      <c r="N370" s="511">
        <v>0</v>
      </c>
      <c r="O370" s="511">
        <v>0</v>
      </c>
      <c r="P370" s="511">
        <v>0</v>
      </c>
      <c r="Q370" s="511">
        <v>0</v>
      </c>
      <c r="R370" s="511">
        <v>0</v>
      </c>
      <c r="S370" s="511">
        <v>0</v>
      </c>
      <c r="T370" s="511">
        <v>0</v>
      </c>
      <c r="U370" s="511">
        <v>0</v>
      </c>
      <c r="V370" s="511">
        <v>0</v>
      </c>
      <c r="X370" s="38">
        <f>'[2]Приложение 1'!T367</f>
        <v>4180</v>
      </c>
      <c r="Y370" s="9">
        <f t="shared" si="48"/>
        <v>3334</v>
      </c>
      <c r="Z370" s="19">
        <f t="shared" si="46"/>
        <v>846</v>
      </c>
    </row>
    <row r="371" spans="1:26" ht="9" customHeight="1">
      <c r="A371" s="510">
        <v>8</v>
      </c>
      <c r="B371" s="655" t="s">
        <v>483</v>
      </c>
      <c r="C371" s="656" t="s">
        <v>1192</v>
      </c>
      <c r="D371" s="657" t="s">
        <v>111</v>
      </c>
      <c r="E371" s="511">
        <f t="shared" si="51"/>
        <v>2865324</v>
      </c>
      <c r="F371" s="511">
        <v>0</v>
      </c>
      <c r="G371" s="17">
        <v>0</v>
      </c>
      <c r="H371" s="511">
        <v>0</v>
      </c>
      <c r="I371" s="511">
        <v>886</v>
      </c>
      <c r="J371" s="88"/>
      <c r="K371" s="510"/>
      <c r="L371" s="511">
        <f>ROUND(3234*I371,2)</f>
        <v>2865324</v>
      </c>
      <c r="M371" s="511">
        <v>0</v>
      </c>
      <c r="N371" s="511">
        <v>0</v>
      </c>
      <c r="O371" s="511">
        <v>0</v>
      </c>
      <c r="P371" s="511">
        <v>0</v>
      </c>
      <c r="Q371" s="511">
        <v>0</v>
      </c>
      <c r="R371" s="511">
        <v>0</v>
      </c>
      <c r="S371" s="511">
        <v>0</v>
      </c>
      <c r="T371" s="511">
        <v>0</v>
      </c>
      <c r="U371" s="511">
        <v>0</v>
      </c>
      <c r="V371" s="511">
        <v>0</v>
      </c>
      <c r="X371" s="38">
        <f>'[2]Приложение 1'!T368</f>
        <v>4180</v>
      </c>
      <c r="Y371" s="9">
        <f t="shared" si="48"/>
        <v>3234</v>
      </c>
      <c r="Z371" s="19">
        <f t="shared" si="46"/>
        <v>946</v>
      </c>
    </row>
    <row r="372" spans="1:26" ht="9" customHeight="1">
      <c r="A372" s="510">
        <v>9</v>
      </c>
      <c r="B372" s="655" t="s">
        <v>484</v>
      </c>
      <c r="C372" s="656" t="s">
        <v>1192</v>
      </c>
      <c r="D372" s="657" t="s">
        <v>110</v>
      </c>
      <c r="E372" s="511">
        <f t="shared" si="51"/>
        <v>1600320</v>
      </c>
      <c r="F372" s="511">
        <v>0</v>
      </c>
      <c r="G372" s="17">
        <v>0</v>
      </c>
      <c r="H372" s="511">
        <v>0</v>
      </c>
      <c r="I372" s="511">
        <v>480</v>
      </c>
      <c r="J372" s="88"/>
      <c r="K372" s="510"/>
      <c r="L372" s="511">
        <f t="shared" si="52"/>
        <v>1600320</v>
      </c>
      <c r="M372" s="511">
        <v>0</v>
      </c>
      <c r="N372" s="511">
        <v>0</v>
      </c>
      <c r="O372" s="511">
        <v>0</v>
      </c>
      <c r="P372" s="511">
        <v>0</v>
      </c>
      <c r="Q372" s="511">
        <v>0</v>
      </c>
      <c r="R372" s="511">
        <v>0</v>
      </c>
      <c r="S372" s="511">
        <v>0</v>
      </c>
      <c r="T372" s="511">
        <v>0</v>
      </c>
      <c r="U372" s="511">
        <v>0</v>
      </c>
      <c r="V372" s="511">
        <v>0</v>
      </c>
      <c r="X372" s="38">
        <f>'[2]Приложение 1'!T369</f>
        <v>4503.95</v>
      </c>
      <c r="Y372" s="9">
        <f t="shared" si="48"/>
        <v>3334</v>
      </c>
      <c r="Z372" s="19">
        <f t="shared" si="46"/>
        <v>1169.9499999999998</v>
      </c>
    </row>
    <row r="373" spans="1:26" ht="9" customHeight="1">
      <c r="A373" s="510">
        <v>10</v>
      </c>
      <c r="B373" s="655" t="s">
        <v>485</v>
      </c>
      <c r="C373" s="656" t="s">
        <v>1192</v>
      </c>
      <c r="D373" s="657" t="s">
        <v>111</v>
      </c>
      <c r="E373" s="511">
        <f t="shared" si="51"/>
        <v>1853082</v>
      </c>
      <c r="F373" s="511">
        <v>0</v>
      </c>
      <c r="G373" s="17">
        <v>0</v>
      </c>
      <c r="H373" s="511">
        <v>0</v>
      </c>
      <c r="I373" s="511">
        <v>573</v>
      </c>
      <c r="J373" s="88"/>
      <c r="K373" s="510"/>
      <c r="L373" s="511">
        <f>ROUND(3234*I373,2)</f>
        <v>1853082</v>
      </c>
      <c r="M373" s="511">
        <v>0</v>
      </c>
      <c r="N373" s="511">
        <v>0</v>
      </c>
      <c r="O373" s="511">
        <v>0</v>
      </c>
      <c r="P373" s="511">
        <v>0</v>
      </c>
      <c r="Q373" s="511">
        <v>0</v>
      </c>
      <c r="R373" s="511">
        <v>0</v>
      </c>
      <c r="S373" s="511">
        <v>0</v>
      </c>
      <c r="T373" s="511">
        <v>0</v>
      </c>
      <c r="U373" s="511">
        <v>0</v>
      </c>
      <c r="V373" s="511">
        <v>0</v>
      </c>
      <c r="X373" s="38">
        <f>'[2]Приложение 1'!T370</f>
        <v>4180</v>
      </c>
      <c r="Y373" s="9">
        <f t="shared" si="48"/>
        <v>3234</v>
      </c>
      <c r="Z373" s="19">
        <f t="shared" si="46"/>
        <v>946</v>
      </c>
    </row>
    <row r="374" spans="1:26" ht="9" customHeight="1">
      <c r="A374" s="510">
        <v>11</v>
      </c>
      <c r="B374" s="655" t="s">
        <v>486</v>
      </c>
      <c r="C374" s="656" t="s">
        <v>1192</v>
      </c>
      <c r="D374" s="657" t="s">
        <v>111</v>
      </c>
      <c r="E374" s="511">
        <f t="shared" si="51"/>
        <v>3363360</v>
      </c>
      <c r="F374" s="511">
        <v>0</v>
      </c>
      <c r="G374" s="17">
        <v>0</v>
      </c>
      <c r="H374" s="511">
        <v>0</v>
      </c>
      <c r="I374" s="511">
        <v>1040</v>
      </c>
      <c r="J374" s="88"/>
      <c r="K374" s="510"/>
      <c r="L374" s="511">
        <f>ROUND(3234*I374,2)</f>
        <v>3363360</v>
      </c>
      <c r="M374" s="511">
        <v>0</v>
      </c>
      <c r="N374" s="511">
        <v>0</v>
      </c>
      <c r="O374" s="511">
        <v>0</v>
      </c>
      <c r="P374" s="511">
        <v>0</v>
      </c>
      <c r="Q374" s="511">
        <v>0</v>
      </c>
      <c r="R374" s="511">
        <v>0</v>
      </c>
      <c r="S374" s="511">
        <v>0</v>
      </c>
      <c r="T374" s="511">
        <v>0</v>
      </c>
      <c r="U374" s="511">
        <v>0</v>
      </c>
      <c r="V374" s="511">
        <v>0</v>
      </c>
      <c r="X374" s="38">
        <f>'[2]Приложение 1'!T371</f>
        <v>4503.95</v>
      </c>
      <c r="Y374" s="9">
        <f t="shared" si="48"/>
        <v>3234</v>
      </c>
      <c r="Z374" s="19">
        <f t="shared" si="46"/>
        <v>1269.9499999999998</v>
      </c>
    </row>
    <row r="375" spans="1:26" ht="9" customHeight="1">
      <c r="A375" s="510">
        <v>12</v>
      </c>
      <c r="B375" s="655" t="s">
        <v>487</v>
      </c>
      <c r="C375" s="656" t="s">
        <v>1192</v>
      </c>
      <c r="D375" s="657" t="s">
        <v>111</v>
      </c>
      <c r="E375" s="511">
        <f t="shared" si="51"/>
        <v>6073452</v>
      </c>
      <c r="F375" s="511">
        <v>0</v>
      </c>
      <c r="G375" s="17">
        <v>0</v>
      </c>
      <c r="H375" s="511">
        <v>0</v>
      </c>
      <c r="I375" s="511">
        <v>1878</v>
      </c>
      <c r="J375" s="88"/>
      <c r="K375" s="510"/>
      <c r="L375" s="511">
        <f>ROUND(3234*I375,2)</f>
        <v>6073452</v>
      </c>
      <c r="M375" s="511">
        <v>0</v>
      </c>
      <c r="N375" s="511">
        <v>0</v>
      </c>
      <c r="O375" s="511">
        <v>0</v>
      </c>
      <c r="P375" s="511">
        <v>0</v>
      </c>
      <c r="Q375" s="511">
        <v>0</v>
      </c>
      <c r="R375" s="511">
        <v>0</v>
      </c>
      <c r="S375" s="511">
        <v>0</v>
      </c>
      <c r="T375" s="511">
        <v>0</v>
      </c>
      <c r="U375" s="511">
        <v>0</v>
      </c>
      <c r="V375" s="511">
        <v>0</v>
      </c>
      <c r="X375" s="38">
        <f>'[2]Приложение 1'!T372</f>
        <v>4503.95</v>
      </c>
      <c r="Y375" s="9">
        <f t="shared" si="48"/>
        <v>3234</v>
      </c>
      <c r="Z375" s="19">
        <f t="shared" si="46"/>
        <v>1269.9499999999998</v>
      </c>
    </row>
    <row r="376" spans="1:26" ht="9" customHeight="1">
      <c r="A376" s="510">
        <v>13</v>
      </c>
      <c r="B376" s="655" t="s">
        <v>488</v>
      </c>
      <c r="C376" s="656" t="s">
        <v>1192</v>
      </c>
      <c r="D376" s="657" t="s">
        <v>111</v>
      </c>
      <c r="E376" s="511">
        <f t="shared" si="51"/>
        <v>5724180</v>
      </c>
      <c r="F376" s="511">
        <v>0</v>
      </c>
      <c r="G376" s="17">
        <v>0</v>
      </c>
      <c r="H376" s="511">
        <v>0</v>
      </c>
      <c r="I376" s="511">
        <v>1770</v>
      </c>
      <c r="J376" s="88"/>
      <c r="K376" s="510"/>
      <c r="L376" s="511">
        <f>ROUND(3234*I376,2)</f>
        <v>5724180</v>
      </c>
      <c r="M376" s="511">
        <v>0</v>
      </c>
      <c r="N376" s="511">
        <v>0</v>
      </c>
      <c r="O376" s="511">
        <v>0</v>
      </c>
      <c r="P376" s="511">
        <v>0</v>
      </c>
      <c r="Q376" s="511">
        <v>0</v>
      </c>
      <c r="R376" s="511">
        <v>0</v>
      </c>
      <c r="S376" s="511">
        <v>0</v>
      </c>
      <c r="T376" s="511">
        <v>0</v>
      </c>
      <c r="U376" s="511">
        <v>0</v>
      </c>
      <c r="V376" s="511">
        <v>0</v>
      </c>
      <c r="X376" s="38">
        <f>'[2]Приложение 1'!T373</f>
        <v>4503.95</v>
      </c>
      <c r="Y376" s="9">
        <f t="shared" si="48"/>
        <v>3234</v>
      </c>
      <c r="Z376" s="19">
        <f t="shared" si="46"/>
        <v>1269.9499999999998</v>
      </c>
    </row>
    <row r="377" spans="1:26" ht="9" customHeight="1">
      <c r="A377" s="510">
        <v>14</v>
      </c>
      <c r="B377" s="655" t="s">
        <v>489</v>
      </c>
      <c r="C377" s="656" t="s">
        <v>1192</v>
      </c>
      <c r="D377" s="657" t="s">
        <v>111</v>
      </c>
      <c r="E377" s="511">
        <f t="shared" si="51"/>
        <v>4624620</v>
      </c>
      <c r="F377" s="511">
        <v>0</v>
      </c>
      <c r="G377" s="17">
        <v>0</v>
      </c>
      <c r="H377" s="511">
        <v>0</v>
      </c>
      <c r="I377" s="511">
        <v>1430</v>
      </c>
      <c r="J377" s="88"/>
      <c r="K377" s="510"/>
      <c r="L377" s="511">
        <f>ROUND(3234*I377,2)</f>
        <v>4624620</v>
      </c>
      <c r="M377" s="511">
        <v>0</v>
      </c>
      <c r="N377" s="511">
        <v>0</v>
      </c>
      <c r="O377" s="511">
        <v>0</v>
      </c>
      <c r="P377" s="511">
        <v>0</v>
      </c>
      <c r="Q377" s="511">
        <v>0</v>
      </c>
      <c r="R377" s="511">
        <v>0</v>
      </c>
      <c r="S377" s="511">
        <v>0</v>
      </c>
      <c r="T377" s="511">
        <v>0</v>
      </c>
      <c r="U377" s="511">
        <v>0</v>
      </c>
      <c r="V377" s="511">
        <v>0</v>
      </c>
      <c r="X377" s="38">
        <f>'[2]Приложение 1'!T374</f>
        <v>4503.95</v>
      </c>
      <c r="Y377" s="9">
        <f t="shared" si="48"/>
        <v>3234</v>
      </c>
      <c r="Z377" s="19">
        <f t="shared" si="46"/>
        <v>1269.9499999999998</v>
      </c>
    </row>
    <row r="378" spans="1:26" ht="9" customHeight="1">
      <c r="A378" s="510">
        <v>15</v>
      </c>
      <c r="B378" s="655" t="s">
        <v>490</v>
      </c>
      <c r="C378" s="656" t="s">
        <v>1192</v>
      </c>
      <c r="D378" s="657" t="s">
        <v>110</v>
      </c>
      <c r="E378" s="511">
        <f t="shared" si="51"/>
        <v>3624058</v>
      </c>
      <c r="F378" s="511">
        <v>0</v>
      </c>
      <c r="G378" s="17">
        <v>0</v>
      </c>
      <c r="H378" s="511">
        <v>0</v>
      </c>
      <c r="I378" s="511">
        <v>1087</v>
      </c>
      <c r="J378" s="88"/>
      <c r="K378" s="510"/>
      <c r="L378" s="511">
        <f t="shared" ref="L378:L383" si="53">ROUND(3334*I378,2)</f>
        <v>3624058</v>
      </c>
      <c r="M378" s="511">
        <v>0</v>
      </c>
      <c r="N378" s="511">
        <v>0</v>
      </c>
      <c r="O378" s="511">
        <v>0</v>
      </c>
      <c r="P378" s="511">
        <v>0</v>
      </c>
      <c r="Q378" s="511">
        <v>0</v>
      </c>
      <c r="R378" s="511">
        <v>0</v>
      </c>
      <c r="S378" s="511">
        <v>0</v>
      </c>
      <c r="T378" s="511">
        <v>0</v>
      </c>
      <c r="U378" s="511">
        <v>0</v>
      </c>
      <c r="V378" s="511">
        <v>0</v>
      </c>
      <c r="X378" s="38">
        <f>'[2]Приложение 1'!T375</f>
        <v>4503.95</v>
      </c>
      <c r="Y378" s="9">
        <f t="shared" si="48"/>
        <v>3334</v>
      </c>
      <c r="Z378" s="19">
        <f t="shared" si="46"/>
        <v>1169.9499999999998</v>
      </c>
    </row>
    <row r="379" spans="1:26" ht="9" customHeight="1">
      <c r="A379" s="510">
        <v>16</v>
      </c>
      <c r="B379" s="655" t="s">
        <v>491</v>
      </c>
      <c r="C379" s="656" t="s">
        <v>1192</v>
      </c>
      <c r="D379" s="657" t="s">
        <v>110</v>
      </c>
      <c r="E379" s="511">
        <f t="shared" si="51"/>
        <v>3647396</v>
      </c>
      <c r="F379" s="511">
        <v>0</v>
      </c>
      <c r="G379" s="17">
        <v>0</v>
      </c>
      <c r="H379" s="511">
        <v>0</v>
      </c>
      <c r="I379" s="511">
        <v>1094</v>
      </c>
      <c r="J379" s="88"/>
      <c r="K379" s="510"/>
      <c r="L379" s="511">
        <f t="shared" si="53"/>
        <v>3647396</v>
      </c>
      <c r="M379" s="511">
        <v>0</v>
      </c>
      <c r="N379" s="511">
        <v>0</v>
      </c>
      <c r="O379" s="511">
        <v>0</v>
      </c>
      <c r="P379" s="511">
        <v>0</v>
      </c>
      <c r="Q379" s="511">
        <v>0</v>
      </c>
      <c r="R379" s="511">
        <v>0</v>
      </c>
      <c r="S379" s="511">
        <v>0</v>
      </c>
      <c r="T379" s="511">
        <v>0</v>
      </c>
      <c r="U379" s="511">
        <v>0</v>
      </c>
      <c r="V379" s="511">
        <v>0</v>
      </c>
      <c r="X379" s="38">
        <f>'[2]Приложение 1'!T376</f>
        <v>4180</v>
      </c>
      <c r="Y379" s="9">
        <f t="shared" si="48"/>
        <v>3334</v>
      </c>
      <c r="Z379" s="19">
        <f t="shared" si="46"/>
        <v>846</v>
      </c>
    </row>
    <row r="380" spans="1:26" ht="9" customHeight="1">
      <c r="A380" s="510">
        <v>17</v>
      </c>
      <c r="B380" s="655" t="s">
        <v>492</v>
      </c>
      <c r="C380" s="656" t="s">
        <v>1192</v>
      </c>
      <c r="D380" s="657" t="s">
        <v>110</v>
      </c>
      <c r="E380" s="511">
        <f t="shared" si="51"/>
        <v>3630726</v>
      </c>
      <c r="F380" s="511">
        <v>0</v>
      </c>
      <c r="G380" s="17">
        <v>0</v>
      </c>
      <c r="H380" s="511">
        <v>0</v>
      </c>
      <c r="I380" s="511">
        <v>1089</v>
      </c>
      <c r="J380" s="88"/>
      <c r="K380" s="510"/>
      <c r="L380" s="511">
        <f t="shared" si="53"/>
        <v>3630726</v>
      </c>
      <c r="M380" s="511">
        <v>0</v>
      </c>
      <c r="N380" s="511">
        <v>0</v>
      </c>
      <c r="O380" s="511">
        <v>0</v>
      </c>
      <c r="P380" s="511">
        <v>0</v>
      </c>
      <c r="Q380" s="511">
        <v>0</v>
      </c>
      <c r="R380" s="511">
        <v>0</v>
      </c>
      <c r="S380" s="511">
        <v>0</v>
      </c>
      <c r="T380" s="511">
        <v>0</v>
      </c>
      <c r="U380" s="511">
        <v>0</v>
      </c>
      <c r="V380" s="511">
        <v>0</v>
      </c>
      <c r="X380" s="38">
        <f>'[2]Приложение 1'!T377</f>
        <v>4180</v>
      </c>
      <c r="Y380" s="9">
        <f t="shared" si="48"/>
        <v>3334</v>
      </c>
      <c r="Z380" s="19">
        <f t="shared" si="46"/>
        <v>846</v>
      </c>
    </row>
    <row r="381" spans="1:26" ht="9" customHeight="1">
      <c r="A381" s="510">
        <v>18</v>
      </c>
      <c r="B381" s="655" t="s">
        <v>493</v>
      </c>
      <c r="C381" s="656" t="s">
        <v>1192</v>
      </c>
      <c r="D381" s="657" t="s">
        <v>110</v>
      </c>
      <c r="E381" s="511">
        <f t="shared" si="51"/>
        <v>1246916</v>
      </c>
      <c r="F381" s="511">
        <v>0</v>
      </c>
      <c r="G381" s="17">
        <v>0</v>
      </c>
      <c r="H381" s="511">
        <v>0</v>
      </c>
      <c r="I381" s="511">
        <v>374</v>
      </c>
      <c r="J381" s="88"/>
      <c r="K381" s="510"/>
      <c r="L381" s="511">
        <f t="shared" si="53"/>
        <v>1246916</v>
      </c>
      <c r="M381" s="511">
        <v>0</v>
      </c>
      <c r="N381" s="511">
        <v>0</v>
      </c>
      <c r="O381" s="511">
        <v>0</v>
      </c>
      <c r="P381" s="511">
        <v>0</v>
      </c>
      <c r="Q381" s="511">
        <v>0</v>
      </c>
      <c r="R381" s="511">
        <v>0</v>
      </c>
      <c r="S381" s="511">
        <v>0</v>
      </c>
      <c r="T381" s="511">
        <v>0</v>
      </c>
      <c r="U381" s="511">
        <v>0</v>
      </c>
      <c r="V381" s="511">
        <v>0</v>
      </c>
      <c r="X381" s="38">
        <f>'[2]Приложение 1'!T378</f>
        <v>4180</v>
      </c>
      <c r="Y381" s="9">
        <f t="shared" si="48"/>
        <v>3334</v>
      </c>
      <c r="Z381" s="19">
        <f t="shared" si="46"/>
        <v>846</v>
      </c>
    </row>
    <row r="382" spans="1:26" ht="9" customHeight="1">
      <c r="A382" s="510">
        <v>19</v>
      </c>
      <c r="B382" s="655" t="s">
        <v>494</v>
      </c>
      <c r="C382" s="656" t="s">
        <v>1192</v>
      </c>
      <c r="D382" s="657" t="s">
        <v>110</v>
      </c>
      <c r="E382" s="511">
        <f t="shared" si="51"/>
        <v>2587184</v>
      </c>
      <c r="F382" s="511">
        <v>0</v>
      </c>
      <c r="G382" s="17">
        <v>0</v>
      </c>
      <c r="H382" s="511">
        <v>0</v>
      </c>
      <c r="I382" s="511">
        <v>776</v>
      </c>
      <c r="J382" s="88"/>
      <c r="K382" s="510"/>
      <c r="L382" s="511">
        <f t="shared" si="53"/>
        <v>2587184</v>
      </c>
      <c r="M382" s="511">
        <v>0</v>
      </c>
      <c r="N382" s="511">
        <v>0</v>
      </c>
      <c r="O382" s="511">
        <v>0</v>
      </c>
      <c r="P382" s="511">
        <v>0</v>
      </c>
      <c r="Q382" s="511">
        <v>0</v>
      </c>
      <c r="R382" s="511">
        <v>0</v>
      </c>
      <c r="S382" s="511">
        <v>0</v>
      </c>
      <c r="T382" s="511">
        <v>0</v>
      </c>
      <c r="U382" s="511">
        <v>0</v>
      </c>
      <c r="V382" s="511">
        <v>0</v>
      </c>
      <c r="X382" s="38">
        <f>'[2]Приложение 1'!T379</f>
        <v>4180</v>
      </c>
      <c r="Y382" s="9">
        <f t="shared" si="48"/>
        <v>3334</v>
      </c>
      <c r="Z382" s="19">
        <f t="shared" si="46"/>
        <v>846</v>
      </c>
    </row>
    <row r="383" spans="1:26" ht="9" customHeight="1">
      <c r="A383" s="510">
        <v>20</v>
      </c>
      <c r="B383" s="655" t="s">
        <v>495</v>
      </c>
      <c r="C383" s="656" t="s">
        <v>1192</v>
      </c>
      <c r="D383" s="657" t="s">
        <v>110</v>
      </c>
      <c r="E383" s="511">
        <f t="shared" si="51"/>
        <v>3327332</v>
      </c>
      <c r="F383" s="511">
        <v>0</v>
      </c>
      <c r="G383" s="17">
        <v>0</v>
      </c>
      <c r="H383" s="511">
        <v>0</v>
      </c>
      <c r="I383" s="511">
        <v>998</v>
      </c>
      <c r="J383" s="88"/>
      <c r="K383" s="510"/>
      <c r="L383" s="511">
        <f t="shared" si="53"/>
        <v>3327332</v>
      </c>
      <c r="M383" s="511">
        <v>0</v>
      </c>
      <c r="N383" s="511">
        <v>0</v>
      </c>
      <c r="O383" s="511">
        <v>0</v>
      </c>
      <c r="P383" s="511">
        <v>0</v>
      </c>
      <c r="Q383" s="511">
        <v>0</v>
      </c>
      <c r="R383" s="511">
        <v>0</v>
      </c>
      <c r="S383" s="511">
        <v>0</v>
      </c>
      <c r="T383" s="511">
        <v>0</v>
      </c>
      <c r="U383" s="511">
        <v>0</v>
      </c>
      <c r="V383" s="511">
        <v>0</v>
      </c>
      <c r="X383" s="38">
        <f>'[2]Приложение 1'!T380</f>
        <v>4180</v>
      </c>
      <c r="Y383" s="9">
        <f t="shared" si="48"/>
        <v>3334</v>
      </c>
      <c r="Z383" s="19">
        <f t="shared" si="46"/>
        <v>846</v>
      </c>
    </row>
    <row r="384" spans="1:26" ht="9" customHeight="1">
      <c r="A384" s="510">
        <v>21</v>
      </c>
      <c r="B384" s="655" t="s">
        <v>496</v>
      </c>
      <c r="C384" s="656" t="s">
        <v>1192</v>
      </c>
      <c r="D384" s="657" t="s">
        <v>111</v>
      </c>
      <c r="E384" s="511">
        <f t="shared" si="51"/>
        <v>2865324</v>
      </c>
      <c r="F384" s="511">
        <v>0</v>
      </c>
      <c r="G384" s="17">
        <v>0</v>
      </c>
      <c r="H384" s="511">
        <v>0</v>
      </c>
      <c r="I384" s="511">
        <v>886</v>
      </c>
      <c r="J384" s="88"/>
      <c r="K384" s="510"/>
      <c r="L384" s="511">
        <f>ROUND(3234*I384,2)</f>
        <v>2865324</v>
      </c>
      <c r="M384" s="511">
        <v>0</v>
      </c>
      <c r="N384" s="511">
        <v>0</v>
      </c>
      <c r="O384" s="511">
        <v>0</v>
      </c>
      <c r="P384" s="511">
        <v>0</v>
      </c>
      <c r="Q384" s="511">
        <v>0</v>
      </c>
      <c r="R384" s="511">
        <v>0</v>
      </c>
      <c r="S384" s="511">
        <v>0</v>
      </c>
      <c r="T384" s="511">
        <v>0</v>
      </c>
      <c r="U384" s="511">
        <v>0</v>
      </c>
      <c r="V384" s="511">
        <v>0</v>
      </c>
      <c r="X384" s="38">
        <f>'[2]Приложение 1'!T381</f>
        <v>4180</v>
      </c>
      <c r="Y384" s="9">
        <f t="shared" si="48"/>
        <v>3234</v>
      </c>
      <c r="Z384" s="19">
        <f t="shared" si="46"/>
        <v>946</v>
      </c>
    </row>
    <row r="385" spans="1:26" ht="9" customHeight="1">
      <c r="A385" s="510">
        <v>22</v>
      </c>
      <c r="B385" s="655" t="s">
        <v>497</v>
      </c>
      <c r="C385" s="656" t="s">
        <v>1192</v>
      </c>
      <c r="D385" s="657" t="s">
        <v>111</v>
      </c>
      <c r="E385" s="511">
        <f t="shared" si="51"/>
        <v>2823282</v>
      </c>
      <c r="F385" s="511">
        <v>0</v>
      </c>
      <c r="G385" s="17">
        <v>0</v>
      </c>
      <c r="H385" s="511">
        <v>0</v>
      </c>
      <c r="I385" s="511">
        <v>873</v>
      </c>
      <c r="J385" s="88"/>
      <c r="K385" s="510"/>
      <c r="L385" s="511">
        <f>ROUND(3234*I385,2)</f>
        <v>2823282</v>
      </c>
      <c r="M385" s="511">
        <v>0</v>
      </c>
      <c r="N385" s="511">
        <v>0</v>
      </c>
      <c r="O385" s="511">
        <v>0</v>
      </c>
      <c r="P385" s="511">
        <v>0</v>
      </c>
      <c r="Q385" s="511">
        <v>0</v>
      </c>
      <c r="R385" s="511">
        <v>0</v>
      </c>
      <c r="S385" s="511">
        <v>0</v>
      </c>
      <c r="T385" s="511">
        <v>0</v>
      </c>
      <c r="U385" s="511">
        <v>0</v>
      </c>
      <c r="V385" s="511">
        <v>0</v>
      </c>
      <c r="X385" s="38">
        <f>'[2]Приложение 1'!T382</f>
        <v>4503.95</v>
      </c>
      <c r="Y385" s="9">
        <f t="shared" si="48"/>
        <v>3234</v>
      </c>
      <c r="Z385" s="19">
        <f t="shared" si="46"/>
        <v>1269.9499999999998</v>
      </c>
    </row>
    <row r="386" spans="1:26" ht="9" customHeight="1">
      <c r="A386" s="510">
        <v>23</v>
      </c>
      <c r="B386" s="655" t="s">
        <v>498</v>
      </c>
      <c r="C386" s="656" t="s">
        <v>1192</v>
      </c>
      <c r="D386" s="657" t="s">
        <v>111</v>
      </c>
      <c r="E386" s="511">
        <f t="shared" si="51"/>
        <v>2393160</v>
      </c>
      <c r="F386" s="511">
        <v>0</v>
      </c>
      <c r="G386" s="17">
        <v>0</v>
      </c>
      <c r="H386" s="511">
        <v>0</v>
      </c>
      <c r="I386" s="511">
        <v>740</v>
      </c>
      <c r="J386" s="88"/>
      <c r="K386" s="510"/>
      <c r="L386" s="511">
        <f>ROUND(3234*I386,2)</f>
        <v>2393160</v>
      </c>
      <c r="M386" s="511">
        <v>0</v>
      </c>
      <c r="N386" s="511">
        <v>0</v>
      </c>
      <c r="O386" s="511">
        <v>0</v>
      </c>
      <c r="P386" s="511">
        <v>0</v>
      </c>
      <c r="Q386" s="511">
        <v>0</v>
      </c>
      <c r="R386" s="511">
        <v>0</v>
      </c>
      <c r="S386" s="511">
        <v>0</v>
      </c>
      <c r="T386" s="511">
        <v>0</v>
      </c>
      <c r="U386" s="511">
        <v>0</v>
      </c>
      <c r="V386" s="511">
        <v>0</v>
      </c>
      <c r="X386" s="38">
        <f>'[2]Приложение 1'!T383</f>
        <v>4503.95</v>
      </c>
      <c r="Y386" s="9">
        <f t="shared" si="48"/>
        <v>3234</v>
      </c>
      <c r="Z386" s="19">
        <f t="shared" si="46"/>
        <v>1269.9499999999998</v>
      </c>
    </row>
    <row r="387" spans="1:26" ht="9" customHeight="1">
      <c r="A387" s="510">
        <v>24</v>
      </c>
      <c r="B387" s="655" t="s">
        <v>499</v>
      </c>
      <c r="C387" s="656" t="s">
        <v>1192</v>
      </c>
      <c r="D387" s="657" t="s">
        <v>111</v>
      </c>
      <c r="E387" s="511">
        <f t="shared" si="51"/>
        <v>5821200</v>
      </c>
      <c r="F387" s="511">
        <v>0</v>
      </c>
      <c r="G387" s="17">
        <v>0</v>
      </c>
      <c r="H387" s="511">
        <v>0</v>
      </c>
      <c r="I387" s="511">
        <v>1800</v>
      </c>
      <c r="J387" s="88"/>
      <c r="K387" s="510"/>
      <c r="L387" s="511">
        <f>ROUND(3234*I387,2)</f>
        <v>5821200</v>
      </c>
      <c r="M387" s="511">
        <v>0</v>
      </c>
      <c r="N387" s="511">
        <v>0</v>
      </c>
      <c r="O387" s="511">
        <v>0</v>
      </c>
      <c r="P387" s="511">
        <v>0</v>
      </c>
      <c r="Q387" s="511">
        <v>0</v>
      </c>
      <c r="R387" s="511">
        <v>0</v>
      </c>
      <c r="S387" s="511">
        <v>0</v>
      </c>
      <c r="T387" s="511">
        <v>0</v>
      </c>
      <c r="U387" s="511">
        <v>0</v>
      </c>
      <c r="V387" s="511">
        <v>0</v>
      </c>
      <c r="X387" s="38">
        <f>'[2]Приложение 1'!T384</f>
        <v>4503.95</v>
      </c>
      <c r="Y387" s="9">
        <f t="shared" si="48"/>
        <v>3234</v>
      </c>
      <c r="Z387" s="19">
        <f t="shared" si="46"/>
        <v>1269.9499999999998</v>
      </c>
    </row>
    <row r="388" spans="1:26" ht="9" customHeight="1">
      <c r="A388" s="510">
        <v>25</v>
      </c>
      <c r="B388" s="655" t="s">
        <v>500</v>
      </c>
      <c r="C388" s="656" t="s">
        <v>1192</v>
      </c>
      <c r="D388" s="657" t="s">
        <v>110</v>
      </c>
      <c r="E388" s="511">
        <f t="shared" si="51"/>
        <v>8234980</v>
      </c>
      <c r="F388" s="511">
        <v>0</v>
      </c>
      <c r="G388" s="17">
        <v>0</v>
      </c>
      <c r="H388" s="511">
        <v>0</v>
      </c>
      <c r="I388" s="511">
        <v>2470</v>
      </c>
      <c r="J388" s="88"/>
      <c r="K388" s="510"/>
      <c r="L388" s="511">
        <f t="shared" ref="L388" si="54">ROUND(3334*I388,2)</f>
        <v>8234980</v>
      </c>
      <c r="M388" s="511">
        <v>0</v>
      </c>
      <c r="N388" s="511">
        <v>0</v>
      </c>
      <c r="O388" s="511">
        <v>0</v>
      </c>
      <c r="P388" s="511">
        <v>0</v>
      </c>
      <c r="Q388" s="511">
        <v>0</v>
      </c>
      <c r="R388" s="511">
        <v>0</v>
      </c>
      <c r="S388" s="511">
        <v>0</v>
      </c>
      <c r="T388" s="511">
        <v>0</v>
      </c>
      <c r="U388" s="511">
        <v>0</v>
      </c>
      <c r="V388" s="511">
        <v>0</v>
      </c>
      <c r="X388" s="38">
        <f>'[2]Приложение 1'!T385</f>
        <v>4503.95</v>
      </c>
      <c r="Y388" s="9">
        <f t="shared" si="48"/>
        <v>3334</v>
      </c>
      <c r="Z388" s="19">
        <f t="shared" si="46"/>
        <v>1169.9499999999998</v>
      </c>
    </row>
    <row r="389" spans="1:26" ht="9" customHeight="1">
      <c r="A389" s="510">
        <v>26</v>
      </c>
      <c r="B389" s="655" t="s">
        <v>501</v>
      </c>
      <c r="C389" s="656" t="s">
        <v>1192</v>
      </c>
      <c r="D389" s="657" t="s">
        <v>110</v>
      </c>
      <c r="E389" s="511">
        <f t="shared" si="51"/>
        <v>4580916</v>
      </c>
      <c r="F389" s="511">
        <v>0</v>
      </c>
      <c r="G389" s="17">
        <v>0</v>
      </c>
      <c r="H389" s="511">
        <v>0</v>
      </c>
      <c r="I389" s="511">
        <v>1374</v>
      </c>
      <c r="J389" s="88"/>
      <c r="K389" s="510"/>
      <c r="L389" s="511">
        <f>ROUND(3334*I389,2)</f>
        <v>4580916</v>
      </c>
      <c r="M389" s="511">
        <v>0</v>
      </c>
      <c r="N389" s="511">
        <v>0</v>
      </c>
      <c r="O389" s="511">
        <v>0</v>
      </c>
      <c r="P389" s="511">
        <v>0</v>
      </c>
      <c r="Q389" s="511">
        <v>0</v>
      </c>
      <c r="R389" s="511">
        <v>0</v>
      </c>
      <c r="S389" s="511">
        <v>0</v>
      </c>
      <c r="T389" s="511">
        <v>0</v>
      </c>
      <c r="U389" s="511">
        <v>0</v>
      </c>
      <c r="V389" s="511">
        <v>0</v>
      </c>
      <c r="X389" s="38">
        <f>'[2]Приложение 1'!T386</f>
        <v>4180</v>
      </c>
      <c r="Y389" s="9">
        <f t="shared" si="48"/>
        <v>3334</v>
      </c>
      <c r="Z389" s="19">
        <f t="shared" si="46"/>
        <v>846</v>
      </c>
    </row>
    <row r="390" spans="1:26" ht="9" customHeight="1">
      <c r="A390" s="510">
        <v>27</v>
      </c>
      <c r="B390" s="655" t="s">
        <v>502</v>
      </c>
      <c r="C390" s="656" t="s">
        <v>1192</v>
      </c>
      <c r="D390" s="657" t="s">
        <v>111</v>
      </c>
      <c r="E390" s="511">
        <f t="shared" si="51"/>
        <v>2668050</v>
      </c>
      <c r="F390" s="511">
        <v>0</v>
      </c>
      <c r="G390" s="17">
        <v>0</v>
      </c>
      <c r="H390" s="511">
        <v>0</v>
      </c>
      <c r="I390" s="511">
        <v>825</v>
      </c>
      <c r="J390" s="88"/>
      <c r="K390" s="510"/>
      <c r="L390" s="511">
        <f>ROUND(3234*I390,2)</f>
        <v>2668050</v>
      </c>
      <c r="M390" s="511">
        <v>0</v>
      </c>
      <c r="N390" s="511">
        <v>0</v>
      </c>
      <c r="O390" s="511">
        <v>0</v>
      </c>
      <c r="P390" s="511">
        <v>0</v>
      </c>
      <c r="Q390" s="511">
        <v>0</v>
      </c>
      <c r="R390" s="511">
        <v>0</v>
      </c>
      <c r="S390" s="511">
        <v>0</v>
      </c>
      <c r="T390" s="511">
        <v>0</v>
      </c>
      <c r="U390" s="511">
        <v>0</v>
      </c>
      <c r="V390" s="511">
        <v>0</v>
      </c>
      <c r="X390" s="38">
        <f>'[2]Приложение 1'!T387</f>
        <v>4180</v>
      </c>
      <c r="Y390" s="9">
        <f t="shared" si="48"/>
        <v>3234</v>
      </c>
      <c r="Z390" s="19">
        <f t="shared" si="46"/>
        <v>946</v>
      </c>
    </row>
    <row r="391" spans="1:26" ht="9" customHeight="1">
      <c r="A391" s="510">
        <v>28</v>
      </c>
      <c r="B391" s="655" t="s">
        <v>503</v>
      </c>
      <c r="C391" s="656" t="s">
        <v>1192</v>
      </c>
      <c r="D391" s="657" t="s">
        <v>110</v>
      </c>
      <c r="E391" s="511">
        <f t="shared" si="51"/>
        <v>6668000</v>
      </c>
      <c r="F391" s="511">
        <v>0</v>
      </c>
      <c r="G391" s="17">
        <v>0</v>
      </c>
      <c r="H391" s="511">
        <v>0</v>
      </c>
      <c r="I391" s="511">
        <v>2000</v>
      </c>
      <c r="J391" s="88"/>
      <c r="K391" s="510"/>
      <c r="L391" s="511">
        <f t="shared" ref="L391:L398" si="55">ROUND(3334*I391,2)</f>
        <v>6668000</v>
      </c>
      <c r="M391" s="511">
        <v>0</v>
      </c>
      <c r="N391" s="511">
        <v>0</v>
      </c>
      <c r="O391" s="511">
        <v>0</v>
      </c>
      <c r="P391" s="511">
        <v>0</v>
      </c>
      <c r="Q391" s="511">
        <v>0</v>
      </c>
      <c r="R391" s="511">
        <v>0</v>
      </c>
      <c r="S391" s="511">
        <v>0</v>
      </c>
      <c r="T391" s="511">
        <v>0</v>
      </c>
      <c r="U391" s="511">
        <v>0</v>
      </c>
      <c r="V391" s="511">
        <v>0</v>
      </c>
      <c r="X391" s="38">
        <f>'[2]Приложение 1'!T388</f>
        <v>4503.95</v>
      </c>
      <c r="Y391" s="9">
        <f t="shared" si="48"/>
        <v>3334</v>
      </c>
      <c r="Z391" s="19">
        <f t="shared" si="46"/>
        <v>1169.9499999999998</v>
      </c>
    </row>
    <row r="392" spans="1:26" ht="9" customHeight="1">
      <c r="A392" s="510">
        <v>29</v>
      </c>
      <c r="B392" s="655" t="s">
        <v>504</v>
      </c>
      <c r="C392" s="656" t="s">
        <v>1192</v>
      </c>
      <c r="D392" s="657" t="s">
        <v>110</v>
      </c>
      <c r="E392" s="511">
        <f t="shared" si="51"/>
        <v>4000800</v>
      </c>
      <c r="F392" s="511">
        <v>0</v>
      </c>
      <c r="G392" s="17">
        <v>0</v>
      </c>
      <c r="H392" s="511">
        <v>0</v>
      </c>
      <c r="I392" s="511">
        <v>1200</v>
      </c>
      <c r="J392" s="88"/>
      <c r="K392" s="510"/>
      <c r="L392" s="511">
        <f t="shared" si="55"/>
        <v>4000800</v>
      </c>
      <c r="M392" s="511">
        <v>0</v>
      </c>
      <c r="N392" s="511">
        <v>0</v>
      </c>
      <c r="O392" s="511">
        <v>0</v>
      </c>
      <c r="P392" s="511">
        <v>0</v>
      </c>
      <c r="Q392" s="511">
        <v>0</v>
      </c>
      <c r="R392" s="511">
        <v>0</v>
      </c>
      <c r="S392" s="511">
        <v>0</v>
      </c>
      <c r="T392" s="511">
        <v>0</v>
      </c>
      <c r="U392" s="511">
        <v>0</v>
      </c>
      <c r="V392" s="511">
        <v>0</v>
      </c>
      <c r="X392" s="38">
        <f>'[2]Приложение 1'!T389</f>
        <v>4180</v>
      </c>
      <c r="Y392" s="9">
        <f t="shared" si="48"/>
        <v>3334</v>
      </c>
      <c r="Z392" s="19">
        <f t="shared" si="46"/>
        <v>846</v>
      </c>
    </row>
    <row r="393" spans="1:26" ht="9" customHeight="1">
      <c r="A393" s="510">
        <v>30</v>
      </c>
      <c r="B393" s="655" t="s">
        <v>505</v>
      </c>
      <c r="C393" s="656" t="s">
        <v>1192</v>
      </c>
      <c r="D393" s="657" t="s">
        <v>110</v>
      </c>
      <c r="E393" s="511">
        <f t="shared" si="51"/>
        <v>3114956.2</v>
      </c>
      <c r="F393" s="511">
        <v>0</v>
      </c>
      <c r="G393" s="17">
        <v>0</v>
      </c>
      <c r="H393" s="511">
        <v>0</v>
      </c>
      <c r="I393" s="511">
        <v>934.3</v>
      </c>
      <c r="J393" s="88"/>
      <c r="K393" s="510"/>
      <c r="L393" s="511">
        <f t="shared" si="55"/>
        <v>3114956.2</v>
      </c>
      <c r="M393" s="511">
        <v>0</v>
      </c>
      <c r="N393" s="511">
        <v>0</v>
      </c>
      <c r="O393" s="511">
        <v>0</v>
      </c>
      <c r="P393" s="511">
        <v>0</v>
      </c>
      <c r="Q393" s="511">
        <v>0</v>
      </c>
      <c r="R393" s="511">
        <v>0</v>
      </c>
      <c r="S393" s="511">
        <v>0</v>
      </c>
      <c r="T393" s="511">
        <v>0</v>
      </c>
      <c r="U393" s="511">
        <v>0</v>
      </c>
      <c r="V393" s="511">
        <v>0</v>
      </c>
      <c r="X393" s="38">
        <f>'[2]Приложение 1'!T390</f>
        <v>4180</v>
      </c>
      <c r="Y393" s="9">
        <f t="shared" si="48"/>
        <v>3334.0000000000005</v>
      </c>
      <c r="Z393" s="19">
        <f t="shared" si="46"/>
        <v>845.99999999999955</v>
      </c>
    </row>
    <row r="394" spans="1:26" ht="9" customHeight="1">
      <c r="A394" s="510">
        <v>31</v>
      </c>
      <c r="B394" s="655" t="s">
        <v>506</v>
      </c>
      <c r="C394" s="656" t="s">
        <v>1192</v>
      </c>
      <c r="D394" s="657" t="s">
        <v>110</v>
      </c>
      <c r="E394" s="511">
        <f t="shared" si="51"/>
        <v>3190638</v>
      </c>
      <c r="F394" s="511">
        <v>0</v>
      </c>
      <c r="G394" s="17">
        <v>0</v>
      </c>
      <c r="H394" s="511">
        <v>0</v>
      </c>
      <c r="I394" s="511">
        <v>957</v>
      </c>
      <c r="J394" s="88"/>
      <c r="K394" s="510"/>
      <c r="L394" s="511">
        <f t="shared" si="55"/>
        <v>3190638</v>
      </c>
      <c r="M394" s="511">
        <v>0</v>
      </c>
      <c r="N394" s="511">
        <v>0</v>
      </c>
      <c r="O394" s="511">
        <v>0</v>
      </c>
      <c r="P394" s="511">
        <v>0</v>
      </c>
      <c r="Q394" s="511">
        <v>0</v>
      </c>
      <c r="R394" s="511">
        <v>0</v>
      </c>
      <c r="S394" s="511">
        <v>0</v>
      </c>
      <c r="T394" s="511">
        <v>0</v>
      </c>
      <c r="U394" s="511">
        <v>0</v>
      </c>
      <c r="V394" s="511">
        <v>0</v>
      </c>
      <c r="X394" s="38">
        <f>'[2]Приложение 1'!T391</f>
        <v>4180</v>
      </c>
      <c r="Y394" s="9">
        <f t="shared" si="48"/>
        <v>3334</v>
      </c>
      <c r="Z394" s="19">
        <f t="shared" si="46"/>
        <v>846</v>
      </c>
    </row>
    <row r="395" spans="1:26" ht="9" customHeight="1">
      <c r="A395" s="510">
        <v>32</v>
      </c>
      <c r="B395" s="655" t="s">
        <v>507</v>
      </c>
      <c r="C395" s="656" t="s">
        <v>1192</v>
      </c>
      <c r="D395" s="657" t="s">
        <v>110</v>
      </c>
      <c r="E395" s="511">
        <f t="shared" si="51"/>
        <v>4000800</v>
      </c>
      <c r="F395" s="511">
        <v>0</v>
      </c>
      <c r="G395" s="17">
        <v>0</v>
      </c>
      <c r="H395" s="511">
        <v>0</v>
      </c>
      <c r="I395" s="511">
        <v>1200</v>
      </c>
      <c r="J395" s="88"/>
      <c r="K395" s="510"/>
      <c r="L395" s="511">
        <f t="shared" si="55"/>
        <v>4000800</v>
      </c>
      <c r="M395" s="511">
        <v>0</v>
      </c>
      <c r="N395" s="511">
        <v>0</v>
      </c>
      <c r="O395" s="511">
        <v>0</v>
      </c>
      <c r="P395" s="511">
        <v>0</v>
      </c>
      <c r="Q395" s="511">
        <v>0</v>
      </c>
      <c r="R395" s="511">
        <v>0</v>
      </c>
      <c r="S395" s="511">
        <v>0</v>
      </c>
      <c r="T395" s="511">
        <v>0</v>
      </c>
      <c r="U395" s="511">
        <v>0</v>
      </c>
      <c r="V395" s="511">
        <v>0</v>
      </c>
      <c r="X395" s="38">
        <f>'[2]Приложение 1'!T392</f>
        <v>4180</v>
      </c>
      <c r="Y395" s="9">
        <f t="shared" si="48"/>
        <v>3334</v>
      </c>
      <c r="Z395" s="19">
        <f t="shared" si="46"/>
        <v>846</v>
      </c>
    </row>
    <row r="396" spans="1:26" ht="9" customHeight="1">
      <c r="A396" s="510">
        <v>33</v>
      </c>
      <c r="B396" s="655" t="s">
        <v>508</v>
      </c>
      <c r="C396" s="656" t="s">
        <v>1192</v>
      </c>
      <c r="D396" s="657" t="s">
        <v>110</v>
      </c>
      <c r="E396" s="511">
        <f t="shared" si="51"/>
        <v>6334600</v>
      </c>
      <c r="F396" s="511">
        <v>0</v>
      </c>
      <c r="G396" s="17">
        <v>0</v>
      </c>
      <c r="H396" s="511">
        <v>0</v>
      </c>
      <c r="I396" s="511">
        <v>1900</v>
      </c>
      <c r="J396" s="88"/>
      <c r="K396" s="510"/>
      <c r="L396" s="511">
        <f t="shared" si="55"/>
        <v>6334600</v>
      </c>
      <c r="M396" s="511">
        <v>0</v>
      </c>
      <c r="N396" s="511">
        <v>0</v>
      </c>
      <c r="O396" s="511">
        <v>0</v>
      </c>
      <c r="P396" s="511">
        <v>0</v>
      </c>
      <c r="Q396" s="511">
        <v>0</v>
      </c>
      <c r="R396" s="511">
        <v>0</v>
      </c>
      <c r="S396" s="511">
        <v>0</v>
      </c>
      <c r="T396" s="511">
        <v>0</v>
      </c>
      <c r="U396" s="511">
        <v>0</v>
      </c>
      <c r="V396" s="511">
        <v>0</v>
      </c>
      <c r="X396" s="38">
        <f>'[2]Приложение 1'!T393</f>
        <v>4180</v>
      </c>
      <c r="Y396" s="9">
        <f t="shared" si="48"/>
        <v>3334</v>
      </c>
      <c r="Z396" s="19">
        <f t="shared" si="46"/>
        <v>846</v>
      </c>
    </row>
    <row r="397" spans="1:26" ht="9" customHeight="1">
      <c r="A397" s="510">
        <v>34</v>
      </c>
      <c r="B397" s="655" t="s">
        <v>509</v>
      </c>
      <c r="C397" s="656" t="s">
        <v>1192</v>
      </c>
      <c r="D397" s="657" t="s">
        <v>110</v>
      </c>
      <c r="E397" s="511">
        <f t="shared" si="51"/>
        <v>1833700</v>
      </c>
      <c r="F397" s="511">
        <v>0</v>
      </c>
      <c r="G397" s="17">
        <v>0</v>
      </c>
      <c r="H397" s="511">
        <v>0</v>
      </c>
      <c r="I397" s="511">
        <v>550</v>
      </c>
      <c r="J397" s="88"/>
      <c r="K397" s="510"/>
      <c r="L397" s="511">
        <f t="shared" si="55"/>
        <v>1833700</v>
      </c>
      <c r="M397" s="511">
        <v>0</v>
      </c>
      <c r="N397" s="511">
        <v>0</v>
      </c>
      <c r="O397" s="511">
        <v>0</v>
      </c>
      <c r="P397" s="511">
        <v>0</v>
      </c>
      <c r="Q397" s="511">
        <v>0</v>
      </c>
      <c r="R397" s="511">
        <v>0</v>
      </c>
      <c r="S397" s="511">
        <v>0</v>
      </c>
      <c r="T397" s="511">
        <v>0</v>
      </c>
      <c r="U397" s="511">
        <v>0</v>
      </c>
      <c r="V397" s="511">
        <v>0</v>
      </c>
      <c r="X397" s="38">
        <f>'[2]Приложение 1'!T394</f>
        <v>4180</v>
      </c>
      <c r="Y397" s="9">
        <f t="shared" si="48"/>
        <v>3334</v>
      </c>
      <c r="Z397" s="19">
        <f t="shared" si="46"/>
        <v>846</v>
      </c>
    </row>
    <row r="398" spans="1:26" ht="9" customHeight="1">
      <c r="A398" s="510">
        <v>35</v>
      </c>
      <c r="B398" s="655" t="s">
        <v>511</v>
      </c>
      <c r="C398" s="656" t="s">
        <v>1192</v>
      </c>
      <c r="D398" s="657" t="s">
        <v>110</v>
      </c>
      <c r="E398" s="511">
        <f t="shared" si="51"/>
        <v>3390678</v>
      </c>
      <c r="F398" s="511">
        <v>0</v>
      </c>
      <c r="G398" s="17">
        <v>0</v>
      </c>
      <c r="H398" s="511">
        <v>0</v>
      </c>
      <c r="I398" s="511">
        <v>1017</v>
      </c>
      <c r="J398" s="88"/>
      <c r="K398" s="510"/>
      <c r="L398" s="511">
        <f t="shared" si="55"/>
        <v>3390678</v>
      </c>
      <c r="M398" s="511">
        <v>0</v>
      </c>
      <c r="N398" s="511">
        <v>0</v>
      </c>
      <c r="O398" s="511">
        <v>0</v>
      </c>
      <c r="P398" s="511">
        <v>0</v>
      </c>
      <c r="Q398" s="511">
        <v>0</v>
      </c>
      <c r="R398" s="511">
        <v>0</v>
      </c>
      <c r="S398" s="511">
        <v>0</v>
      </c>
      <c r="T398" s="511">
        <v>0</v>
      </c>
      <c r="U398" s="511">
        <v>0</v>
      </c>
      <c r="V398" s="511">
        <v>0</v>
      </c>
      <c r="X398" s="38">
        <f>'[2]Приложение 1'!T395</f>
        <v>4180</v>
      </c>
      <c r="Y398" s="9">
        <f t="shared" si="48"/>
        <v>3334</v>
      </c>
      <c r="Z398" s="19">
        <f t="shared" si="46"/>
        <v>846</v>
      </c>
    </row>
    <row r="399" spans="1:26" ht="9" customHeight="1">
      <c r="A399" s="510">
        <v>36</v>
      </c>
      <c r="B399" s="655" t="s">
        <v>512</v>
      </c>
      <c r="C399" s="656" t="s">
        <v>1192</v>
      </c>
      <c r="D399" s="657" t="s">
        <v>111</v>
      </c>
      <c r="E399" s="511">
        <f t="shared" si="51"/>
        <v>3790248</v>
      </c>
      <c r="F399" s="511">
        <v>0</v>
      </c>
      <c r="G399" s="17">
        <v>0</v>
      </c>
      <c r="H399" s="511">
        <v>0</v>
      </c>
      <c r="I399" s="511">
        <v>1172</v>
      </c>
      <c r="J399" s="88"/>
      <c r="K399" s="510"/>
      <c r="L399" s="511">
        <f>ROUND(3234*I399,2)</f>
        <v>3790248</v>
      </c>
      <c r="M399" s="511">
        <v>0</v>
      </c>
      <c r="N399" s="511">
        <v>0</v>
      </c>
      <c r="O399" s="511">
        <v>0</v>
      </c>
      <c r="P399" s="511">
        <v>0</v>
      </c>
      <c r="Q399" s="511">
        <v>0</v>
      </c>
      <c r="R399" s="511">
        <v>0</v>
      </c>
      <c r="S399" s="511">
        <v>0</v>
      </c>
      <c r="T399" s="511">
        <v>0</v>
      </c>
      <c r="U399" s="511">
        <v>0</v>
      </c>
      <c r="V399" s="511">
        <v>0</v>
      </c>
      <c r="X399" s="38">
        <f>'[2]Приложение 1'!T396</f>
        <v>4180</v>
      </c>
      <c r="Y399" s="9">
        <f t="shared" si="48"/>
        <v>3234</v>
      </c>
      <c r="Z399" s="19">
        <f t="shared" si="46"/>
        <v>946</v>
      </c>
    </row>
    <row r="400" spans="1:26" ht="9" customHeight="1">
      <c r="A400" s="510">
        <v>37</v>
      </c>
      <c r="B400" s="655" t="s">
        <v>513</v>
      </c>
      <c r="C400" s="656" t="s">
        <v>1192</v>
      </c>
      <c r="D400" s="657" t="s">
        <v>111</v>
      </c>
      <c r="E400" s="511">
        <f t="shared" si="51"/>
        <v>1875720</v>
      </c>
      <c r="F400" s="511">
        <v>0</v>
      </c>
      <c r="G400" s="17">
        <v>0</v>
      </c>
      <c r="H400" s="511">
        <v>0</v>
      </c>
      <c r="I400" s="511">
        <v>580</v>
      </c>
      <c r="J400" s="88"/>
      <c r="K400" s="510"/>
      <c r="L400" s="511">
        <f>ROUND(3234*I400,2)</f>
        <v>1875720</v>
      </c>
      <c r="M400" s="511">
        <v>0</v>
      </c>
      <c r="N400" s="511">
        <v>0</v>
      </c>
      <c r="O400" s="511">
        <v>0</v>
      </c>
      <c r="P400" s="511">
        <v>0</v>
      </c>
      <c r="Q400" s="511">
        <v>0</v>
      </c>
      <c r="R400" s="511">
        <v>0</v>
      </c>
      <c r="S400" s="511">
        <v>0</v>
      </c>
      <c r="T400" s="511">
        <v>0</v>
      </c>
      <c r="U400" s="511">
        <v>0</v>
      </c>
      <c r="V400" s="511">
        <v>0</v>
      </c>
      <c r="X400" s="38">
        <f>'[2]Приложение 1'!T397</f>
        <v>4503.95</v>
      </c>
      <c r="Y400" s="9">
        <f t="shared" si="48"/>
        <v>3234</v>
      </c>
      <c r="Z400" s="19">
        <f t="shared" si="46"/>
        <v>1269.9499999999998</v>
      </c>
    </row>
    <row r="401" spans="1:26" ht="9" customHeight="1">
      <c r="A401" s="510">
        <v>38</v>
      </c>
      <c r="B401" s="655" t="s">
        <v>514</v>
      </c>
      <c r="C401" s="656" t="s">
        <v>1192</v>
      </c>
      <c r="D401" s="657" t="s">
        <v>111</v>
      </c>
      <c r="E401" s="511">
        <f t="shared" si="51"/>
        <v>3557400</v>
      </c>
      <c r="F401" s="511">
        <v>0</v>
      </c>
      <c r="G401" s="17">
        <v>0</v>
      </c>
      <c r="H401" s="511">
        <v>0</v>
      </c>
      <c r="I401" s="511">
        <v>1100</v>
      </c>
      <c r="J401" s="88"/>
      <c r="K401" s="510"/>
      <c r="L401" s="511">
        <f>ROUND(3234*I401,2)</f>
        <v>3557400</v>
      </c>
      <c r="M401" s="511">
        <v>0</v>
      </c>
      <c r="N401" s="511">
        <v>0</v>
      </c>
      <c r="O401" s="511">
        <v>0</v>
      </c>
      <c r="P401" s="511">
        <v>0</v>
      </c>
      <c r="Q401" s="511">
        <v>0</v>
      </c>
      <c r="R401" s="511">
        <v>0</v>
      </c>
      <c r="S401" s="511">
        <v>0</v>
      </c>
      <c r="T401" s="511">
        <v>0</v>
      </c>
      <c r="U401" s="511">
        <v>0</v>
      </c>
      <c r="V401" s="511">
        <v>0</v>
      </c>
      <c r="X401" s="38">
        <f>'[2]Приложение 1'!T398</f>
        <v>4503.95</v>
      </c>
      <c r="Y401" s="9">
        <f t="shared" si="48"/>
        <v>3234</v>
      </c>
      <c r="Z401" s="19">
        <f t="shared" si="46"/>
        <v>1269.9499999999998</v>
      </c>
    </row>
    <row r="402" spans="1:26" ht="9" customHeight="1">
      <c r="A402" s="510">
        <v>39</v>
      </c>
      <c r="B402" s="655" t="s">
        <v>515</v>
      </c>
      <c r="C402" s="656" t="s">
        <v>1192</v>
      </c>
      <c r="D402" s="657" t="s">
        <v>110</v>
      </c>
      <c r="E402" s="511">
        <f t="shared" si="51"/>
        <v>2783890</v>
      </c>
      <c r="F402" s="511">
        <v>0</v>
      </c>
      <c r="G402" s="17">
        <v>0</v>
      </c>
      <c r="H402" s="511">
        <v>0</v>
      </c>
      <c r="I402" s="511">
        <v>835</v>
      </c>
      <c r="J402" s="88"/>
      <c r="K402" s="510"/>
      <c r="L402" s="511">
        <f t="shared" ref="L402:L411" si="56">ROUND(3334*I402,2)</f>
        <v>2783890</v>
      </c>
      <c r="M402" s="511">
        <v>0</v>
      </c>
      <c r="N402" s="511">
        <v>0</v>
      </c>
      <c r="O402" s="511">
        <v>0</v>
      </c>
      <c r="P402" s="511">
        <v>0</v>
      </c>
      <c r="Q402" s="511">
        <v>0</v>
      </c>
      <c r="R402" s="511">
        <v>0</v>
      </c>
      <c r="S402" s="511">
        <v>0</v>
      </c>
      <c r="T402" s="511">
        <v>0</v>
      </c>
      <c r="U402" s="511">
        <v>0</v>
      </c>
      <c r="V402" s="511">
        <v>0</v>
      </c>
      <c r="X402" s="38">
        <f>'[2]Приложение 1'!T399</f>
        <v>4503.95</v>
      </c>
      <c r="Y402" s="9">
        <f t="shared" si="48"/>
        <v>3334</v>
      </c>
      <c r="Z402" s="19">
        <f t="shared" si="46"/>
        <v>1169.9499999999998</v>
      </c>
    </row>
    <row r="403" spans="1:26" ht="9" customHeight="1">
      <c r="A403" s="510">
        <v>40</v>
      </c>
      <c r="B403" s="655" t="s">
        <v>516</v>
      </c>
      <c r="C403" s="656" t="s">
        <v>1192</v>
      </c>
      <c r="D403" s="657" t="s">
        <v>110</v>
      </c>
      <c r="E403" s="511">
        <f t="shared" si="51"/>
        <v>2167100</v>
      </c>
      <c r="F403" s="511">
        <v>0</v>
      </c>
      <c r="G403" s="17">
        <v>0</v>
      </c>
      <c r="H403" s="511">
        <v>0</v>
      </c>
      <c r="I403" s="511">
        <v>650</v>
      </c>
      <c r="J403" s="88"/>
      <c r="K403" s="510"/>
      <c r="L403" s="511">
        <f t="shared" si="56"/>
        <v>2167100</v>
      </c>
      <c r="M403" s="511">
        <v>0</v>
      </c>
      <c r="N403" s="511">
        <v>0</v>
      </c>
      <c r="O403" s="511">
        <v>0</v>
      </c>
      <c r="P403" s="511">
        <v>0</v>
      </c>
      <c r="Q403" s="511">
        <v>0</v>
      </c>
      <c r="R403" s="511">
        <v>0</v>
      </c>
      <c r="S403" s="511">
        <v>0</v>
      </c>
      <c r="T403" s="511">
        <v>0</v>
      </c>
      <c r="U403" s="511">
        <v>0</v>
      </c>
      <c r="V403" s="511">
        <v>0</v>
      </c>
      <c r="X403" s="38">
        <f>'[2]Приложение 1'!T400</f>
        <v>4180</v>
      </c>
      <c r="Y403" s="9">
        <f t="shared" si="48"/>
        <v>3334</v>
      </c>
      <c r="Z403" s="19">
        <f t="shared" si="46"/>
        <v>846</v>
      </c>
    </row>
    <row r="404" spans="1:26" ht="9" customHeight="1">
      <c r="A404" s="510">
        <v>41</v>
      </c>
      <c r="B404" s="655" t="s">
        <v>517</v>
      </c>
      <c r="C404" s="656" t="s">
        <v>1192</v>
      </c>
      <c r="D404" s="657" t="s">
        <v>110</v>
      </c>
      <c r="E404" s="511">
        <f t="shared" si="51"/>
        <v>3167300</v>
      </c>
      <c r="F404" s="511">
        <v>0</v>
      </c>
      <c r="G404" s="17">
        <v>0</v>
      </c>
      <c r="H404" s="511">
        <v>0</v>
      </c>
      <c r="I404" s="511">
        <v>950</v>
      </c>
      <c r="J404" s="88"/>
      <c r="K404" s="510"/>
      <c r="L404" s="511">
        <f t="shared" si="56"/>
        <v>3167300</v>
      </c>
      <c r="M404" s="511">
        <v>0</v>
      </c>
      <c r="N404" s="511">
        <v>0</v>
      </c>
      <c r="O404" s="511">
        <v>0</v>
      </c>
      <c r="P404" s="511">
        <v>0</v>
      </c>
      <c r="Q404" s="511">
        <v>0</v>
      </c>
      <c r="R404" s="511">
        <v>0</v>
      </c>
      <c r="S404" s="511">
        <v>0</v>
      </c>
      <c r="T404" s="511">
        <v>0</v>
      </c>
      <c r="U404" s="511">
        <v>0</v>
      </c>
      <c r="V404" s="511">
        <v>0</v>
      </c>
      <c r="X404" s="38">
        <f>'[2]Приложение 1'!T401</f>
        <v>4180</v>
      </c>
      <c r="Y404" s="9">
        <f t="shared" si="48"/>
        <v>3334</v>
      </c>
      <c r="Z404" s="19">
        <f t="shared" si="46"/>
        <v>846</v>
      </c>
    </row>
    <row r="405" spans="1:26" ht="9" customHeight="1">
      <c r="A405" s="510">
        <v>42</v>
      </c>
      <c r="B405" s="655" t="s">
        <v>518</v>
      </c>
      <c r="C405" s="656" t="s">
        <v>1192</v>
      </c>
      <c r="D405" s="657" t="s">
        <v>110</v>
      </c>
      <c r="E405" s="511">
        <f t="shared" si="51"/>
        <v>3200640</v>
      </c>
      <c r="F405" s="511">
        <v>0</v>
      </c>
      <c r="G405" s="17">
        <v>0</v>
      </c>
      <c r="H405" s="511">
        <v>0</v>
      </c>
      <c r="I405" s="511">
        <v>960</v>
      </c>
      <c r="J405" s="88"/>
      <c r="K405" s="510"/>
      <c r="L405" s="511">
        <f t="shared" si="56"/>
        <v>3200640</v>
      </c>
      <c r="M405" s="511">
        <v>0</v>
      </c>
      <c r="N405" s="511">
        <v>0</v>
      </c>
      <c r="O405" s="511">
        <v>0</v>
      </c>
      <c r="P405" s="511">
        <v>0</v>
      </c>
      <c r="Q405" s="511">
        <v>0</v>
      </c>
      <c r="R405" s="511">
        <v>0</v>
      </c>
      <c r="S405" s="511">
        <v>0</v>
      </c>
      <c r="T405" s="511">
        <v>0</v>
      </c>
      <c r="U405" s="511">
        <v>0</v>
      </c>
      <c r="V405" s="511">
        <v>0</v>
      </c>
      <c r="X405" s="38">
        <f>'[2]Приложение 1'!T402</f>
        <v>4180</v>
      </c>
      <c r="Y405" s="9">
        <f t="shared" si="48"/>
        <v>3334</v>
      </c>
      <c r="Z405" s="19">
        <f t="shared" si="46"/>
        <v>846</v>
      </c>
    </row>
    <row r="406" spans="1:26" ht="9" customHeight="1">
      <c r="A406" s="510">
        <v>43</v>
      </c>
      <c r="B406" s="655" t="s">
        <v>519</v>
      </c>
      <c r="C406" s="656" t="s">
        <v>1192</v>
      </c>
      <c r="D406" s="657" t="s">
        <v>110</v>
      </c>
      <c r="E406" s="511">
        <f t="shared" si="51"/>
        <v>2296125.7999999998</v>
      </c>
      <c r="F406" s="511">
        <v>0</v>
      </c>
      <c r="G406" s="17">
        <v>0</v>
      </c>
      <c r="H406" s="511">
        <v>0</v>
      </c>
      <c r="I406" s="511">
        <v>688.7</v>
      </c>
      <c r="J406" s="88"/>
      <c r="K406" s="510"/>
      <c r="L406" s="511">
        <f t="shared" si="56"/>
        <v>2296125.7999999998</v>
      </c>
      <c r="M406" s="511">
        <v>0</v>
      </c>
      <c r="N406" s="511">
        <v>0</v>
      </c>
      <c r="O406" s="511">
        <v>0</v>
      </c>
      <c r="P406" s="511">
        <v>0</v>
      </c>
      <c r="Q406" s="511">
        <v>0</v>
      </c>
      <c r="R406" s="511">
        <v>0</v>
      </c>
      <c r="S406" s="511">
        <v>0</v>
      </c>
      <c r="T406" s="511">
        <v>0</v>
      </c>
      <c r="U406" s="511">
        <v>0</v>
      </c>
      <c r="V406" s="511">
        <v>0</v>
      </c>
      <c r="X406" s="38">
        <f>'[2]Приложение 1'!T403</f>
        <v>4180</v>
      </c>
      <c r="Y406" s="9">
        <f t="shared" si="48"/>
        <v>3333.9999999999995</v>
      </c>
      <c r="Z406" s="19">
        <f t="shared" si="46"/>
        <v>846.00000000000045</v>
      </c>
    </row>
    <row r="407" spans="1:26" ht="9" customHeight="1">
      <c r="A407" s="510">
        <v>44</v>
      </c>
      <c r="B407" s="655" t="s">
        <v>520</v>
      </c>
      <c r="C407" s="656" t="s">
        <v>1192</v>
      </c>
      <c r="D407" s="657" t="s">
        <v>110</v>
      </c>
      <c r="E407" s="511">
        <f t="shared" si="51"/>
        <v>3200640</v>
      </c>
      <c r="F407" s="511">
        <v>0</v>
      </c>
      <c r="G407" s="17">
        <v>0</v>
      </c>
      <c r="H407" s="511">
        <v>0</v>
      </c>
      <c r="I407" s="511">
        <v>960</v>
      </c>
      <c r="J407" s="88"/>
      <c r="K407" s="510"/>
      <c r="L407" s="511">
        <f t="shared" si="56"/>
        <v>3200640</v>
      </c>
      <c r="M407" s="511">
        <v>0</v>
      </c>
      <c r="N407" s="511">
        <v>0</v>
      </c>
      <c r="O407" s="511">
        <v>0</v>
      </c>
      <c r="P407" s="511">
        <v>0</v>
      </c>
      <c r="Q407" s="511">
        <v>0</v>
      </c>
      <c r="R407" s="511">
        <v>0</v>
      </c>
      <c r="S407" s="511">
        <v>0</v>
      </c>
      <c r="T407" s="511">
        <v>0</v>
      </c>
      <c r="U407" s="511">
        <v>0</v>
      </c>
      <c r="V407" s="511">
        <v>0</v>
      </c>
      <c r="X407" s="38">
        <f>'[2]Приложение 1'!T404</f>
        <v>4180</v>
      </c>
      <c r="Y407" s="9">
        <f t="shared" si="48"/>
        <v>3334</v>
      </c>
      <c r="Z407" s="19">
        <f t="shared" ref="Z407:Z470" si="57">X407-Y407</f>
        <v>846</v>
      </c>
    </row>
    <row r="408" spans="1:26" ht="9" customHeight="1">
      <c r="A408" s="510">
        <v>45</v>
      </c>
      <c r="B408" s="655" t="s">
        <v>521</v>
      </c>
      <c r="C408" s="656" t="s">
        <v>1192</v>
      </c>
      <c r="D408" s="657" t="s">
        <v>110</v>
      </c>
      <c r="E408" s="511">
        <f t="shared" si="51"/>
        <v>12002400</v>
      </c>
      <c r="F408" s="511">
        <v>0</v>
      </c>
      <c r="G408" s="17">
        <v>0</v>
      </c>
      <c r="H408" s="511">
        <v>0</v>
      </c>
      <c r="I408" s="511">
        <v>3600</v>
      </c>
      <c r="J408" s="88"/>
      <c r="K408" s="510"/>
      <c r="L408" s="511">
        <f t="shared" si="56"/>
        <v>12002400</v>
      </c>
      <c r="M408" s="511">
        <v>0</v>
      </c>
      <c r="N408" s="511">
        <v>0</v>
      </c>
      <c r="O408" s="511">
        <v>0</v>
      </c>
      <c r="P408" s="511">
        <v>0</v>
      </c>
      <c r="Q408" s="511">
        <v>0</v>
      </c>
      <c r="R408" s="511">
        <v>0</v>
      </c>
      <c r="S408" s="511">
        <v>0</v>
      </c>
      <c r="T408" s="511">
        <v>0</v>
      </c>
      <c r="U408" s="511">
        <v>0</v>
      </c>
      <c r="V408" s="511">
        <v>0</v>
      </c>
      <c r="X408" s="38">
        <f>'[2]Приложение 1'!T405</f>
        <v>4180</v>
      </c>
      <c r="Y408" s="9">
        <f t="shared" si="48"/>
        <v>3334</v>
      </c>
      <c r="Z408" s="19">
        <f t="shared" si="57"/>
        <v>846</v>
      </c>
    </row>
    <row r="409" spans="1:26" ht="9" customHeight="1">
      <c r="A409" s="510">
        <v>46</v>
      </c>
      <c r="B409" s="655" t="s">
        <v>522</v>
      </c>
      <c r="C409" s="656" t="s">
        <v>1192</v>
      </c>
      <c r="D409" s="657" t="s">
        <v>110</v>
      </c>
      <c r="E409" s="511">
        <f t="shared" si="51"/>
        <v>2920584</v>
      </c>
      <c r="F409" s="511">
        <v>0</v>
      </c>
      <c r="G409" s="17">
        <v>0</v>
      </c>
      <c r="H409" s="511">
        <v>0</v>
      </c>
      <c r="I409" s="511">
        <v>876</v>
      </c>
      <c r="J409" s="88"/>
      <c r="K409" s="510"/>
      <c r="L409" s="511">
        <f t="shared" si="56"/>
        <v>2920584</v>
      </c>
      <c r="M409" s="511">
        <v>0</v>
      </c>
      <c r="N409" s="511">
        <v>0</v>
      </c>
      <c r="O409" s="511">
        <v>0</v>
      </c>
      <c r="P409" s="511">
        <v>0</v>
      </c>
      <c r="Q409" s="511">
        <v>0</v>
      </c>
      <c r="R409" s="511">
        <v>0</v>
      </c>
      <c r="S409" s="511">
        <v>0</v>
      </c>
      <c r="T409" s="511">
        <v>0</v>
      </c>
      <c r="U409" s="511">
        <v>0</v>
      </c>
      <c r="V409" s="511">
        <v>0</v>
      </c>
      <c r="X409" s="38">
        <f>'[2]Приложение 1'!T406</f>
        <v>4180</v>
      </c>
      <c r="Y409" s="9">
        <f t="shared" si="48"/>
        <v>3334</v>
      </c>
      <c r="Z409" s="19">
        <f t="shared" si="57"/>
        <v>846</v>
      </c>
    </row>
    <row r="410" spans="1:26" s="665" customFormat="1" ht="9" customHeight="1">
      <c r="A410" s="658">
        <v>47</v>
      </c>
      <c r="B410" s="659" t="s">
        <v>523</v>
      </c>
      <c r="C410" s="660" t="s">
        <v>1192</v>
      </c>
      <c r="D410" s="661" t="s">
        <v>110</v>
      </c>
      <c r="E410" s="662">
        <f t="shared" si="51"/>
        <v>2375289.4</v>
      </c>
      <c r="F410" s="662">
        <f>ROUND(3100.9*(210+270+220),2)</f>
        <v>2170630</v>
      </c>
      <c r="G410" s="663">
        <v>0</v>
      </c>
      <c r="H410" s="662">
        <v>0</v>
      </c>
      <c r="I410" s="662">
        <v>0</v>
      </c>
      <c r="J410" s="664"/>
      <c r="K410" s="658"/>
      <c r="L410" s="662">
        <f t="shared" si="56"/>
        <v>0</v>
      </c>
      <c r="M410" s="662">
        <v>0</v>
      </c>
      <c r="N410" s="662">
        <v>0</v>
      </c>
      <c r="O410" s="662">
        <v>0</v>
      </c>
      <c r="P410" s="662">
        <v>0</v>
      </c>
      <c r="Q410" s="662">
        <v>0</v>
      </c>
      <c r="R410" s="662">
        <v>0</v>
      </c>
      <c r="S410" s="662">
        <v>0</v>
      </c>
      <c r="T410" s="662">
        <v>0</v>
      </c>
      <c r="U410" s="662">
        <f>ROUND(3100.9*(44+22),2)</f>
        <v>204659.4</v>
      </c>
      <c r="V410" s="662">
        <v>0</v>
      </c>
      <c r="X410" s="666">
        <f>'[2]Приложение 1'!T407</f>
        <v>4180</v>
      </c>
      <c r="Y410" s="665" t="e">
        <f t="shared" si="48"/>
        <v>#DIV/0!</v>
      </c>
      <c r="Z410" s="667" t="e">
        <f t="shared" si="57"/>
        <v>#DIV/0!</v>
      </c>
    </row>
    <row r="411" spans="1:26" ht="9" customHeight="1">
      <c r="A411" s="510">
        <v>48</v>
      </c>
      <c r="B411" s="655" t="s">
        <v>524</v>
      </c>
      <c r="C411" s="656" t="s">
        <v>1192</v>
      </c>
      <c r="D411" s="657" t="s">
        <v>110</v>
      </c>
      <c r="E411" s="511">
        <f t="shared" si="51"/>
        <v>3050610</v>
      </c>
      <c r="F411" s="511">
        <v>0</v>
      </c>
      <c r="G411" s="17">
        <v>0</v>
      </c>
      <c r="H411" s="511">
        <v>0</v>
      </c>
      <c r="I411" s="511">
        <v>915</v>
      </c>
      <c r="J411" s="88"/>
      <c r="K411" s="510"/>
      <c r="L411" s="511">
        <f t="shared" si="56"/>
        <v>3050610</v>
      </c>
      <c r="M411" s="511">
        <v>0</v>
      </c>
      <c r="N411" s="511">
        <v>0</v>
      </c>
      <c r="O411" s="511">
        <v>0</v>
      </c>
      <c r="P411" s="511">
        <v>0</v>
      </c>
      <c r="Q411" s="511">
        <v>0</v>
      </c>
      <c r="R411" s="511">
        <v>0</v>
      </c>
      <c r="S411" s="511">
        <v>0</v>
      </c>
      <c r="T411" s="511">
        <v>0</v>
      </c>
      <c r="U411" s="511">
        <v>0</v>
      </c>
      <c r="V411" s="511">
        <v>0</v>
      </c>
      <c r="X411" s="38">
        <f>'[2]Приложение 1'!T408</f>
        <v>5307.5599999999995</v>
      </c>
      <c r="Y411" s="9">
        <f t="shared" si="48"/>
        <v>3334</v>
      </c>
      <c r="Z411" s="19">
        <f t="shared" si="57"/>
        <v>1973.5599999999995</v>
      </c>
    </row>
    <row r="412" spans="1:26" ht="9" customHeight="1">
      <c r="A412" s="510">
        <v>49</v>
      </c>
      <c r="B412" s="655" t="s">
        <v>525</v>
      </c>
      <c r="C412" s="656" t="s">
        <v>1192</v>
      </c>
      <c r="D412" s="657" t="s">
        <v>111</v>
      </c>
      <c r="E412" s="511">
        <f t="shared" si="51"/>
        <v>2170014</v>
      </c>
      <c r="F412" s="511">
        <v>0</v>
      </c>
      <c r="G412" s="17">
        <v>0</v>
      </c>
      <c r="H412" s="511">
        <v>0</v>
      </c>
      <c r="I412" s="511">
        <v>671</v>
      </c>
      <c r="J412" s="88"/>
      <c r="K412" s="510"/>
      <c r="L412" s="511">
        <f>ROUND(3234*I412,2)</f>
        <v>2170014</v>
      </c>
      <c r="M412" s="511">
        <v>0</v>
      </c>
      <c r="N412" s="511">
        <v>0</v>
      </c>
      <c r="O412" s="511">
        <v>0</v>
      </c>
      <c r="P412" s="511">
        <v>0</v>
      </c>
      <c r="Q412" s="511">
        <v>0</v>
      </c>
      <c r="R412" s="511">
        <v>0</v>
      </c>
      <c r="S412" s="511">
        <v>0</v>
      </c>
      <c r="T412" s="511">
        <v>0</v>
      </c>
      <c r="U412" s="511">
        <v>0</v>
      </c>
      <c r="V412" s="511">
        <v>0</v>
      </c>
      <c r="X412" s="38">
        <f>'[2]Приложение 1'!T409</f>
        <v>4180</v>
      </c>
      <c r="Y412" s="9">
        <f t="shared" si="48"/>
        <v>3234</v>
      </c>
      <c r="Z412" s="19">
        <f t="shared" si="57"/>
        <v>946</v>
      </c>
    </row>
    <row r="413" spans="1:26" ht="9" customHeight="1">
      <c r="A413" s="510">
        <v>50</v>
      </c>
      <c r="B413" s="655" t="s">
        <v>526</v>
      </c>
      <c r="C413" s="656" t="s">
        <v>1192</v>
      </c>
      <c r="D413" s="657" t="s">
        <v>111</v>
      </c>
      <c r="E413" s="511">
        <f t="shared" si="51"/>
        <v>2179716</v>
      </c>
      <c r="F413" s="511">
        <v>0</v>
      </c>
      <c r="G413" s="17">
        <v>0</v>
      </c>
      <c r="H413" s="511">
        <v>0</v>
      </c>
      <c r="I413" s="511">
        <v>674</v>
      </c>
      <c r="J413" s="88"/>
      <c r="K413" s="510"/>
      <c r="L413" s="511">
        <f>ROUND(3234*I413,2)</f>
        <v>2179716</v>
      </c>
      <c r="M413" s="511">
        <v>0</v>
      </c>
      <c r="N413" s="511">
        <v>0</v>
      </c>
      <c r="O413" s="511">
        <v>0</v>
      </c>
      <c r="P413" s="511">
        <v>0</v>
      </c>
      <c r="Q413" s="511">
        <v>0</v>
      </c>
      <c r="R413" s="511">
        <v>0</v>
      </c>
      <c r="S413" s="511">
        <v>0</v>
      </c>
      <c r="T413" s="511">
        <v>0</v>
      </c>
      <c r="U413" s="511">
        <v>0</v>
      </c>
      <c r="V413" s="511">
        <v>0</v>
      </c>
      <c r="X413" s="38">
        <f>'[2]Приложение 1'!T410</f>
        <v>4503.95</v>
      </c>
      <c r="Y413" s="9">
        <f t="shared" si="48"/>
        <v>3234</v>
      </c>
      <c r="Z413" s="19">
        <f t="shared" si="57"/>
        <v>1269.9499999999998</v>
      </c>
    </row>
    <row r="414" spans="1:26" ht="9" customHeight="1">
      <c r="A414" s="510">
        <v>51</v>
      </c>
      <c r="B414" s="655" t="s">
        <v>527</v>
      </c>
      <c r="C414" s="656" t="s">
        <v>1192</v>
      </c>
      <c r="D414" s="657" t="s">
        <v>111</v>
      </c>
      <c r="E414" s="511">
        <f t="shared" si="51"/>
        <v>1853082</v>
      </c>
      <c r="F414" s="511">
        <v>0</v>
      </c>
      <c r="G414" s="17">
        <v>0</v>
      </c>
      <c r="H414" s="511">
        <v>0</v>
      </c>
      <c r="I414" s="511">
        <v>573</v>
      </c>
      <c r="J414" s="88"/>
      <c r="K414" s="510"/>
      <c r="L414" s="511">
        <f>ROUND(3234*I414,2)</f>
        <v>1853082</v>
      </c>
      <c r="M414" s="511">
        <v>0</v>
      </c>
      <c r="N414" s="511">
        <v>0</v>
      </c>
      <c r="O414" s="511">
        <v>0</v>
      </c>
      <c r="P414" s="511">
        <v>0</v>
      </c>
      <c r="Q414" s="511">
        <v>0</v>
      </c>
      <c r="R414" s="511">
        <v>0</v>
      </c>
      <c r="S414" s="511">
        <v>0</v>
      </c>
      <c r="T414" s="511">
        <v>0</v>
      </c>
      <c r="U414" s="511">
        <v>0</v>
      </c>
      <c r="V414" s="511">
        <v>0</v>
      </c>
      <c r="X414" s="38">
        <f>'[2]Приложение 1'!T411</f>
        <v>4503.95</v>
      </c>
      <c r="Y414" s="9">
        <f t="shared" si="48"/>
        <v>3234</v>
      </c>
      <c r="Z414" s="19">
        <f t="shared" si="57"/>
        <v>1269.9499999999998</v>
      </c>
    </row>
    <row r="415" spans="1:26" ht="9" customHeight="1">
      <c r="A415" s="510">
        <v>52</v>
      </c>
      <c r="B415" s="655" t="s">
        <v>528</v>
      </c>
      <c r="C415" s="656" t="s">
        <v>1192</v>
      </c>
      <c r="D415" s="657" t="s">
        <v>110</v>
      </c>
      <c r="E415" s="511">
        <f t="shared" si="51"/>
        <v>3660732</v>
      </c>
      <c r="F415" s="511">
        <v>0</v>
      </c>
      <c r="G415" s="17">
        <v>0</v>
      </c>
      <c r="H415" s="511">
        <v>0</v>
      </c>
      <c r="I415" s="511">
        <v>1098</v>
      </c>
      <c r="J415" s="88"/>
      <c r="K415" s="510"/>
      <c r="L415" s="511">
        <f t="shared" ref="L415:L418" si="58">ROUND(3334*I415,2)</f>
        <v>3660732</v>
      </c>
      <c r="M415" s="511">
        <v>0</v>
      </c>
      <c r="N415" s="511">
        <v>0</v>
      </c>
      <c r="O415" s="511">
        <v>0</v>
      </c>
      <c r="P415" s="511">
        <v>0</v>
      </c>
      <c r="Q415" s="511">
        <v>0</v>
      </c>
      <c r="R415" s="511">
        <v>0</v>
      </c>
      <c r="S415" s="511">
        <v>0</v>
      </c>
      <c r="T415" s="511">
        <v>0</v>
      </c>
      <c r="U415" s="511">
        <v>0</v>
      </c>
      <c r="V415" s="511">
        <v>0</v>
      </c>
      <c r="X415" s="38">
        <f>'[2]Приложение 1'!T412</f>
        <v>4503.95</v>
      </c>
      <c r="Y415" s="9">
        <f t="shared" si="48"/>
        <v>3334</v>
      </c>
      <c r="Z415" s="19">
        <f t="shared" si="57"/>
        <v>1169.9499999999998</v>
      </c>
    </row>
    <row r="416" spans="1:26" ht="9" customHeight="1">
      <c r="A416" s="510">
        <v>53</v>
      </c>
      <c r="B416" s="655" t="s">
        <v>529</v>
      </c>
      <c r="C416" s="656" t="s">
        <v>1192</v>
      </c>
      <c r="D416" s="657" t="s">
        <v>110</v>
      </c>
      <c r="E416" s="511">
        <f t="shared" si="51"/>
        <v>4790958</v>
      </c>
      <c r="F416" s="511">
        <v>0</v>
      </c>
      <c r="G416" s="17">
        <v>0</v>
      </c>
      <c r="H416" s="511">
        <v>0</v>
      </c>
      <c r="I416" s="511">
        <v>1437</v>
      </c>
      <c r="J416" s="88"/>
      <c r="K416" s="510"/>
      <c r="L416" s="511">
        <f t="shared" si="58"/>
        <v>4790958</v>
      </c>
      <c r="M416" s="511">
        <v>0</v>
      </c>
      <c r="N416" s="511">
        <v>0</v>
      </c>
      <c r="O416" s="511">
        <v>0</v>
      </c>
      <c r="P416" s="511">
        <v>0</v>
      </c>
      <c r="Q416" s="511">
        <v>0</v>
      </c>
      <c r="R416" s="511">
        <v>0</v>
      </c>
      <c r="S416" s="511">
        <v>0</v>
      </c>
      <c r="T416" s="511">
        <v>0</v>
      </c>
      <c r="U416" s="511">
        <v>0</v>
      </c>
      <c r="V416" s="511">
        <v>0</v>
      </c>
      <c r="X416" s="38">
        <f>'[2]Приложение 1'!T413</f>
        <v>4180</v>
      </c>
      <c r="Y416" s="9">
        <f t="shared" si="48"/>
        <v>3334</v>
      </c>
      <c r="Z416" s="19">
        <f t="shared" si="57"/>
        <v>846</v>
      </c>
    </row>
    <row r="417" spans="1:26" ht="9" customHeight="1">
      <c r="A417" s="510">
        <v>54</v>
      </c>
      <c r="B417" s="655" t="s">
        <v>530</v>
      </c>
      <c r="C417" s="656" t="s">
        <v>1192</v>
      </c>
      <c r="D417" s="657" t="s">
        <v>110</v>
      </c>
      <c r="E417" s="511">
        <f t="shared" si="51"/>
        <v>2371474.2000000002</v>
      </c>
      <c r="F417" s="511">
        <v>0</v>
      </c>
      <c r="G417" s="17">
        <v>0</v>
      </c>
      <c r="H417" s="511">
        <v>0</v>
      </c>
      <c r="I417" s="511">
        <v>711.3</v>
      </c>
      <c r="J417" s="88"/>
      <c r="K417" s="510"/>
      <c r="L417" s="511">
        <f t="shared" si="58"/>
        <v>2371474.2000000002</v>
      </c>
      <c r="M417" s="511">
        <v>0</v>
      </c>
      <c r="N417" s="511">
        <v>0</v>
      </c>
      <c r="O417" s="511">
        <v>0</v>
      </c>
      <c r="P417" s="511">
        <v>0</v>
      </c>
      <c r="Q417" s="511">
        <v>0</v>
      </c>
      <c r="R417" s="511">
        <v>0</v>
      </c>
      <c r="S417" s="511">
        <v>0</v>
      </c>
      <c r="T417" s="511">
        <v>0</v>
      </c>
      <c r="U417" s="511">
        <v>0</v>
      </c>
      <c r="V417" s="511">
        <v>0</v>
      </c>
      <c r="X417" s="38">
        <f>'[2]Приложение 1'!T414</f>
        <v>4180</v>
      </c>
      <c r="Y417" s="9">
        <f t="shared" si="48"/>
        <v>3334.0000000000005</v>
      </c>
      <c r="Z417" s="19">
        <f t="shared" si="57"/>
        <v>845.99999999999955</v>
      </c>
    </row>
    <row r="418" spans="1:26" ht="9" customHeight="1">
      <c r="A418" s="510">
        <v>55</v>
      </c>
      <c r="B418" s="655" t="s">
        <v>531</v>
      </c>
      <c r="C418" s="656" t="s">
        <v>1192</v>
      </c>
      <c r="D418" s="657" t="s">
        <v>110</v>
      </c>
      <c r="E418" s="511">
        <f t="shared" si="51"/>
        <v>4380876</v>
      </c>
      <c r="F418" s="511">
        <v>0</v>
      </c>
      <c r="G418" s="17">
        <v>0</v>
      </c>
      <c r="H418" s="511">
        <v>0</v>
      </c>
      <c r="I418" s="511">
        <v>1314</v>
      </c>
      <c r="J418" s="88"/>
      <c r="K418" s="510"/>
      <c r="L418" s="511">
        <f t="shared" si="58"/>
        <v>4380876</v>
      </c>
      <c r="M418" s="511">
        <v>0</v>
      </c>
      <c r="N418" s="511">
        <v>0</v>
      </c>
      <c r="O418" s="511">
        <v>0</v>
      </c>
      <c r="P418" s="511">
        <v>0</v>
      </c>
      <c r="Q418" s="511">
        <v>0</v>
      </c>
      <c r="R418" s="511">
        <v>0</v>
      </c>
      <c r="S418" s="511">
        <v>0</v>
      </c>
      <c r="T418" s="511">
        <v>0</v>
      </c>
      <c r="U418" s="511">
        <v>0</v>
      </c>
      <c r="V418" s="511">
        <v>0</v>
      </c>
      <c r="X418" s="38">
        <f>'[2]Приложение 1'!T415</f>
        <v>4180</v>
      </c>
      <c r="Y418" s="9">
        <f t="shared" si="48"/>
        <v>3334</v>
      </c>
      <c r="Z418" s="19">
        <f t="shared" si="57"/>
        <v>846</v>
      </c>
    </row>
    <row r="419" spans="1:26" ht="9" customHeight="1">
      <c r="A419" s="510">
        <v>56</v>
      </c>
      <c r="B419" s="655" t="s">
        <v>532</v>
      </c>
      <c r="C419" s="656" t="s">
        <v>1192</v>
      </c>
      <c r="D419" s="657" t="s">
        <v>111</v>
      </c>
      <c r="E419" s="511">
        <f t="shared" si="51"/>
        <v>5303760</v>
      </c>
      <c r="F419" s="511">
        <v>0</v>
      </c>
      <c r="G419" s="17">
        <v>0</v>
      </c>
      <c r="H419" s="511">
        <v>0</v>
      </c>
      <c r="I419" s="511">
        <v>1640</v>
      </c>
      <c r="J419" s="88"/>
      <c r="K419" s="510"/>
      <c r="L419" s="511">
        <f>ROUND(3234*I419,2)</f>
        <v>5303760</v>
      </c>
      <c r="M419" s="511">
        <v>0</v>
      </c>
      <c r="N419" s="511">
        <v>0</v>
      </c>
      <c r="O419" s="511">
        <v>0</v>
      </c>
      <c r="P419" s="511">
        <v>0</v>
      </c>
      <c r="Q419" s="511">
        <v>0</v>
      </c>
      <c r="R419" s="511">
        <v>0</v>
      </c>
      <c r="S419" s="511">
        <v>0</v>
      </c>
      <c r="T419" s="511">
        <v>0</v>
      </c>
      <c r="U419" s="511">
        <v>0</v>
      </c>
      <c r="V419" s="511">
        <v>0</v>
      </c>
      <c r="X419" s="38">
        <f>'[2]Приложение 1'!T416</f>
        <v>4180</v>
      </c>
      <c r="Y419" s="9">
        <f t="shared" si="48"/>
        <v>3234</v>
      </c>
      <c r="Z419" s="19">
        <f t="shared" si="57"/>
        <v>946</v>
      </c>
    </row>
    <row r="420" spans="1:26" ht="9" customHeight="1">
      <c r="A420" s="510">
        <v>57</v>
      </c>
      <c r="B420" s="655" t="s">
        <v>533</v>
      </c>
      <c r="C420" s="656" t="s">
        <v>1192</v>
      </c>
      <c r="D420" s="657" t="s">
        <v>110</v>
      </c>
      <c r="E420" s="511">
        <f t="shared" si="51"/>
        <v>15546442</v>
      </c>
      <c r="F420" s="511">
        <v>0</v>
      </c>
      <c r="G420" s="17">
        <v>0</v>
      </c>
      <c r="H420" s="511">
        <v>0</v>
      </c>
      <c r="I420" s="511">
        <v>4663</v>
      </c>
      <c r="J420" s="88"/>
      <c r="K420" s="510"/>
      <c r="L420" s="511">
        <f t="shared" ref="L420:L422" si="59">ROUND(3334*I420,2)</f>
        <v>15546442</v>
      </c>
      <c r="M420" s="511">
        <v>0</v>
      </c>
      <c r="N420" s="511">
        <v>0</v>
      </c>
      <c r="O420" s="511">
        <v>0</v>
      </c>
      <c r="P420" s="511">
        <v>0</v>
      </c>
      <c r="Q420" s="511">
        <v>0</v>
      </c>
      <c r="R420" s="511">
        <v>0</v>
      </c>
      <c r="S420" s="511">
        <v>0</v>
      </c>
      <c r="T420" s="511">
        <v>0</v>
      </c>
      <c r="U420" s="511">
        <v>0</v>
      </c>
      <c r="V420" s="511">
        <v>0</v>
      </c>
      <c r="X420" s="38">
        <f>'[2]Приложение 1'!T417</f>
        <v>4503.95</v>
      </c>
      <c r="Y420" s="9">
        <f t="shared" si="48"/>
        <v>3334</v>
      </c>
      <c r="Z420" s="19">
        <f t="shared" si="57"/>
        <v>1169.9499999999998</v>
      </c>
    </row>
    <row r="421" spans="1:26" ht="9" customHeight="1">
      <c r="A421" s="510">
        <v>58</v>
      </c>
      <c r="B421" s="655" t="s">
        <v>534</v>
      </c>
      <c r="C421" s="656" t="s">
        <v>1192</v>
      </c>
      <c r="D421" s="657" t="s">
        <v>110</v>
      </c>
      <c r="E421" s="511">
        <f t="shared" si="51"/>
        <v>3040608</v>
      </c>
      <c r="F421" s="511">
        <v>0</v>
      </c>
      <c r="G421" s="17">
        <v>0</v>
      </c>
      <c r="H421" s="511">
        <v>0</v>
      </c>
      <c r="I421" s="511">
        <v>912</v>
      </c>
      <c r="J421" s="88"/>
      <c r="K421" s="510"/>
      <c r="L421" s="511">
        <f t="shared" si="59"/>
        <v>3040608</v>
      </c>
      <c r="M421" s="511">
        <v>0</v>
      </c>
      <c r="N421" s="511">
        <v>0</v>
      </c>
      <c r="O421" s="511">
        <v>0</v>
      </c>
      <c r="P421" s="511">
        <v>0</v>
      </c>
      <c r="Q421" s="511">
        <v>0</v>
      </c>
      <c r="R421" s="511">
        <v>0</v>
      </c>
      <c r="S421" s="511">
        <v>0</v>
      </c>
      <c r="T421" s="511">
        <v>0</v>
      </c>
      <c r="U421" s="511">
        <v>0</v>
      </c>
      <c r="V421" s="511">
        <v>0</v>
      </c>
      <c r="X421" s="38">
        <f>'[2]Приложение 1'!T418</f>
        <v>4180</v>
      </c>
      <c r="Y421" s="9">
        <f t="shared" si="48"/>
        <v>3334</v>
      </c>
      <c r="Z421" s="19">
        <f t="shared" si="57"/>
        <v>846</v>
      </c>
    </row>
    <row r="422" spans="1:26" ht="9" customHeight="1">
      <c r="A422" s="510">
        <v>59</v>
      </c>
      <c r="B422" s="655" t="s">
        <v>535</v>
      </c>
      <c r="C422" s="656" t="s">
        <v>1192</v>
      </c>
      <c r="D422" s="657" t="s">
        <v>110</v>
      </c>
      <c r="E422" s="511">
        <f t="shared" si="51"/>
        <v>3764086</v>
      </c>
      <c r="F422" s="511">
        <v>0</v>
      </c>
      <c r="G422" s="17">
        <v>0</v>
      </c>
      <c r="H422" s="511">
        <v>0</v>
      </c>
      <c r="I422" s="511">
        <v>1129</v>
      </c>
      <c r="J422" s="88"/>
      <c r="K422" s="510"/>
      <c r="L422" s="511">
        <f t="shared" si="59"/>
        <v>3764086</v>
      </c>
      <c r="M422" s="511">
        <v>0</v>
      </c>
      <c r="N422" s="511">
        <v>0</v>
      </c>
      <c r="O422" s="511">
        <v>0</v>
      </c>
      <c r="P422" s="511">
        <v>0</v>
      </c>
      <c r="Q422" s="511">
        <v>0</v>
      </c>
      <c r="R422" s="511">
        <v>0</v>
      </c>
      <c r="S422" s="511">
        <v>0</v>
      </c>
      <c r="T422" s="511">
        <v>0</v>
      </c>
      <c r="U422" s="511">
        <v>0</v>
      </c>
      <c r="V422" s="511">
        <v>0</v>
      </c>
      <c r="X422" s="38">
        <f>'[2]Приложение 1'!T419</f>
        <v>4180</v>
      </c>
      <c r="Y422" s="9">
        <f t="shared" si="48"/>
        <v>3334</v>
      </c>
      <c r="Z422" s="19">
        <f t="shared" si="57"/>
        <v>846</v>
      </c>
    </row>
    <row r="423" spans="1:26" ht="9" customHeight="1">
      <c r="A423" s="510">
        <v>60</v>
      </c>
      <c r="B423" s="655" t="s">
        <v>536</v>
      </c>
      <c r="C423" s="656" t="s">
        <v>1192</v>
      </c>
      <c r="D423" s="657" t="s">
        <v>111</v>
      </c>
      <c r="E423" s="511">
        <f t="shared" si="51"/>
        <v>2102100</v>
      </c>
      <c r="F423" s="511">
        <v>0</v>
      </c>
      <c r="G423" s="17">
        <v>0</v>
      </c>
      <c r="H423" s="511">
        <v>0</v>
      </c>
      <c r="I423" s="511">
        <v>650</v>
      </c>
      <c r="J423" s="88"/>
      <c r="K423" s="510"/>
      <c r="L423" s="511">
        <f>ROUND(3234*I423,2)</f>
        <v>2102100</v>
      </c>
      <c r="M423" s="511">
        <v>0</v>
      </c>
      <c r="N423" s="511">
        <v>0</v>
      </c>
      <c r="O423" s="511">
        <v>0</v>
      </c>
      <c r="P423" s="511">
        <v>0</v>
      </c>
      <c r="Q423" s="511">
        <v>0</v>
      </c>
      <c r="R423" s="511">
        <v>0</v>
      </c>
      <c r="S423" s="511">
        <v>0</v>
      </c>
      <c r="T423" s="511">
        <v>0</v>
      </c>
      <c r="U423" s="511">
        <v>0</v>
      </c>
      <c r="V423" s="511">
        <v>0</v>
      </c>
      <c r="X423" s="38">
        <f>'[2]Приложение 1'!T420</f>
        <v>4180</v>
      </c>
      <c r="Y423" s="9">
        <f t="shared" si="48"/>
        <v>3234</v>
      </c>
      <c r="Z423" s="19">
        <f t="shared" si="57"/>
        <v>946</v>
      </c>
    </row>
    <row r="424" spans="1:26" ht="9" customHeight="1">
      <c r="A424" s="510">
        <v>61</v>
      </c>
      <c r="B424" s="655" t="s">
        <v>537</v>
      </c>
      <c r="C424" s="656" t="s">
        <v>1192</v>
      </c>
      <c r="D424" s="657" t="s">
        <v>111</v>
      </c>
      <c r="E424" s="511">
        <f t="shared" si="51"/>
        <v>1862784</v>
      </c>
      <c r="F424" s="511">
        <v>0</v>
      </c>
      <c r="G424" s="17">
        <v>0</v>
      </c>
      <c r="H424" s="511">
        <v>0</v>
      </c>
      <c r="I424" s="511">
        <v>576</v>
      </c>
      <c r="J424" s="88"/>
      <c r="K424" s="510"/>
      <c r="L424" s="511">
        <f>ROUND(3234*I424,2)</f>
        <v>1862784</v>
      </c>
      <c r="M424" s="511">
        <v>0</v>
      </c>
      <c r="N424" s="511">
        <v>0</v>
      </c>
      <c r="O424" s="511">
        <v>0</v>
      </c>
      <c r="P424" s="511">
        <v>0</v>
      </c>
      <c r="Q424" s="511">
        <v>0</v>
      </c>
      <c r="R424" s="511">
        <v>0</v>
      </c>
      <c r="S424" s="511">
        <v>0</v>
      </c>
      <c r="T424" s="511">
        <v>0</v>
      </c>
      <c r="U424" s="511">
        <v>0</v>
      </c>
      <c r="V424" s="511">
        <v>0</v>
      </c>
      <c r="X424" s="38">
        <f>'[2]Приложение 1'!T421</f>
        <v>4503.95</v>
      </c>
      <c r="Y424" s="9">
        <f t="shared" ref="Y424:Y484" si="60">L424/I424</f>
        <v>3234</v>
      </c>
      <c r="Z424" s="19">
        <f t="shared" si="57"/>
        <v>1269.9499999999998</v>
      </c>
    </row>
    <row r="425" spans="1:26" ht="9" customHeight="1">
      <c r="A425" s="510">
        <v>62</v>
      </c>
      <c r="B425" s="655" t="s">
        <v>538</v>
      </c>
      <c r="C425" s="656" t="s">
        <v>1192</v>
      </c>
      <c r="D425" s="657" t="s">
        <v>110</v>
      </c>
      <c r="E425" s="511">
        <f t="shared" si="51"/>
        <v>2850570</v>
      </c>
      <c r="F425" s="511">
        <v>0</v>
      </c>
      <c r="G425" s="17">
        <v>0</v>
      </c>
      <c r="H425" s="511">
        <v>0</v>
      </c>
      <c r="I425" s="511">
        <v>855</v>
      </c>
      <c r="J425" s="88"/>
      <c r="K425" s="510"/>
      <c r="L425" s="511">
        <f t="shared" ref="L425:L427" si="61">ROUND(3334*I425,2)</f>
        <v>2850570</v>
      </c>
      <c r="M425" s="511">
        <v>0</v>
      </c>
      <c r="N425" s="511">
        <v>0</v>
      </c>
      <c r="O425" s="511">
        <v>0</v>
      </c>
      <c r="P425" s="511">
        <v>0</v>
      </c>
      <c r="Q425" s="511">
        <v>0</v>
      </c>
      <c r="R425" s="511">
        <v>0</v>
      </c>
      <c r="S425" s="511">
        <v>0</v>
      </c>
      <c r="T425" s="511">
        <v>0</v>
      </c>
      <c r="U425" s="511">
        <v>0</v>
      </c>
      <c r="V425" s="511">
        <v>0</v>
      </c>
      <c r="X425" s="38">
        <f>'[2]Приложение 1'!T422</f>
        <v>4503.95</v>
      </c>
      <c r="Y425" s="9">
        <f t="shared" si="60"/>
        <v>3334</v>
      </c>
      <c r="Z425" s="19">
        <f t="shared" si="57"/>
        <v>1169.9499999999998</v>
      </c>
    </row>
    <row r="426" spans="1:26" ht="9" customHeight="1">
      <c r="A426" s="510">
        <v>63</v>
      </c>
      <c r="B426" s="655" t="s">
        <v>539</v>
      </c>
      <c r="C426" s="656" t="s">
        <v>1192</v>
      </c>
      <c r="D426" s="657" t="s">
        <v>110</v>
      </c>
      <c r="E426" s="511">
        <f t="shared" si="51"/>
        <v>4634260</v>
      </c>
      <c r="F426" s="511">
        <v>0</v>
      </c>
      <c r="G426" s="17">
        <v>0</v>
      </c>
      <c r="H426" s="511">
        <v>0</v>
      </c>
      <c r="I426" s="511">
        <v>1390</v>
      </c>
      <c r="J426" s="88"/>
      <c r="K426" s="510"/>
      <c r="L426" s="511">
        <f t="shared" si="61"/>
        <v>4634260</v>
      </c>
      <c r="M426" s="511">
        <v>0</v>
      </c>
      <c r="N426" s="511">
        <v>0</v>
      </c>
      <c r="O426" s="511">
        <v>0</v>
      </c>
      <c r="P426" s="511">
        <v>0</v>
      </c>
      <c r="Q426" s="511">
        <v>0</v>
      </c>
      <c r="R426" s="511">
        <v>0</v>
      </c>
      <c r="S426" s="511">
        <v>0</v>
      </c>
      <c r="T426" s="511">
        <v>0</v>
      </c>
      <c r="U426" s="511">
        <v>0</v>
      </c>
      <c r="V426" s="511">
        <v>0</v>
      </c>
      <c r="X426" s="38">
        <f>'[2]Приложение 1'!T423</f>
        <v>4180</v>
      </c>
      <c r="Y426" s="9">
        <f t="shared" si="60"/>
        <v>3334</v>
      </c>
      <c r="Z426" s="19">
        <f t="shared" si="57"/>
        <v>846</v>
      </c>
    </row>
    <row r="427" spans="1:26" ht="9" customHeight="1">
      <c r="A427" s="510">
        <v>64</v>
      </c>
      <c r="B427" s="655" t="s">
        <v>540</v>
      </c>
      <c r="C427" s="656" t="s">
        <v>1192</v>
      </c>
      <c r="D427" s="657" t="s">
        <v>110</v>
      </c>
      <c r="E427" s="511">
        <f t="shared" si="51"/>
        <v>3173968</v>
      </c>
      <c r="F427" s="511">
        <v>0</v>
      </c>
      <c r="G427" s="17">
        <v>0</v>
      </c>
      <c r="H427" s="511">
        <v>0</v>
      </c>
      <c r="I427" s="511">
        <v>952</v>
      </c>
      <c r="J427" s="88"/>
      <c r="K427" s="510"/>
      <c r="L427" s="511">
        <f t="shared" si="61"/>
        <v>3173968</v>
      </c>
      <c r="M427" s="511">
        <v>0</v>
      </c>
      <c r="N427" s="511">
        <v>0</v>
      </c>
      <c r="O427" s="511">
        <v>0</v>
      </c>
      <c r="P427" s="511">
        <v>0</v>
      </c>
      <c r="Q427" s="511">
        <v>0</v>
      </c>
      <c r="R427" s="511">
        <v>0</v>
      </c>
      <c r="S427" s="511">
        <v>0</v>
      </c>
      <c r="T427" s="511">
        <v>0</v>
      </c>
      <c r="U427" s="511">
        <v>0</v>
      </c>
      <c r="V427" s="511">
        <v>0</v>
      </c>
      <c r="X427" s="38">
        <f>'[2]Приложение 1'!T424</f>
        <v>4180</v>
      </c>
      <c r="Y427" s="9">
        <f t="shared" si="60"/>
        <v>3334</v>
      </c>
      <c r="Z427" s="19">
        <f t="shared" si="57"/>
        <v>846</v>
      </c>
    </row>
    <row r="428" spans="1:26" s="665" customFormat="1" ht="9" customHeight="1">
      <c r="A428" s="658">
        <v>65</v>
      </c>
      <c r="B428" s="659" t="s">
        <v>541</v>
      </c>
      <c r="C428" s="660" t="s">
        <v>1192</v>
      </c>
      <c r="D428" s="661" t="s">
        <v>110</v>
      </c>
      <c r="E428" s="662">
        <f t="shared" si="51"/>
        <v>7292642.4000000004</v>
      </c>
      <c r="F428" s="662">
        <f>ROUND(3980.7*(1200+210+220),2)</f>
        <v>6488541</v>
      </c>
      <c r="G428" s="663">
        <v>0</v>
      </c>
      <c r="H428" s="662">
        <v>0</v>
      </c>
      <c r="I428" s="662">
        <v>0</v>
      </c>
      <c r="J428" s="664"/>
      <c r="K428" s="658"/>
      <c r="L428" s="662">
        <v>0</v>
      </c>
      <c r="M428" s="662">
        <v>0</v>
      </c>
      <c r="N428" s="662">
        <v>0</v>
      </c>
      <c r="O428" s="662">
        <v>0</v>
      </c>
      <c r="P428" s="662">
        <v>0</v>
      </c>
      <c r="Q428" s="662">
        <v>0</v>
      </c>
      <c r="R428" s="662">
        <v>0</v>
      </c>
      <c r="S428" s="662">
        <v>0</v>
      </c>
      <c r="T428" s="662">
        <v>0</v>
      </c>
      <c r="U428" s="662">
        <f>ROUND(3980.7*(180+22),2)</f>
        <v>804101.4</v>
      </c>
      <c r="V428" s="662">
        <v>0</v>
      </c>
      <c r="X428" s="666">
        <f>'[2]Приложение 1'!T425</f>
        <v>4180</v>
      </c>
      <c r="Y428" s="665" t="e">
        <f t="shared" si="60"/>
        <v>#DIV/0!</v>
      </c>
      <c r="Z428" s="667" t="e">
        <f t="shared" si="57"/>
        <v>#DIV/0!</v>
      </c>
    </row>
    <row r="429" spans="1:26" ht="9" customHeight="1">
      <c r="A429" s="510">
        <v>66</v>
      </c>
      <c r="B429" s="655" t="s">
        <v>542</v>
      </c>
      <c r="C429" s="656" t="s">
        <v>1192</v>
      </c>
      <c r="D429" s="657" t="s">
        <v>111</v>
      </c>
      <c r="E429" s="511">
        <f t="shared" ref="E429:E477" si="62">F429+H429+L429+N429+P429+R429+S429+T429+U429+V429</f>
        <v>2037420</v>
      </c>
      <c r="F429" s="511">
        <v>0</v>
      </c>
      <c r="G429" s="17">
        <v>0</v>
      </c>
      <c r="H429" s="511">
        <v>0</v>
      </c>
      <c r="I429" s="511">
        <v>630</v>
      </c>
      <c r="J429" s="88"/>
      <c r="K429" s="510"/>
      <c r="L429" s="511">
        <f>ROUND(3234*I429,2)</f>
        <v>2037420</v>
      </c>
      <c r="M429" s="511">
        <v>0</v>
      </c>
      <c r="N429" s="511">
        <v>0</v>
      </c>
      <c r="O429" s="511">
        <v>0</v>
      </c>
      <c r="P429" s="511">
        <v>0</v>
      </c>
      <c r="Q429" s="511">
        <v>0</v>
      </c>
      <c r="R429" s="511">
        <v>0</v>
      </c>
      <c r="S429" s="511">
        <v>0</v>
      </c>
      <c r="T429" s="511">
        <v>0</v>
      </c>
      <c r="U429" s="511">
        <v>0</v>
      </c>
      <c r="V429" s="511">
        <v>0</v>
      </c>
      <c r="X429" s="38">
        <f>'[2]Приложение 1'!T426</f>
        <v>5307.5599999999995</v>
      </c>
      <c r="Y429" s="9">
        <f t="shared" si="60"/>
        <v>3234</v>
      </c>
      <c r="Z429" s="19">
        <f t="shared" si="57"/>
        <v>2073.5599999999995</v>
      </c>
    </row>
    <row r="430" spans="1:26" ht="9" customHeight="1">
      <c r="A430" s="510">
        <v>67</v>
      </c>
      <c r="B430" s="655" t="s">
        <v>543</v>
      </c>
      <c r="C430" s="656" t="s">
        <v>1192</v>
      </c>
      <c r="D430" s="657" t="s">
        <v>110</v>
      </c>
      <c r="E430" s="511">
        <f t="shared" si="62"/>
        <v>5099686.4000000004</v>
      </c>
      <c r="F430" s="511">
        <v>0</v>
      </c>
      <c r="G430" s="17">
        <v>0</v>
      </c>
      <c r="H430" s="511">
        <v>0</v>
      </c>
      <c r="I430" s="511">
        <v>1529.6</v>
      </c>
      <c r="J430" s="88"/>
      <c r="K430" s="510"/>
      <c r="L430" s="511">
        <f t="shared" ref="L430:L434" si="63">ROUND(3334*I430,2)</f>
        <v>5099686.4000000004</v>
      </c>
      <c r="M430" s="511">
        <v>0</v>
      </c>
      <c r="N430" s="511">
        <v>0</v>
      </c>
      <c r="O430" s="511">
        <v>0</v>
      </c>
      <c r="P430" s="511">
        <v>0</v>
      </c>
      <c r="Q430" s="511">
        <v>0</v>
      </c>
      <c r="R430" s="511">
        <v>0</v>
      </c>
      <c r="S430" s="511">
        <v>0</v>
      </c>
      <c r="T430" s="511">
        <v>0</v>
      </c>
      <c r="U430" s="511">
        <v>0</v>
      </c>
      <c r="V430" s="511">
        <v>0</v>
      </c>
      <c r="X430" s="38">
        <f>'[2]Приложение 1'!T427</f>
        <v>4503.95</v>
      </c>
      <c r="Y430" s="9">
        <f t="shared" si="60"/>
        <v>3334.0000000000005</v>
      </c>
      <c r="Z430" s="19">
        <f t="shared" si="57"/>
        <v>1169.9499999999994</v>
      </c>
    </row>
    <row r="431" spans="1:26" ht="9" customHeight="1">
      <c r="A431" s="510">
        <v>68</v>
      </c>
      <c r="B431" s="655" t="s">
        <v>544</v>
      </c>
      <c r="C431" s="656" t="s">
        <v>1192</v>
      </c>
      <c r="D431" s="657" t="s">
        <v>110</v>
      </c>
      <c r="E431" s="511">
        <f t="shared" si="62"/>
        <v>3477362</v>
      </c>
      <c r="F431" s="511">
        <v>0</v>
      </c>
      <c r="G431" s="17">
        <v>0</v>
      </c>
      <c r="H431" s="511">
        <v>0</v>
      </c>
      <c r="I431" s="511">
        <v>1043</v>
      </c>
      <c r="J431" s="88"/>
      <c r="K431" s="510"/>
      <c r="L431" s="511">
        <f t="shared" si="63"/>
        <v>3477362</v>
      </c>
      <c r="M431" s="511">
        <v>0</v>
      </c>
      <c r="N431" s="511">
        <v>0</v>
      </c>
      <c r="O431" s="511">
        <v>0</v>
      </c>
      <c r="P431" s="511">
        <v>0</v>
      </c>
      <c r="Q431" s="511">
        <v>0</v>
      </c>
      <c r="R431" s="511">
        <v>0</v>
      </c>
      <c r="S431" s="511">
        <v>0</v>
      </c>
      <c r="T431" s="511">
        <v>0</v>
      </c>
      <c r="U431" s="511">
        <v>0</v>
      </c>
      <c r="V431" s="511">
        <v>0</v>
      </c>
      <c r="X431" s="38">
        <f>'[2]Приложение 1'!T428</f>
        <v>4180</v>
      </c>
      <c r="Y431" s="9">
        <f t="shared" si="60"/>
        <v>3334</v>
      </c>
      <c r="Z431" s="19">
        <f t="shared" si="57"/>
        <v>846</v>
      </c>
    </row>
    <row r="432" spans="1:26" ht="9" customHeight="1">
      <c r="A432" s="510">
        <v>69</v>
      </c>
      <c r="B432" s="655" t="s">
        <v>545</v>
      </c>
      <c r="C432" s="656" t="s">
        <v>1192</v>
      </c>
      <c r="D432" s="657" t="s">
        <v>110</v>
      </c>
      <c r="E432" s="511">
        <f t="shared" si="62"/>
        <v>2688871</v>
      </c>
      <c r="F432" s="511">
        <v>0</v>
      </c>
      <c r="G432" s="17">
        <v>0</v>
      </c>
      <c r="H432" s="511">
        <v>0</v>
      </c>
      <c r="I432" s="511">
        <v>806.5</v>
      </c>
      <c r="J432" s="88"/>
      <c r="K432" s="510"/>
      <c r="L432" s="511">
        <f t="shared" si="63"/>
        <v>2688871</v>
      </c>
      <c r="M432" s="511">
        <v>0</v>
      </c>
      <c r="N432" s="511">
        <v>0</v>
      </c>
      <c r="O432" s="511">
        <v>0</v>
      </c>
      <c r="P432" s="511">
        <v>0</v>
      </c>
      <c r="Q432" s="511">
        <v>0</v>
      </c>
      <c r="R432" s="511">
        <v>0</v>
      </c>
      <c r="S432" s="511">
        <v>0</v>
      </c>
      <c r="T432" s="511">
        <v>0</v>
      </c>
      <c r="U432" s="511">
        <v>0</v>
      </c>
      <c r="V432" s="511">
        <v>0</v>
      </c>
      <c r="X432" s="38">
        <f>'[2]Приложение 1'!T429</f>
        <v>4180</v>
      </c>
      <c r="Y432" s="9">
        <f t="shared" si="60"/>
        <v>3334</v>
      </c>
      <c r="Z432" s="19">
        <f t="shared" si="57"/>
        <v>846</v>
      </c>
    </row>
    <row r="433" spans="1:26" ht="9" customHeight="1">
      <c r="A433" s="510">
        <v>70</v>
      </c>
      <c r="B433" s="655" t="s">
        <v>546</v>
      </c>
      <c r="C433" s="656" t="s">
        <v>1192</v>
      </c>
      <c r="D433" s="657" t="s">
        <v>110</v>
      </c>
      <c r="E433" s="511">
        <f t="shared" si="62"/>
        <v>3060612</v>
      </c>
      <c r="F433" s="511">
        <v>0</v>
      </c>
      <c r="G433" s="17">
        <v>0</v>
      </c>
      <c r="H433" s="511">
        <v>0</v>
      </c>
      <c r="I433" s="511">
        <v>918</v>
      </c>
      <c r="J433" s="88"/>
      <c r="K433" s="510"/>
      <c r="L433" s="511">
        <f t="shared" si="63"/>
        <v>3060612</v>
      </c>
      <c r="M433" s="511">
        <v>0</v>
      </c>
      <c r="N433" s="511">
        <v>0</v>
      </c>
      <c r="O433" s="511">
        <v>0</v>
      </c>
      <c r="P433" s="511">
        <v>0</v>
      </c>
      <c r="Q433" s="511">
        <v>0</v>
      </c>
      <c r="R433" s="511">
        <v>0</v>
      </c>
      <c r="S433" s="511">
        <v>0</v>
      </c>
      <c r="T433" s="511">
        <v>0</v>
      </c>
      <c r="U433" s="511">
        <v>0</v>
      </c>
      <c r="V433" s="511">
        <v>0</v>
      </c>
      <c r="X433" s="38">
        <f>'[2]Приложение 1'!T430</f>
        <v>4180</v>
      </c>
      <c r="Y433" s="9">
        <f t="shared" si="60"/>
        <v>3334</v>
      </c>
      <c r="Z433" s="19">
        <f t="shared" si="57"/>
        <v>846</v>
      </c>
    </row>
    <row r="434" spans="1:26" ht="9" customHeight="1">
      <c r="A434" s="510">
        <v>71</v>
      </c>
      <c r="B434" s="655" t="s">
        <v>547</v>
      </c>
      <c r="C434" s="656" t="s">
        <v>1192</v>
      </c>
      <c r="D434" s="657" t="s">
        <v>110</v>
      </c>
      <c r="E434" s="511">
        <f t="shared" si="62"/>
        <v>1348936.4</v>
      </c>
      <c r="F434" s="511">
        <v>0</v>
      </c>
      <c r="G434" s="17">
        <v>0</v>
      </c>
      <c r="H434" s="511">
        <v>0</v>
      </c>
      <c r="I434" s="511">
        <v>404.6</v>
      </c>
      <c r="J434" s="88"/>
      <c r="K434" s="510"/>
      <c r="L434" s="511">
        <f t="shared" si="63"/>
        <v>1348936.4</v>
      </c>
      <c r="M434" s="511">
        <v>0</v>
      </c>
      <c r="N434" s="511">
        <v>0</v>
      </c>
      <c r="O434" s="511">
        <v>0</v>
      </c>
      <c r="P434" s="511">
        <v>0</v>
      </c>
      <c r="Q434" s="511">
        <v>0</v>
      </c>
      <c r="R434" s="511">
        <v>0</v>
      </c>
      <c r="S434" s="511">
        <v>0</v>
      </c>
      <c r="T434" s="511">
        <v>0</v>
      </c>
      <c r="U434" s="511">
        <v>0</v>
      </c>
      <c r="V434" s="511">
        <v>0</v>
      </c>
      <c r="X434" s="38">
        <f>'[2]Приложение 1'!T431</f>
        <v>4180</v>
      </c>
      <c r="Y434" s="9">
        <f t="shared" si="60"/>
        <v>3333.9999999999995</v>
      </c>
      <c r="Z434" s="19">
        <f t="shared" si="57"/>
        <v>846.00000000000045</v>
      </c>
    </row>
    <row r="435" spans="1:26" ht="9" customHeight="1">
      <c r="A435" s="510">
        <v>72</v>
      </c>
      <c r="B435" s="655" t="s">
        <v>548</v>
      </c>
      <c r="C435" s="656" t="s">
        <v>1207</v>
      </c>
      <c r="D435" s="657" t="s">
        <v>110</v>
      </c>
      <c r="E435" s="511">
        <f t="shared" si="62"/>
        <v>1963596.8</v>
      </c>
      <c r="F435" s="511">
        <v>0</v>
      </c>
      <c r="G435" s="17">
        <v>1</v>
      </c>
      <c r="H435" s="511">
        <f>ROUND(1*1963596.8,2)</f>
        <v>1963596.8</v>
      </c>
      <c r="I435" s="511">
        <v>0</v>
      </c>
      <c r="J435" s="88"/>
      <c r="K435" s="510"/>
      <c r="L435" s="511">
        <v>0</v>
      </c>
      <c r="M435" s="511">
        <v>0</v>
      </c>
      <c r="N435" s="511">
        <v>0</v>
      </c>
      <c r="O435" s="511">
        <v>0</v>
      </c>
      <c r="P435" s="511">
        <v>0</v>
      </c>
      <c r="Q435" s="511">
        <v>0</v>
      </c>
      <c r="R435" s="511">
        <v>0</v>
      </c>
      <c r="S435" s="511">
        <v>0</v>
      </c>
      <c r="T435" s="511">
        <v>0</v>
      </c>
      <c r="U435" s="511">
        <v>0</v>
      </c>
      <c r="V435" s="511">
        <v>0</v>
      </c>
      <c r="X435" s="38">
        <f>'[2]Приложение 1'!T432</f>
        <v>4180</v>
      </c>
      <c r="Y435" s="9" t="e">
        <f t="shared" si="60"/>
        <v>#DIV/0!</v>
      </c>
      <c r="Z435" s="19" t="e">
        <f t="shared" si="57"/>
        <v>#DIV/0!</v>
      </c>
    </row>
    <row r="436" spans="1:26" ht="9" customHeight="1">
      <c r="A436" s="510">
        <v>73</v>
      </c>
      <c r="B436" s="655" t="s">
        <v>549</v>
      </c>
      <c r="C436" s="656" t="s">
        <v>1192</v>
      </c>
      <c r="D436" s="657" t="s">
        <v>110</v>
      </c>
      <c r="E436" s="511">
        <f t="shared" si="62"/>
        <v>1332599.8</v>
      </c>
      <c r="F436" s="511">
        <v>0</v>
      </c>
      <c r="G436" s="17">
        <v>0</v>
      </c>
      <c r="H436" s="511">
        <v>0</v>
      </c>
      <c r="I436" s="511">
        <v>399.7</v>
      </c>
      <c r="J436" s="88"/>
      <c r="K436" s="510"/>
      <c r="L436" s="511">
        <f t="shared" ref="L436:L438" si="64">ROUND(3334*I436,2)</f>
        <v>1332599.8</v>
      </c>
      <c r="M436" s="511">
        <v>0</v>
      </c>
      <c r="N436" s="511">
        <v>0</v>
      </c>
      <c r="O436" s="511">
        <v>0</v>
      </c>
      <c r="P436" s="511">
        <v>0</v>
      </c>
      <c r="Q436" s="511">
        <v>0</v>
      </c>
      <c r="R436" s="511">
        <v>0</v>
      </c>
      <c r="S436" s="511">
        <v>0</v>
      </c>
      <c r="T436" s="511">
        <v>0</v>
      </c>
      <c r="U436" s="511">
        <v>0</v>
      </c>
      <c r="V436" s="511">
        <v>0</v>
      </c>
      <c r="X436" s="38">
        <f>'[2]Приложение 1'!T433</f>
        <v>1548.8444138138441</v>
      </c>
      <c r="Y436" s="9">
        <f t="shared" si="60"/>
        <v>3334</v>
      </c>
      <c r="Z436" s="19">
        <f t="shared" si="57"/>
        <v>-1785.1555861861559</v>
      </c>
    </row>
    <row r="437" spans="1:26" ht="9" customHeight="1">
      <c r="A437" s="510">
        <v>74</v>
      </c>
      <c r="B437" s="655" t="s">
        <v>550</v>
      </c>
      <c r="C437" s="656" t="s">
        <v>1192</v>
      </c>
      <c r="D437" s="657" t="s">
        <v>110</v>
      </c>
      <c r="E437" s="511">
        <f t="shared" si="62"/>
        <v>2800560</v>
      </c>
      <c r="F437" s="511">
        <v>0</v>
      </c>
      <c r="G437" s="17">
        <v>0</v>
      </c>
      <c r="H437" s="511">
        <v>0</v>
      </c>
      <c r="I437" s="511">
        <v>840</v>
      </c>
      <c r="J437" s="88"/>
      <c r="K437" s="510"/>
      <c r="L437" s="511">
        <f t="shared" si="64"/>
        <v>2800560</v>
      </c>
      <c r="M437" s="511">
        <v>0</v>
      </c>
      <c r="N437" s="511">
        <v>0</v>
      </c>
      <c r="O437" s="511">
        <v>0</v>
      </c>
      <c r="P437" s="511">
        <v>0</v>
      </c>
      <c r="Q437" s="511">
        <v>0</v>
      </c>
      <c r="R437" s="511">
        <v>0</v>
      </c>
      <c r="S437" s="511">
        <v>0</v>
      </c>
      <c r="T437" s="511">
        <v>0</v>
      </c>
      <c r="U437" s="511">
        <v>0</v>
      </c>
      <c r="V437" s="511">
        <v>0</v>
      </c>
      <c r="X437" s="38">
        <f>'[2]Приложение 1'!T434</f>
        <v>4180</v>
      </c>
      <c r="Y437" s="9">
        <f t="shared" si="60"/>
        <v>3334</v>
      </c>
      <c r="Z437" s="19">
        <f t="shared" si="57"/>
        <v>846</v>
      </c>
    </row>
    <row r="438" spans="1:26" ht="9" customHeight="1">
      <c r="A438" s="510">
        <v>75</v>
      </c>
      <c r="B438" s="655" t="s">
        <v>551</v>
      </c>
      <c r="C438" s="656" t="s">
        <v>1192</v>
      </c>
      <c r="D438" s="657" t="s">
        <v>110</v>
      </c>
      <c r="E438" s="511">
        <f t="shared" si="62"/>
        <v>3253984</v>
      </c>
      <c r="F438" s="511">
        <v>0</v>
      </c>
      <c r="G438" s="17">
        <v>0</v>
      </c>
      <c r="H438" s="511">
        <v>0</v>
      </c>
      <c r="I438" s="511">
        <v>976</v>
      </c>
      <c r="J438" s="88"/>
      <c r="K438" s="510"/>
      <c r="L438" s="511">
        <f t="shared" si="64"/>
        <v>3253984</v>
      </c>
      <c r="M438" s="511">
        <v>0</v>
      </c>
      <c r="N438" s="511">
        <v>0</v>
      </c>
      <c r="O438" s="511">
        <v>0</v>
      </c>
      <c r="P438" s="511">
        <v>0</v>
      </c>
      <c r="Q438" s="511">
        <v>0</v>
      </c>
      <c r="R438" s="511">
        <v>0</v>
      </c>
      <c r="S438" s="511">
        <v>0</v>
      </c>
      <c r="T438" s="511">
        <v>0</v>
      </c>
      <c r="U438" s="511">
        <v>0</v>
      </c>
      <c r="V438" s="511">
        <v>0</v>
      </c>
      <c r="X438" s="38">
        <f>'[2]Приложение 1'!T435</f>
        <v>4180</v>
      </c>
      <c r="Y438" s="9">
        <f t="shared" si="60"/>
        <v>3334</v>
      </c>
      <c r="Z438" s="19">
        <f t="shared" si="57"/>
        <v>846</v>
      </c>
    </row>
    <row r="439" spans="1:26" ht="9" customHeight="1">
      <c r="A439" s="510">
        <v>76</v>
      </c>
      <c r="B439" s="655" t="s">
        <v>552</v>
      </c>
      <c r="C439" s="656" t="s">
        <v>1192</v>
      </c>
      <c r="D439" s="657" t="s">
        <v>111</v>
      </c>
      <c r="E439" s="511">
        <f t="shared" si="62"/>
        <v>4598748</v>
      </c>
      <c r="F439" s="511">
        <v>0</v>
      </c>
      <c r="G439" s="17">
        <v>0</v>
      </c>
      <c r="H439" s="511">
        <v>0</v>
      </c>
      <c r="I439" s="511">
        <v>1422</v>
      </c>
      <c r="J439" s="88"/>
      <c r="K439" s="510"/>
      <c r="L439" s="511">
        <f>ROUND(3234*I439,2)</f>
        <v>4598748</v>
      </c>
      <c r="M439" s="511">
        <v>0</v>
      </c>
      <c r="N439" s="511">
        <v>0</v>
      </c>
      <c r="O439" s="511">
        <v>0</v>
      </c>
      <c r="P439" s="511">
        <v>0</v>
      </c>
      <c r="Q439" s="511">
        <v>0</v>
      </c>
      <c r="R439" s="511">
        <v>0</v>
      </c>
      <c r="S439" s="511">
        <v>0</v>
      </c>
      <c r="T439" s="511">
        <v>0</v>
      </c>
      <c r="U439" s="511">
        <v>0</v>
      </c>
      <c r="V439" s="511">
        <v>0</v>
      </c>
      <c r="X439" s="38">
        <f>'[2]Приложение 1'!T436</f>
        <v>4180</v>
      </c>
      <c r="Y439" s="9">
        <f t="shared" si="60"/>
        <v>3234</v>
      </c>
      <c r="Z439" s="19">
        <f t="shared" si="57"/>
        <v>946</v>
      </c>
    </row>
    <row r="440" spans="1:26" ht="9" customHeight="1">
      <c r="A440" s="510">
        <v>77</v>
      </c>
      <c r="B440" s="655" t="s">
        <v>553</v>
      </c>
      <c r="C440" s="656" t="s">
        <v>1192</v>
      </c>
      <c r="D440" s="657" t="s">
        <v>110</v>
      </c>
      <c r="E440" s="511">
        <f t="shared" si="62"/>
        <v>3690738</v>
      </c>
      <c r="F440" s="511">
        <v>0</v>
      </c>
      <c r="G440" s="17">
        <v>0</v>
      </c>
      <c r="H440" s="511">
        <v>0</v>
      </c>
      <c r="I440" s="511">
        <v>1107</v>
      </c>
      <c r="J440" s="88"/>
      <c r="K440" s="510"/>
      <c r="L440" s="511">
        <f t="shared" ref="L440:L446" si="65">ROUND(3334*I440,2)</f>
        <v>3690738</v>
      </c>
      <c r="M440" s="511">
        <v>0</v>
      </c>
      <c r="N440" s="511">
        <v>0</v>
      </c>
      <c r="O440" s="511">
        <v>0</v>
      </c>
      <c r="P440" s="511">
        <v>0</v>
      </c>
      <c r="Q440" s="511">
        <v>0</v>
      </c>
      <c r="R440" s="511">
        <v>0</v>
      </c>
      <c r="S440" s="511">
        <v>0</v>
      </c>
      <c r="T440" s="511">
        <v>0</v>
      </c>
      <c r="U440" s="511">
        <v>0</v>
      </c>
      <c r="V440" s="511">
        <v>0</v>
      </c>
      <c r="X440" s="38">
        <f>'[2]Приложение 1'!T437</f>
        <v>4503.95</v>
      </c>
      <c r="Y440" s="9">
        <f t="shared" si="60"/>
        <v>3334</v>
      </c>
      <c r="Z440" s="19">
        <f t="shared" si="57"/>
        <v>1169.9499999999998</v>
      </c>
    </row>
    <row r="441" spans="1:26" ht="9" customHeight="1">
      <c r="A441" s="510">
        <v>78</v>
      </c>
      <c r="B441" s="655" t="s">
        <v>554</v>
      </c>
      <c r="C441" s="656" t="s">
        <v>1192</v>
      </c>
      <c r="D441" s="657" t="s">
        <v>110</v>
      </c>
      <c r="E441" s="511">
        <f t="shared" si="62"/>
        <v>2890578</v>
      </c>
      <c r="F441" s="511">
        <v>0</v>
      </c>
      <c r="G441" s="17">
        <v>0</v>
      </c>
      <c r="H441" s="511">
        <v>0</v>
      </c>
      <c r="I441" s="511">
        <v>867</v>
      </c>
      <c r="J441" s="88"/>
      <c r="K441" s="510"/>
      <c r="L441" s="511">
        <f t="shared" si="65"/>
        <v>2890578</v>
      </c>
      <c r="M441" s="511">
        <v>0</v>
      </c>
      <c r="N441" s="511">
        <v>0</v>
      </c>
      <c r="O441" s="511">
        <v>0</v>
      </c>
      <c r="P441" s="511">
        <v>0</v>
      </c>
      <c r="Q441" s="511">
        <v>0</v>
      </c>
      <c r="R441" s="511">
        <v>0</v>
      </c>
      <c r="S441" s="511">
        <v>0</v>
      </c>
      <c r="T441" s="511">
        <v>0</v>
      </c>
      <c r="U441" s="511">
        <v>0</v>
      </c>
      <c r="V441" s="511">
        <v>0</v>
      </c>
      <c r="X441" s="38">
        <f>'[2]Приложение 1'!T438</f>
        <v>4180</v>
      </c>
      <c r="Y441" s="9">
        <f t="shared" si="60"/>
        <v>3334</v>
      </c>
      <c r="Z441" s="19">
        <f t="shared" si="57"/>
        <v>846</v>
      </c>
    </row>
    <row r="442" spans="1:26" ht="9" customHeight="1">
      <c r="A442" s="510">
        <v>79</v>
      </c>
      <c r="B442" s="655" t="s">
        <v>555</v>
      </c>
      <c r="C442" s="656" t="s">
        <v>1192</v>
      </c>
      <c r="D442" s="657" t="s">
        <v>110</v>
      </c>
      <c r="E442" s="511">
        <f t="shared" si="62"/>
        <v>2077082</v>
      </c>
      <c r="F442" s="511">
        <v>0</v>
      </c>
      <c r="G442" s="17">
        <v>0</v>
      </c>
      <c r="H442" s="511">
        <v>0</v>
      </c>
      <c r="I442" s="511">
        <v>623</v>
      </c>
      <c r="J442" s="88"/>
      <c r="K442" s="510"/>
      <c r="L442" s="511">
        <f t="shared" si="65"/>
        <v>2077082</v>
      </c>
      <c r="M442" s="511">
        <v>0</v>
      </c>
      <c r="N442" s="511">
        <v>0</v>
      </c>
      <c r="O442" s="511">
        <v>0</v>
      </c>
      <c r="P442" s="511">
        <v>0</v>
      </c>
      <c r="Q442" s="511">
        <v>0</v>
      </c>
      <c r="R442" s="511">
        <v>0</v>
      </c>
      <c r="S442" s="511">
        <v>0</v>
      </c>
      <c r="T442" s="511">
        <v>0</v>
      </c>
      <c r="U442" s="511">
        <v>0</v>
      </c>
      <c r="V442" s="511">
        <v>0</v>
      </c>
      <c r="X442" s="38">
        <f>'[2]Приложение 1'!T439</f>
        <v>4180</v>
      </c>
      <c r="Y442" s="9">
        <f t="shared" si="60"/>
        <v>3334</v>
      </c>
      <c r="Z442" s="19">
        <f t="shared" si="57"/>
        <v>846</v>
      </c>
    </row>
    <row r="443" spans="1:26" ht="9" customHeight="1">
      <c r="A443" s="510">
        <v>80</v>
      </c>
      <c r="B443" s="655" t="s">
        <v>556</v>
      </c>
      <c r="C443" s="656" t="s">
        <v>1192</v>
      </c>
      <c r="D443" s="657" t="s">
        <v>110</v>
      </c>
      <c r="E443" s="511">
        <f t="shared" si="62"/>
        <v>6001200</v>
      </c>
      <c r="F443" s="511">
        <v>0</v>
      </c>
      <c r="G443" s="17">
        <v>0</v>
      </c>
      <c r="H443" s="511">
        <v>0</v>
      </c>
      <c r="I443" s="511">
        <v>1800</v>
      </c>
      <c r="J443" s="88"/>
      <c r="K443" s="510"/>
      <c r="L443" s="511">
        <f t="shared" si="65"/>
        <v>6001200</v>
      </c>
      <c r="M443" s="511">
        <v>0</v>
      </c>
      <c r="N443" s="511">
        <v>0</v>
      </c>
      <c r="O443" s="511">
        <v>0</v>
      </c>
      <c r="P443" s="511">
        <v>0</v>
      </c>
      <c r="Q443" s="511">
        <v>0</v>
      </c>
      <c r="R443" s="511">
        <v>0</v>
      </c>
      <c r="S443" s="511">
        <v>0</v>
      </c>
      <c r="T443" s="511">
        <v>0</v>
      </c>
      <c r="U443" s="511">
        <v>0</v>
      </c>
      <c r="V443" s="511">
        <v>0</v>
      </c>
      <c r="X443" s="38">
        <f>'[2]Приложение 1'!T440</f>
        <v>4180</v>
      </c>
      <c r="Y443" s="9">
        <f t="shared" si="60"/>
        <v>3334</v>
      </c>
      <c r="Z443" s="19">
        <f t="shared" si="57"/>
        <v>846</v>
      </c>
    </row>
    <row r="444" spans="1:26" ht="9" customHeight="1">
      <c r="A444" s="510">
        <v>81</v>
      </c>
      <c r="B444" s="655" t="s">
        <v>557</v>
      </c>
      <c r="C444" s="656" t="s">
        <v>1192</v>
      </c>
      <c r="D444" s="657" t="s">
        <v>110</v>
      </c>
      <c r="E444" s="511">
        <f t="shared" si="62"/>
        <v>1500300</v>
      </c>
      <c r="F444" s="511">
        <v>0</v>
      </c>
      <c r="G444" s="17">
        <v>0</v>
      </c>
      <c r="H444" s="511">
        <v>0</v>
      </c>
      <c r="I444" s="511">
        <v>450</v>
      </c>
      <c r="J444" s="88"/>
      <c r="K444" s="510"/>
      <c r="L444" s="511">
        <f t="shared" si="65"/>
        <v>1500300</v>
      </c>
      <c r="M444" s="511">
        <v>0</v>
      </c>
      <c r="N444" s="511">
        <v>0</v>
      </c>
      <c r="O444" s="511">
        <v>0</v>
      </c>
      <c r="P444" s="511">
        <v>0</v>
      </c>
      <c r="Q444" s="511">
        <v>0</v>
      </c>
      <c r="R444" s="511">
        <v>0</v>
      </c>
      <c r="S444" s="511">
        <v>0</v>
      </c>
      <c r="T444" s="511">
        <v>0</v>
      </c>
      <c r="U444" s="511">
        <v>0</v>
      </c>
      <c r="V444" s="511">
        <v>0</v>
      </c>
      <c r="X444" s="38">
        <f>'[2]Приложение 1'!T441</f>
        <v>4180</v>
      </c>
      <c r="Y444" s="9">
        <f t="shared" si="60"/>
        <v>3334</v>
      </c>
      <c r="Z444" s="19">
        <f t="shared" si="57"/>
        <v>846</v>
      </c>
    </row>
    <row r="445" spans="1:26" ht="9" customHeight="1">
      <c r="A445" s="510">
        <v>82</v>
      </c>
      <c r="B445" s="655" t="s">
        <v>558</v>
      </c>
      <c r="C445" s="656" t="s">
        <v>1192</v>
      </c>
      <c r="D445" s="657" t="s">
        <v>110</v>
      </c>
      <c r="E445" s="511">
        <f t="shared" si="62"/>
        <v>5084350</v>
      </c>
      <c r="F445" s="511">
        <v>0</v>
      </c>
      <c r="G445" s="17">
        <v>0</v>
      </c>
      <c r="H445" s="511">
        <v>0</v>
      </c>
      <c r="I445" s="511">
        <v>1525</v>
      </c>
      <c r="J445" s="88"/>
      <c r="K445" s="510"/>
      <c r="L445" s="511">
        <f t="shared" si="65"/>
        <v>5084350</v>
      </c>
      <c r="M445" s="511">
        <v>0</v>
      </c>
      <c r="N445" s="511">
        <v>0</v>
      </c>
      <c r="O445" s="511">
        <v>0</v>
      </c>
      <c r="P445" s="511">
        <v>0</v>
      </c>
      <c r="Q445" s="511">
        <v>0</v>
      </c>
      <c r="R445" s="511">
        <v>0</v>
      </c>
      <c r="S445" s="511">
        <v>0</v>
      </c>
      <c r="T445" s="511">
        <v>0</v>
      </c>
      <c r="U445" s="511">
        <v>0</v>
      </c>
      <c r="V445" s="511">
        <v>0</v>
      </c>
      <c r="X445" s="38">
        <f>'[2]Приложение 1'!T442</f>
        <v>4180</v>
      </c>
      <c r="Y445" s="9">
        <f t="shared" si="60"/>
        <v>3334</v>
      </c>
      <c r="Z445" s="19">
        <f t="shared" si="57"/>
        <v>846</v>
      </c>
    </row>
    <row r="446" spans="1:26" ht="9" customHeight="1">
      <c r="A446" s="510">
        <v>83</v>
      </c>
      <c r="B446" s="655" t="s">
        <v>559</v>
      </c>
      <c r="C446" s="656" t="s">
        <v>1192</v>
      </c>
      <c r="D446" s="657" t="s">
        <v>110</v>
      </c>
      <c r="E446" s="511">
        <f t="shared" si="62"/>
        <v>5961192</v>
      </c>
      <c r="F446" s="511">
        <v>0</v>
      </c>
      <c r="G446" s="17">
        <v>0</v>
      </c>
      <c r="H446" s="511">
        <v>0</v>
      </c>
      <c r="I446" s="511">
        <v>1788</v>
      </c>
      <c r="J446" s="88"/>
      <c r="K446" s="510"/>
      <c r="L446" s="511">
        <f t="shared" si="65"/>
        <v>5961192</v>
      </c>
      <c r="M446" s="511">
        <v>0</v>
      </c>
      <c r="N446" s="511">
        <v>0</v>
      </c>
      <c r="O446" s="511">
        <v>0</v>
      </c>
      <c r="P446" s="511">
        <v>0</v>
      </c>
      <c r="Q446" s="511">
        <v>0</v>
      </c>
      <c r="R446" s="511">
        <v>0</v>
      </c>
      <c r="S446" s="511">
        <v>0</v>
      </c>
      <c r="T446" s="511">
        <v>0</v>
      </c>
      <c r="U446" s="511">
        <v>0</v>
      </c>
      <c r="V446" s="511">
        <v>0</v>
      </c>
      <c r="X446" s="38">
        <f>'[2]Приложение 1'!T443</f>
        <v>4180</v>
      </c>
      <c r="Y446" s="9">
        <f t="shared" si="60"/>
        <v>3334</v>
      </c>
      <c r="Z446" s="19">
        <f t="shared" si="57"/>
        <v>846</v>
      </c>
    </row>
    <row r="447" spans="1:26" ht="9" customHeight="1">
      <c r="A447" s="510">
        <v>84</v>
      </c>
      <c r="B447" s="655" t="s">
        <v>560</v>
      </c>
      <c r="C447" s="656" t="s">
        <v>1192</v>
      </c>
      <c r="D447" s="657" t="s">
        <v>111</v>
      </c>
      <c r="E447" s="511">
        <f t="shared" si="62"/>
        <v>2891196</v>
      </c>
      <c r="F447" s="511">
        <v>0</v>
      </c>
      <c r="G447" s="17">
        <v>0</v>
      </c>
      <c r="H447" s="511">
        <v>0</v>
      </c>
      <c r="I447" s="511">
        <v>894</v>
      </c>
      <c r="J447" s="88"/>
      <c r="K447" s="510"/>
      <c r="L447" s="511">
        <f>ROUND(3234*I447,2)</f>
        <v>2891196</v>
      </c>
      <c r="M447" s="511">
        <v>0</v>
      </c>
      <c r="N447" s="511">
        <v>0</v>
      </c>
      <c r="O447" s="511">
        <v>0</v>
      </c>
      <c r="P447" s="511">
        <v>0</v>
      </c>
      <c r="Q447" s="511">
        <v>0</v>
      </c>
      <c r="R447" s="511">
        <v>0</v>
      </c>
      <c r="S447" s="511">
        <v>0</v>
      </c>
      <c r="T447" s="511">
        <v>0</v>
      </c>
      <c r="U447" s="511">
        <v>0</v>
      </c>
      <c r="V447" s="511">
        <v>0</v>
      </c>
      <c r="X447" s="38">
        <f>'[2]Приложение 1'!T444</f>
        <v>4180</v>
      </c>
      <c r="Y447" s="9">
        <f t="shared" si="60"/>
        <v>3234</v>
      </c>
      <c r="Z447" s="19">
        <f t="shared" si="57"/>
        <v>946</v>
      </c>
    </row>
    <row r="448" spans="1:26" ht="9" customHeight="1">
      <c r="A448" s="510">
        <v>85</v>
      </c>
      <c r="B448" s="655" t="s">
        <v>561</v>
      </c>
      <c r="C448" s="656" t="s">
        <v>1192</v>
      </c>
      <c r="D448" s="657" t="s">
        <v>111</v>
      </c>
      <c r="E448" s="511">
        <f t="shared" si="62"/>
        <v>21150360</v>
      </c>
      <c r="F448" s="511">
        <v>0</v>
      </c>
      <c r="G448" s="17">
        <v>0</v>
      </c>
      <c r="H448" s="511">
        <v>0</v>
      </c>
      <c r="I448" s="511">
        <v>6540</v>
      </c>
      <c r="J448" s="88"/>
      <c r="K448" s="510"/>
      <c r="L448" s="511">
        <f>ROUND(3234*I448,2)</f>
        <v>21150360</v>
      </c>
      <c r="M448" s="511">
        <v>0</v>
      </c>
      <c r="N448" s="511">
        <v>0</v>
      </c>
      <c r="O448" s="511">
        <v>0</v>
      </c>
      <c r="P448" s="511">
        <v>0</v>
      </c>
      <c r="Q448" s="511">
        <v>0</v>
      </c>
      <c r="R448" s="511">
        <v>0</v>
      </c>
      <c r="S448" s="511">
        <v>0</v>
      </c>
      <c r="T448" s="511">
        <v>0</v>
      </c>
      <c r="U448" s="511">
        <v>0</v>
      </c>
      <c r="V448" s="511">
        <v>0</v>
      </c>
      <c r="X448" s="38">
        <f>'[2]Приложение 1'!T445</f>
        <v>4503.95</v>
      </c>
      <c r="Y448" s="9">
        <f t="shared" si="60"/>
        <v>3234</v>
      </c>
      <c r="Z448" s="19">
        <f t="shared" si="57"/>
        <v>1269.9499999999998</v>
      </c>
    </row>
    <row r="449" spans="1:26" ht="9" customHeight="1">
      <c r="A449" s="510">
        <v>86</v>
      </c>
      <c r="B449" s="655" t="s">
        <v>562</v>
      </c>
      <c r="C449" s="656" t="s">
        <v>1192</v>
      </c>
      <c r="D449" s="657" t="s">
        <v>110</v>
      </c>
      <c r="E449" s="511">
        <f t="shared" si="62"/>
        <v>3000600</v>
      </c>
      <c r="F449" s="511">
        <v>0</v>
      </c>
      <c r="G449" s="17">
        <v>0</v>
      </c>
      <c r="H449" s="511">
        <v>0</v>
      </c>
      <c r="I449" s="511">
        <v>900</v>
      </c>
      <c r="J449" s="88"/>
      <c r="K449" s="510"/>
      <c r="L449" s="511">
        <f t="shared" ref="L449:L455" si="66">ROUND(3334*I449,2)</f>
        <v>3000600</v>
      </c>
      <c r="M449" s="511">
        <v>0</v>
      </c>
      <c r="N449" s="511">
        <v>0</v>
      </c>
      <c r="O449" s="511">
        <v>0</v>
      </c>
      <c r="P449" s="511">
        <v>0</v>
      </c>
      <c r="Q449" s="511">
        <v>0</v>
      </c>
      <c r="R449" s="511">
        <v>0</v>
      </c>
      <c r="S449" s="511">
        <v>0</v>
      </c>
      <c r="T449" s="511">
        <v>0</v>
      </c>
      <c r="U449" s="511">
        <v>0</v>
      </c>
      <c r="V449" s="511">
        <v>0</v>
      </c>
      <c r="X449" s="38">
        <f>'[2]Приложение 1'!T446</f>
        <v>4503.95</v>
      </c>
      <c r="Y449" s="9">
        <f t="shared" si="60"/>
        <v>3334</v>
      </c>
      <c r="Z449" s="19">
        <f t="shared" si="57"/>
        <v>1169.9499999999998</v>
      </c>
    </row>
    <row r="450" spans="1:26" ht="9" customHeight="1">
      <c r="A450" s="510">
        <v>87</v>
      </c>
      <c r="B450" s="655" t="s">
        <v>563</v>
      </c>
      <c r="C450" s="656" t="s">
        <v>1192</v>
      </c>
      <c r="D450" s="657" t="s">
        <v>110</v>
      </c>
      <c r="E450" s="511">
        <f t="shared" si="62"/>
        <v>2080416</v>
      </c>
      <c r="F450" s="511">
        <v>0</v>
      </c>
      <c r="G450" s="17">
        <v>0</v>
      </c>
      <c r="H450" s="511">
        <v>0</v>
      </c>
      <c r="I450" s="511">
        <v>624</v>
      </c>
      <c r="J450" s="88"/>
      <c r="K450" s="510"/>
      <c r="L450" s="511">
        <f t="shared" si="66"/>
        <v>2080416</v>
      </c>
      <c r="M450" s="511">
        <v>0</v>
      </c>
      <c r="N450" s="511">
        <v>0</v>
      </c>
      <c r="O450" s="511">
        <v>0</v>
      </c>
      <c r="P450" s="511">
        <v>0</v>
      </c>
      <c r="Q450" s="511">
        <v>0</v>
      </c>
      <c r="R450" s="511">
        <v>0</v>
      </c>
      <c r="S450" s="511">
        <v>0</v>
      </c>
      <c r="T450" s="511">
        <v>0</v>
      </c>
      <c r="U450" s="511">
        <v>0</v>
      </c>
      <c r="V450" s="511">
        <v>0</v>
      </c>
      <c r="X450" s="38">
        <f>'[2]Приложение 1'!T447</f>
        <v>4180</v>
      </c>
      <c r="Y450" s="9">
        <f t="shared" si="60"/>
        <v>3334</v>
      </c>
      <c r="Z450" s="19">
        <f t="shared" si="57"/>
        <v>846</v>
      </c>
    </row>
    <row r="451" spans="1:26" ht="9" customHeight="1">
      <c r="A451" s="510">
        <v>88</v>
      </c>
      <c r="B451" s="655" t="s">
        <v>564</v>
      </c>
      <c r="C451" s="656" t="s">
        <v>1192</v>
      </c>
      <c r="D451" s="657" t="s">
        <v>110</v>
      </c>
      <c r="E451" s="511">
        <f t="shared" si="62"/>
        <v>3323998</v>
      </c>
      <c r="F451" s="511">
        <v>0</v>
      </c>
      <c r="G451" s="17">
        <v>0</v>
      </c>
      <c r="H451" s="511">
        <v>0</v>
      </c>
      <c r="I451" s="511">
        <v>997</v>
      </c>
      <c r="J451" s="88"/>
      <c r="K451" s="510"/>
      <c r="L451" s="511">
        <f t="shared" si="66"/>
        <v>3323998</v>
      </c>
      <c r="M451" s="511">
        <v>0</v>
      </c>
      <c r="N451" s="511">
        <v>0</v>
      </c>
      <c r="O451" s="511">
        <v>0</v>
      </c>
      <c r="P451" s="511">
        <v>0</v>
      </c>
      <c r="Q451" s="511">
        <v>0</v>
      </c>
      <c r="R451" s="511">
        <v>0</v>
      </c>
      <c r="S451" s="511">
        <v>0</v>
      </c>
      <c r="T451" s="511">
        <v>0</v>
      </c>
      <c r="U451" s="511">
        <v>0</v>
      </c>
      <c r="V451" s="511">
        <v>0</v>
      </c>
      <c r="X451" s="38">
        <f>'[2]Приложение 1'!T448</f>
        <v>4180</v>
      </c>
      <c r="Y451" s="9">
        <f t="shared" si="60"/>
        <v>3334</v>
      </c>
      <c r="Z451" s="19">
        <f t="shared" si="57"/>
        <v>846</v>
      </c>
    </row>
    <row r="452" spans="1:26" ht="9" customHeight="1">
      <c r="A452" s="510">
        <v>89</v>
      </c>
      <c r="B452" s="655" t="s">
        <v>565</v>
      </c>
      <c r="C452" s="656" t="s">
        <v>1192</v>
      </c>
      <c r="D452" s="657" t="s">
        <v>110</v>
      </c>
      <c r="E452" s="511">
        <f t="shared" si="62"/>
        <v>7068080</v>
      </c>
      <c r="F452" s="511">
        <v>0</v>
      </c>
      <c r="G452" s="17">
        <v>0</v>
      </c>
      <c r="H452" s="511">
        <v>0</v>
      </c>
      <c r="I452" s="511">
        <v>2120</v>
      </c>
      <c r="J452" s="88"/>
      <c r="K452" s="510"/>
      <c r="L452" s="511">
        <f t="shared" si="66"/>
        <v>7068080</v>
      </c>
      <c r="M452" s="511">
        <v>0</v>
      </c>
      <c r="N452" s="511">
        <v>0</v>
      </c>
      <c r="O452" s="511">
        <v>0</v>
      </c>
      <c r="P452" s="511">
        <v>0</v>
      </c>
      <c r="Q452" s="511">
        <v>0</v>
      </c>
      <c r="R452" s="511">
        <v>0</v>
      </c>
      <c r="S452" s="511">
        <v>0</v>
      </c>
      <c r="T452" s="511">
        <v>0</v>
      </c>
      <c r="U452" s="511">
        <v>0</v>
      </c>
      <c r="V452" s="511">
        <v>0</v>
      </c>
      <c r="X452" s="38">
        <f>'[2]Приложение 1'!T449</f>
        <v>4180</v>
      </c>
      <c r="Y452" s="9">
        <f t="shared" si="60"/>
        <v>3334</v>
      </c>
      <c r="Z452" s="19">
        <f t="shared" si="57"/>
        <v>846</v>
      </c>
    </row>
    <row r="453" spans="1:26" ht="9" customHeight="1">
      <c r="A453" s="510">
        <v>90</v>
      </c>
      <c r="B453" s="655" t="s">
        <v>566</v>
      </c>
      <c r="C453" s="656" t="s">
        <v>1192</v>
      </c>
      <c r="D453" s="657" t="s">
        <v>110</v>
      </c>
      <c r="E453" s="511">
        <f t="shared" si="62"/>
        <v>4247516</v>
      </c>
      <c r="F453" s="511">
        <v>0</v>
      </c>
      <c r="G453" s="17">
        <v>0</v>
      </c>
      <c r="H453" s="511">
        <v>0</v>
      </c>
      <c r="I453" s="511">
        <v>1274</v>
      </c>
      <c r="J453" s="88"/>
      <c r="K453" s="510"/>
      <c r="L453" s="511">
        <f t="shared" si="66"/>
        <v>4247516</v>
      </c>
      <c r="M453" s="511">
        <v>0</v>
      </c>
      <c r="N453" s="511">
        <v>0</v>
      </c>
      <c r="O453" s="511">
        <v>0</v>
      </c>
      <c r="P453" s="511">
        <v>0</v>
      </c>
      <c r="Q453" s="511">
        <v>0</v>
      </c>
      <c r="R453" s="511">
        <v>0</v>
      </c>
      <c r="S453" s="511">
        <v>0</v>
      </c>
      <c r="T453" s="511">
        <v>0</v>
      </c>
      <c r="U453" s="511">
        <v>0</v>
      </c>
      <c r="V453" s="511">
        <v>0</v>
      </c>
      <c r="X453" s="38">
        <f>'[2]Приложение 1'!T450</f>
        <v>4180</v>
      </c>
      <c r="Y453" s="9">
        <f t="shared" si="60"/>
        <v>3334</v>
      </c>
      <c r="Z453" s="19">
        <f t="shared" si="57"/>
        <v>846</v>
      </c>
    </row>
    <row r="454" spans="1:26" ht="9" customHeight="1">
      <c r="A454" s="510">
        <v>91</v>
      </c>
      <c r="B454" s="655" t="s">
        <v>567</v>
      </c>
      <c r="C454" s="656" t="s">
        <v>1192</v>
      </c>
      <c r="D454" s="657" t="s">
        <v>110</v>
      </c>
      <c r="E454" s="511">
        <f t="shared" si="62"/>
        <v>3040608</v>
      </c>
      <c r="F454" s="511">
        <v>0</v>
      </c>
      <c r="G454" s="17">
        <v>0</v>
      </c>
      <c r="H454" s="511">
        <v>0</v>
      </c>
      <c r="I454" s="511">
        <v>912</v>
      </c>
      <c r="J454" s="88"/>
      <c r="K454" s="510"/>
      <c r="L454" s="511">
        <f t="shared" si="66"/>
        <v>3040608</v>
      </c>
      <c r="M454" s="511">
        <v>0</v>
      </c>
      <c r="N454" s="511">
        <v>0</v>
      </c>
      <c r="O454" s="511">
        <v>0</v>
      </c>
      <c r="P454" s="511">
        <v>0</v>
      </c>
      <c r="Q454" s="511">
        <v>0</v>
      </c>
      <c r="R454" s="511">
        <v>0</v>
      </c>
      <c r="S454" s="511">
        <v>0</v>
      </c>
      <c r="T454" s="511">
        <v>0</v>
      </c>
      <c r="U454" s="511">
        <v>0</v>
      </c>
      <c r="V454" s="511">
        <v>0</v>
      </c>
      <c r="X454" s="38">
        <f>'[2]Приложение 1'!T451</f>
        <v>4180</v>
      </c>
      <c r="Y454" s="9">
        <f t="shared" si="60"/>
        <v>3334</v>
      </c>
      <c r="Z454" s="19">
        <f t="shared" si="57"/>
        <v>846</v>
      </c>
    </row>
    <row r="455" spans="1:26" ht="9" customHeight="1">
      <c r="A455" s="510">
        <v>92</v>
      </c>
      <c r="B455" s="655" t="s">
        <v>568</v>
      </c>
      <c r="C455" s="656" t="s">
        <v>1192</v>
      </c>
      <c r="D455" s="657" t="s">
        <v>110</v>
      </c>
      <c r="E455" s="511">
        <f t="shared" si="62"/>
        <v>3073948</v>
      </c>
      <c r="F455" s="511">
        <v>0</v>
      </c>
      <c r="G455" s="17">
        <v>0</v>
      </c>
      <c r="H455" s="511">
        <v>0</v>
      </c>
      <c r="I455" s="511">
        <v>922</v>
      </c>
      <c r="J455" s="88"/>
      <c r="K455" s="510"/>
      <c r="L455" s="511">
        <f t="shared" si="66"/>
        <v>3073948</v>
      </c>
      <c r="M455" s="511">
        <v>0</v>
      </c>
      <c r="N455" s="511">
        <v>0</v>
      </c>
      <c r="O455" s="511">
        <v>0</v>
      </c>
      <c r="P455" s="511">
        <v>0</v>
      </c>
      <c r="Q455" s="511">
        <v>0</v>
      </c>
      <c r="R455" s="511">
        <v>0</v>
      </c>
      <c r="S455" s="511">
        <v>0</v>
      </c>
      <c r="T455" s="511">
        <v>0</v>
      </c>
      <c r="U455" s="511">
        <v>0</v>
      </c>
      <c r="V455" s="511">
        <v>0</v>
      </c>
      <c r="X455" s="38">
        <f>'[2]Приложение 1'!T452</f>
        <v>4180</v>
      </c>
      <c r="Y455" s="9">
        <f t="shared" si="60"/>
        <v>3334</v>
      </c>
      <c r="Z455" s="19">
        <f t="shared" si="57"/>
        <v>846</v>
      </c>
    </row>
    <row r="456" spans="1:26" ht="9" customHeight="1">
      <c r="A456" s="510">
        <v>93</v>
      </c>
      <c r="B456" s="655" t="s">
        <v>569</v>
      </c>
      <c r="C456" s="656" t="s">
        <v>1192</v>
      </c>
      <c r="D456" s="657" t="s">
        <v>111</v>
      </c>
      <c r="E456" s="511">
        <f>F456+H456+L456+N456+P456+R456+S456+T456+U456+V456</f>
        <v>3434125.45</v>
      </c>
      <c r="F456" s="511">
        <f>ROUND(1307.76*(370+1200+210+220+303.05),2)</f>
        <v>3011836.67</v>
      </c>
      <c r="G456" s="17">
        <v>0</v>
      </c>
      <c r="H456" s="511">
        <v>0</v>
      </c>
      <c r="I456" s="511">
        <v>0</v>
      </c>
      <c r="J456" s="88"/>
      <c r="K456" s="510"/>
      <c r="L456" s="511">
        <v>0</v>
      </c>
      <c r="M456" s="511">
        <v>0</v>
      </c>
      <c r="N456" s="511">
        <v>0</v>
      </c>
      <c r="O456" s="511">
        <v>0</v>
      </c>
      <c r="P456" s="511">
        <v>0</v>
      </c>
      <c r="Q456" s="511">
        <v>0</v>
      </c>
      <c r="R456" s="511">
        <v>0</v>
      </c>
      <c r="S456" s="511">
        <v>0</v>
      </c>
      <c r="T456" s="511">
        <v>0</v>
      </c>
      <c r="U456" s="511">
        <f>ROUND(1307.76*322.91,2)</f>
        <v>422288.78</v>
      </c>
      <c r="V456" s="511">
        <v>0</v>
      </c>
      <c r="X456" s="38">
        <f>'[2]Приложение 1'!T453</f>
        <v>4180</v>
      </c>
      <c r="Y456" s="9" t="e">
        <f t="shared" si="60"/>
        <v>#DIV/0!</v>
      </c>
      <c r="Z456" s="19" t="e">
        <f t="shared" si="57"/>
        <v>#DIV/0!</v>
      </c>
    </row>
    <row r="457" spans="1:26" ht="9" customHeight="1">
      <c r="A457" s="510">
        <v>94</v>
      </c>
      <c r="B457" s="655" t="s">
        <v>570</v>
      </c>
      <c r="C457" s="656" t="s">
        <v>1192</v>
      </c>
      <c r="D457" s="657" t="s">
        <v>110</v>
      </c>
      <c r="E457" s="511">
        <f t="shared" si="62"/>
        <v>2697206</v>
      </c>
      <c r="F457" s="511">
        <v>0</v>
      </c>
      <c r="G457" s="17">
        <v>0</v>
      </c>
      <c r="H457" s="511">
        <v>0</v>
      </c>
      <c r="I457" s="511">
        <v>809</v>
      </c>
      <c r="J457" s="88"/>
      <c r="K457" s="510"/>
      <c r="L457" s="511">
        <f t="shared" ref="L457" si="67">ROUND(3334*I457,2)</f>
        <v>2697206</v>
      </c>
      <c r="M457" s="511">
        <v>0</v>
      </c>
      <c r="N457" s="511">
        <v>0</v>
      </c>
      <c r="O457" s="511">
        <v>0</v>
      </c>
      <c r="P457" s="511">
        <v>0</v>
      </c>
      <c r="Q457" s="511">
        <v>0</v>
      </c>
      <c r="R457" s="511">
        <v>0</v>
      </c>
      <c r="S457" s="511">
        <v>0</v>
      </c>
      <c r="T457" s="511">
        <v>0</v>
      </c>
      <c r="U457" s="511">
        <v>0</v>
      </c>
      <c r="V457" s="511">
        <v>0</v>
      </c>
      <c r="X457" s="38">
        <f>'[2]Приложение 1'!T454</f>
        <v>5307.5599999999995</v>
      </c>
      <c r="Y457" s="9">
        <f t="shared" si="60"/>
        <v>3334</v>
      </c>
      <c r="Z457" s="19">
        <f t="shared" si="57"/>
        <v>1973.5599999999995</v>
      </c>
    </row>
    <row r="458" spans="1:26" ht="9" customHeight="1">
      <c r="A458" s="510">
        <v>95</v>
      </c>
      <c r="B458" s="655" t="s">
        <v>571</v>
      </c>
      <c r="C458" s="656" t="s">
        <v>1192</v>
      </c>
      <c r="D458" s="657" t="s">
        <v>111</v>
      </c>
      <c r="E458" s="511">
        <f t="shared" si="62"/>
        <v>2813580</v>
      </c>
      <c r="F458" s="511">
        <v>0</v>
      </c>
      <c r="G458" s="17">
        <v>0</v>
      </c>
      <c r="H458" s="511">
        <v>0</v>
      </c>
      <c r="I458" s="511">
        <v>870</v>
      </c>
      <c r="J458" s="88"/>
      <c r="K458" s="510"/>
      <c r="L458" s="511">
        <f>ROUND(3234*I458,2)</f>
        <v>2813580</v>
      </c>
      <c r="M458" s="511">
        <v>0</v>
      </c>
      <c r="N458" s="511">
        <v>0</v>
      </c>
      <c r="O458" s="511">
        <v>0</v>
      </c>
      <c r="P458" s="511">
        <v>0</v>
      </c>
      <c r="Q458" s="511">
        <v>0</v>
      </c>
      <c r="R458" s="511">
        <v>0</v>
      </c>
      <c r="S458" s="511">
        <v>0</v>
      </c>
      <c r="T458" s="511">
        <v>0</v>
      </c>
      <c r="U458" s="511">
        <v>0</v>
      </c>
      <c r="V458" s="511">
        <v>0</v>
      </c>
      <c r="X458" s="38">
        <f>'[2]Приложение 1'!T455</f>
        <v>4180</v>
      </c>
      <c r="Y458" s="9">
        <f t="shared" si="60"/>
        <v>3234</v>
      </c>
      <c r="Z458" s="19">
        <f t="shared" si="57"/>
        <v>946</v>
      </c>
    </row>
    <row r="459" spans="1:26" ht="9" customHeight="1">
      <c r="A459" s="510">
        <v>96</v>
      </c>
      <c r="B459" s="655" t="s">
        <v>572</v>
      </c>
      <c r="C459" s="656" t="s">
        <v>1192</v>
      </c>
      <c r="D459" s="657" t="s">
        <v>111</v>
      </c>
      <c r="E459" s="511">
        <f t="shared" si="62"/>
        <v>3719100</v>
      </c>
      <c r="F459" s="511">
        <v>0</v>
      </c>
      <c r="G459" s="17">
        <v>0</v>
      </c>
      <c r="H459" s="511">
        <v>0</v>
      </c>
      <c r="I459" s="511">
        <v>1150</v>
      </c>
      <c r="J459" s="88"/>
      <c r="K459" s="510"/>
      <c r="L459" s="511">
        <f>ROUND(3234*I459,2)</f>
        <v>3719100</v>
      </c>
      <c r="M459" s="511">
        <v>0</v>
      </c>
      <c r="N459" s="511">
        <v>0</v>
      </c>
      <c r="O459" s="511">
        <v>0</v>
      </c>
      <c r="P459" s="511">
        <v>0</v>
      </c>
      <c r="Q459" s="511">
        <v>0</v>
      </c>
      <c r="R459" s="511">
        <v>0</v>
      </c>
      <c r="S459" s="511">
        <v>0</v>
      </c>
      <c r="T459" s="511">
        <v>0</v>
      </c>
      <c r="U459" s="511">
        <v>0</v>
      </c>
      <c r="V459" s="511">
        <v>0</v>
      </c>
      <c r="X459" s="38">
        <f>'[2]Приложение 1'!T456</f>
        <v>4503.95</v>
      </c>
      <c r="Y459" s="9">
        <f t="shared" si="60"/>
        <v>3234</v>
      </c>
      <c r="Z459" s="19">
        <f t="shared" si="57"/>
        <v>1269.9499999999998</v>
      </c>
    </row>
    <row r="460" spans="1:26" ht="9" customHeight="1">
      <c r="A460" s="510">
        <v>97</v>
      </c>
      <c r="B460" s="655" t="s">
        <v>573</v>
      </c>
      <c r="C460" s="656" t="s">
        <v>1192</v>
      </c>
      <c r="D460" s="657" t="s">
        <v>110</v>
      </c>
      <c r="E460" s="511">
        <f t="shared" si="62"/>
        <v>3844102</v>
      </c>
      <c r="F460" s="511">
        <v>0</v>
      </c>
      <c r="G460" s="17">
        <v>0</v>
      </c>
      <c r="H460" s="511">
        <v>0</v>
      </c>
      <c r="I460" s="511">
        <v>1153</v>
      </c>
      <c r="J460" s="88"/>
      <c r="K460" s="510"/>
      <c r="L460" s="511">
        <f t="shared" ref="L460:L468" si="68">ROUND(3334*I460,2)</f>
        <v>3844102</v>
      </c>
      <c r="M460" s="511">
        <v>0</v>
      </c>
      <c r="N460" s="511">
        <v>0</v>
      </c>
      <c r="O460" s="511">
        <v>0</v>
      </c>
      <c r="P460" s="511">
        <v>0</v>
      </c>
      <c r="Q460" s="511">
        <v>0</v>
      </c>
      <c r="R460" s="511">
        <v>0</v>
      </c>
      <c r="S460" s="511">
        <v>0</v>
      </c>
      <c r="T460" s="511">
        <v>0</v>
      </c>
      <c r="U460" s="511">
        <v>0</v>
      </c>
      <c r="V460" s="511">
        <v>0</v>
      </c>
      <c r="X460" s="38">
        <f>'[2]Приложение 1'!T457</f>
        <v>4503.95</v>
      </c>
      <c r="Y460" s="9">
        <f t="shared" si="60"/>
        <v>3334</v>
      </c>
      <c r="Z460" s="19">
        <f t="shared" si="57"/>
        <v>1169.9499999999998</v>
      </c>
    </row>
    <row r="461" spans="1:26" ht="9" customHeight="1">
      <c r="A461" s="510">
        <v>98</v>
      </c>
      <c r="B461" s="655" t="s">
        <v>574</v>
      </c>
      <c r="C461" s="656" t="s">
        <v>1192</v>
      </c>
      <c r="D461" s="657" t="s">
        <v>110</v>
      </c>
      <c r="E461" s="511">
        <f t="shared" si="62"/>
        <v>5764486</v>
      </c>
      <c r="F461" s="511">
        <v>0</v>
      </c>
      <c r="G461" s="17">
        <v>0</v>
      </c>
      <c r="H461" s="511">
        <v>0</v>
      </c>
      <c r="I461" s="511">
        <v>1729</v>
      </c>
      <c r="J461" s="88"/>
      <c r="K461" s="510"/>
      <c r="L461" s="511">
        <f t="shared" si="68"/>
        <v>5764486</v>
      </c>
      <c r="M461" s="511">
        <v>0</v>
      </c>
      <c r="N461" s="511">
        <v>0</v>
      </c>
      <c r="O461" s="511">
        <v>0</v>
      </c>
      <c r="P461" s="511">
        <v>0</v>
      </c>
      <c r="Q461" s="511">
        <v>0</v>
      </c>
      <c r="R461" s="511">
        <v>0</v>
      </c>
      <c r="S461" s="511">
        <v>0</v>
      </c>
      <c r="T461" s="511">
        <v>0</v>
      </c>
      <c r="U461" s="511">
        <v>0</v>
      </c>
      <c r="V461" s="511">
        <v>0</v>
      </c>
      <c r="X461" s="38">
        <f>'[2]Приложение 1'!T458</f>
        <v>4180</v>
      </c>
      <c r="Y461" s="9">
        <f t="shared" si="60"/>
        <v>3334</v>
      </c>
      <c r="Z461" s="19">
        <f t="shared" si="57"/>
        <v>846</v>
      </c>
    </row>
    <row r="462" spans="1:26" ht="9" customHeight="1">
      <c r="A462" s="510">
        <v>99</v>
      </c>
      <c r="B462" s="655" t="s">
        <v>575</v>
      </c>
      <c r="C462" s="656" t="s">
        <v>1192</v>
      </c>
      <c r="D462" s="657" t="s">
        <v>110</v>
      </c>
      <c r="E462" s="511">
        <f t="shared" si="62"/>
        <v>5157698</v>
      </c>
      <c r="F462" s="511">
        <v>0</v>
      </c>
      <c r="G462" s="17">
        <v>0</v>
      </c>
      <c r="H462" s="511">
        <v>0</v>
      </c>
      <c r="I462" s="511">
        <v>1547</v>
      </c>
      <c r="J462" s="88"/>
      <c r="K462" s="510"/>
      <c r="L462" s="511">
        <f t="shared" si="68"/>
        <v>5157698</v>
      </c>
      <c r="M462" s="511">
        <v>0</v>
      </c>
      <c r="N462" s="511">
        <v>0</v>
      </c>
      <c r="O462" s="511">
        <v>0</v>
      </c>
      <c r="P462" s="511">
        <v>0</v>
      </c>
      <c r="Q462" s="511">
        <v>0</v>
      </c>
      <c r="R462" s="511">
        <v>0</v>
      </c>
      <c r="S462" s="511">
        <v>0</v>
      </c>
      <c r="T462" s="511">
        <v>0</v>
      </c>
      <c r="U462" s="511">
        <v>0</v>
      </c>
      <c r="V462" s="511">
        <v>0</v>
      </c>
      <c r="X462" s="38">
        <f>'[2]Приложение 1'!T459</f>
        <v>4180</v>
      </c>
      <c r="Y462" s="9">
        <f t="shared" si="60"/>
        <v>3334</v>
      </c>
      <c r="Z462" s="19">
        <f t="shared" si="57"/>
        <v>846</v>
      </c>
    </row>
    <row r="463" spans="1:26" ht="9" customHeight="1">
      <c r="A463" s="510">
        <v>100</v>
      </c>
      <c r="B463" s="655" t="s">
        <v>576</v>
      </c>
      <c r="C463" s="656" t="s">
        <v>1192</v>
      </c>
      <c r="D463" s="657" t="s">
        <v>110</v>
      </c>
      <c r="E463" s="511">
        <f t="shared" si="62"/>
        <v>5104354</v>
      </c>
      <c r="F463" s="511">
        <v>0</v>
      </c>
      <c r="G463" s="17">
        <v>0</v>
      </c>
      <c r="H463" s="511">
        <v>0</v>
      </c>
      <c r="I463" s="511">
        <v>1531</v>
      </c>
      <c r="J463" s="88"/>
      <c r="K463" s="510"/>
      <c r="L463" s="511">
        <f t="shared" si="68"/>
        <v>5104354</v>
      </c>
      <c r="M463" s="511">
        <v>0</v>
      </c>
      <c r="N463" s="511">
        <v>0</v>
      </c>
      <c r="O463" s="511">
        <v>0</v>
      </c>
      <c r="P463" s="511">
        <v>0</v>
      </c>
      <c r="Q463" s="511">
        <v>0</v>
      </c>
      <c r="R463" s="511">
        <v>0</v>
      </c>
      <c r="S463" s="511">
        <v>0</v>
      </c>
      <c r="T463" s="511">
        <v>0</v>
      </c>
      <c r="U463" s="511">
        <v>0</v>
      </c>
      <c r="V463" s="511">
        <v>0</v>
      </c>
      <c r="X463" s="38">
        <f>'[2]Приложение 1'!T460</f>
        <v>4180</v>
      </c>
      <c r="Y463" s="9">
        <f t="shared" si="60"/>
        <v>3334</v>
      </c>
      <c r="Z463" s="19">
        <f t="shared" si="57"/>
        <v>846</v>
      </c>
    </row>
    <row r="464" spans="1:26" ht="9" customHeight="1">
      <c r="A464" s="510">
        <v>101</v>
      </c>
      <c r="B464" s="655" t="s">
        <v>577</v>
      </c>
      <c r="C464" s="656" t="s">
        <v>1192</v>
      </c>
      <c r="D464" s="657" t="s">
        <v>110</v>
      </c>
      <c r="E464" s="511">
        <f t="shared" si="62"/>
        <v>1220244</v>
      </c>
      <c r="F464" s="511">
        <v>0</v>
      </c>
      <c r="G464" s="17">
        <v>0</v>
      </c>
      <c r="H464" s="511">
        <v>0</v>
      </c>
      <c r="I464" s="511">
        <v>366</v>
      </c>
      <c r="J464" s="88"/>
      <c r="K464" s="510"/>
      <c r="L464" s="511">
        <f t="shared" si="68"/>
        <v>1220244</v>
      </c>
      <c r="M464" s="511">
        <v>0</v>
      </c>
      <c r="N464" s="511">
        <v>0</v>
      </c>
      <c r="O464" s="511">
        <v>0</v>
      </c>
      <c r="P464" s="511">
        <v>0</v>
      </c>
      <c r="Q464" s="511">
        <v>0</v>
      </c>
      <c r="R464" s="511">
        <v>0</v>
      </c>
      <c r="S464" s="511">
        <v>0</v>
      </c>
      <c r="T464" s="511">
        <v>0</v>
      </c>
      <c r="U464" s="511">
        <v>0</v>
      </c>
      <c r="V464" s="511">
        <v>0</v>
      </c>
      <c r="X464" s="38">
        <f>'[2]Приложение 1'!T461</f>
        <v>4180</v>
      </c>
      <c r="Y464" s="9">
        <f t="shared" si="60"/>
        <v>3334</v>
      </c>
      <c r="Z464" s="19">
        <f t="shared" si="57"/>
        <v>846</v>
      </c>
    </row>
    <row r="465" spans="1:26" ht="9" customHeight="1">
      <c r="A465" s="510">
        <v>102</v>
      </c>
      <c r="B465" s="655" t="s">
        <v>578</v>
      </c>
      <c r="C465" s="656" t="s">
        <v>1192</v>
      </c>
      <c r="D465" s="657" t="s">
        <v>110</v>
      </c>
      <c r="E465" s="511">
        <f t="shared" si="62"/>
        <v>10129025.4</v>
      </c>
      <c r="F465" s="511">
        <v>0</v>
      </c>
      <c r="G465" s="17">
        <v>0</v>
      </c>
      <c r="H465" s="511">
        <v>0</v>
      </c>
      <c r="I465" s="511">
        <v>3038.1</v>
      </c>
      <c r="J465" s="88"/>
      <c r="K465" s="510"/>
      <c r="L465" s="511">
        <f t="shared" si="68"/>
        <v>10129025.4</v>
      </c>
      <c r="M465" s="511">
        <v>0</v>
      </c>
      <c r="N465" s="511">
        <v>0</v>
      </c>
      <c r="O465" s="511">
        <v>0</v>
      </c>
      <c r="P465" s="511">
        <v>0</v>
      </c>
      <c r="Q465" s="511">
        <v>0</v>
      </c>
      <c r="R465" s="511">
        <v>0</v>
      </c>
      <c r="S465" s="511">
        <v>0</v>
      </c>
      <c r="T465" s="511">
        <v>0</v>
      </c>
      <c r="U465" s="511">
        <v>0</v>
      </c>
      <c r="V465" s="511">
        <v>0</v>
      </c>
      <c r="X465" s="38">
        <f>'[2]Приложение 1'!T462</f>
        <v>4180</v>
      </c>
      <c r="Y465" s="9">
        <f t="shared" si="60"/>
        <v>3334</v>
      </c>
      <c r="Z465" s="19">
        <f t="shared" si="57"/>
        <v>846</v>
      </c>
    </row>
    <row r="466" spans="1:26" ht="9" customHeight="1">
      <c r="A466" s="510">
        <v>103</v>
      </c>
      <c r="B466" s="655" t="s">
        <v>579</v>
      </c>
      <c r="C466" s="656" t="s">
        <v>1192</v>
      </c>
      <c r="D466" s="657" t="s">
        <v>110</v>
      </c>
      <c r="E466" s="511">
        <f t="shared" si="62"/>
        <v>5144362</v>
      </c>
      <c r="F466" s="511">
        <v>0</v>
      </c>
      <c r="G466" s="17">
        <v>0</v>
      </c>
      <c r="H466" s="511">
        <v>0</v>
      </c>
      <c r="I466" s="511">
        <v>1543</v>
      </c>
      <c r="J466" s="88"/>
      <c r="K466" s="510"/>
      <c r="L466" s="511">
        <f t="shared" si="68"/>
        <v>5144362</v>
      </c>
      <c r="M466" s="511">
        <v>0</v>
      </c>
      <c r="N466" s="511">
        <v>0</v>
      </c>
      <c r="O466" s="511">
        <v>0</v>
      </c>
      <c r="P466" s="511">
        <v>0</v>
      </c>
      <c r="Q466" s="511">
        <v>0</v>
      </c>
      <c r="R466" s="511">
        <v>0</v>
      </c>
      <c r="S466" s="511">
        <v>0</v>
      </c>
      <c r="T466" s="511">
        <v>0</v>
      </c>
      <c r="U466" s="511">
        <v>0</v>
      </c>
      <c r="V466" s="511">
        <v>0</v>
      </c>
      <c r="X466" s="38">
        <f>'[2]Приложение 1'!T463</f>
        <v>4180</v>
      </c>
      <c r="Y466" s="9">
        <f t="shared" si="60"/>
        <v>3334</v>
      </c>
      <c r="Z466" s="19">
        <f t="shared" si="57"/>
        <v>846</v>
      </c>
    </row>
    <row r="467" spans="1:26" ht="9" customHeight="1">
      <c r="A467" s="510">
        <v>104</v>
      </c>
      <c r="B467" s="655" t="s">
        <v>580</v>
      </c>
      <c r="C467" s="656" t="s">
        <v>1192</v>
      </c>
      <c r="D467" s="657" t="s">
        <v>110</v>
      </c>
      <c r="E467" s="511">
        <f t="shared" si="62"/>
        <v>3090618</v>
      </c>
      <c r="F467" s="511">
        <v>0</v>
      </c>
      <c r="G467" s="17">
        <v>0</v>
      </c>
      <c r="H467" s="511">
        <v>0</v>
      </c>
      <c r="I467" s="511">
        <v>927</v>
      </c>
      <c r="J467" s="88"/>
      <c r="K467" s="510"/>
      <c r="L467" s="511">
        <f t="shared" si="68"/>
        <v>3090618</v>
      </c>
      <c r="M467" s="511">
        <v>0</v>
      </c>
      <c r="N467" s="511">
        <v>0</v>
      </c>
      <c r="O467" s="511">
        <v>0</v>
      </c>
      <c r="P467" s="511">
        <v>0</v>
      </c>
      <c r="Q467" s="511">
        <v>0</v>
      </c>
      <c r="R467" s="511">
        <v>0</v>
      </c>
      <c r="S467" s="511">
        <v>0</v>
      </c>
      <c r="T467" s="511">
        <v>0</v>
      </c>
      <c r="U467" s="511">
        <v>0</v>
      </c>
      <c r="V467" s="511">
        <v>0</v>
      </c>
      <c r="X467" s="38">
        <f>'[2]Приложение 1'!T464</f>
        <v>4180</v>
      </c>
      <c r="Y467" s="9">
        <f t="shared" si="60"/>
        <v>3334</v>
      </c>
      <c r="Z467" s="19">
        <f t="shared" si="57"/>
        <v>846</v>
      </c>
    </row>
    <row r="468" spans="1:26" ht="9" customHeight="1">
      <c r="A468" s="510">
        <v>105</v>
      </c>
      <c r="B468" s="655" t="s">
        <v>581</v>
      </c>
      <c r="C468" s="656" t="s">
        <v>1192</v>
      </c>
      <c r="D468" s="657" t="s">
        <v>110</v>
      </c>
      <c r="E468" s="511">
        <f t="shared" si="62"/>
        <v>4884310</v>
      </c>
      <c r="F468" s="511">
        <v>0</v>
      </c>
      <c r="G468" s="17">
        <v>0</v>
      </c>
      <c r="H468" s="511">
        <v>0</v>
      </c>
      <c r="I468" s="511">
        <v>1465</v>
      </c>
      <c r="J468" s="88"/>
      <c r="K468" s="510"/>
      <c r="L468" s="511">
        <f t="shared" si="68"/>
        <v>4884310</v>
      </c>
      <c r="M468" s="511">
        <v>0</v>
      </c>
      <c r="N468" s="511">
        <v>0</v>
      </c>
      <c r="O468" s="511">
        <v>0</v>
      </c>
      <c r="P468" s="511">
        <v>0</v>
      </c>
      <c r="Q468" s="511">
        <v>0</v>
      </c>
      <c r="R468" s="511">
        <v>0</v>
      </c>
      <c r="S468" s="511">
        <v>0</v>
      </c>
      <c r="T468" s="511">
        <v>0</v>
      </c>
      <c r="U468" s="511">
        <v>0</v>
      </c>
      <c r="V468" s="511">
        <v>0</v>
      </c>
      <c r="X468" s="38">
        <f>'[2]Приложение 1'!T465</f>
        <v>4180</v>
      </c>
      <c r="Y468" s="9">
        <f t="shared" si="60"/>
        <v>3334</v>
      </c>
      <c r="Z468" s="19">
        <f t="shared" si="57"/>
        <v>846</v>
      </c>
    </row>
    <row r="469" spans="1:26" ht="9" customHeight="1">
      <c r="A469" s="510">
        <v>106</v>
      </c>
      <c r="B469" s="655" t="s">
        <v>582</v>
      </c>
      <c r="C469" s="656" t="s">
        <v>1009</v>
      </c>
      <c r="D469" s="657" t="s">
        <v>111</v>
      </c>
      <c r="E469" s="511">
        <f t="shared" si="62"/>
        <v>1502687.34</v>
      </c>
      <c r="F469" s="511">
        <v>0</v>
      </c>
      <c r="G469" s="17">
        <v>0</v>
      </c>
      <c r="H469" s="511">
        <v>0</v>
      </c>
      <c r="I469" s="511">
        <v>0</v>
      </c>
      <c r="J469" s="88"/>
      <c r="K469" s="510"/>
      <c r="L469" s="511">
        <v>0</v>
      </c>
      <c r="M469" s="511">
        <v>0</v>
      </c>
      <c r="N469" s="511">
        <v>0</v>
      </c>
      <c r="O469" s="511">
        <v>693</v>
      </c>
      <c r="P469" s="511">
        <f>ROUND(O469*2168.38,2)</f>
        <v>1502687.34</v>
      </c>
      <c r="Q469" s="511">
        <v>0</v>
      </c>
      <c r="R469" s="511">
        <v>0</v>
      </c>
      <c r="S469" s="511">
        <v>0</v>
      </c>
      <c r="T469" s="511">
        <v>0</v>
      </c>
      <c r="U469" s="511">
        <v>0</v>
      </c>
      <c r="V469" s="511">
        <v>0</v>
      </c>
      <c r="X469" s="38">
        <f>'[2]Приложение 1'!T466</f>
        <v>4180</v>
      </c>
      <c r="Y469" s="9" t="e">
        <f t="shared" si="60"/>
        <v>#DIV/0!</v>
      </c>
      <c r="Z469" s="19" t="e">
        <f t="shared" si="57"/>
        <v>#DIV/0!</v>
      </c>
    </row>
    <row r="470" spans="1:26" ht="9" customHeight="1">
      <c r="A470" s="510">
        <v>107</v>
      </c>
      <c r="B470" s="655" t="s">
        <v>583</v>
      </c>
      <c r="C470" s="656" t="s">
        <v>1192</v>
      </c>
      <c r="D470" s="657" t="s">
        <v>110</v>
      </c>
      <c r="E470" s="511">
        <f t="shared" si="62"/>
        <v>2513836</v>
      </c>
      <c r="F470" s="511">
        <v>0</v>
      </c>
      <c r="G470" s="17">
        <v>0</v>
      </c>
      <c r="H470" s="511">
        <v>0</v>
      </c>
      <c r="I470" s="511">
        <v>754</v>
      </c>
      <c r="J470" s="88"/>
      <c r="K470" s="510"/>
      <c r="L470" s="511">
        <f t="shared" ref="L470:L471" si="69">ROUND(3334*I470,2)</f>
        <v>2513836</v>
      </c>
      <c r="M470" s="511">
        <v>0</v>
      </c>
      <c r="N470" s="511">
        <v>0</v>
      </c>
      <c r="O470" s="511">
        <v>0</v>
      </c>
      <c r="P470" s="511">
        <v>0</v>
      </c>
      <c r="Q470" s="511">
        <v>0</v>
      </c>
      <c r="R470" s="511">
        <v>0</v>
      </c>
      <c r="S470" s="511">
        <v>0</v>
      </c>
      <c r="T470" s="511">
        <v>0</v>
      </c>
      <c r="U470" s="511">
        <v>0</v>
      </c>
      <c r="V470" s="511">
        <v>0</v>
      </c>
      <c r="X470" s="38">
        <f>'[2]Приложение 1'!T467</f>
        <v>3929.2</v>
      </c>
      <c r="Y470" s="9">
        <f t="shared" si="60"/>
        <v>3334</v>
      </c>
      <c r="Z470" s="19">
        <f t="shared" si="57"/>
        <v>595.19999999999982</v>
      </c>
    </row>
    <row r="471" spans="1:26" ht="9" customHeight="1">
      <c r="A471" s="510">
        <v>108</v>
      </c>
      <c r="B471" s="655" t="s">
        <v>584</v>
      </c>
      <c r="C471" s="656" t="s">
        <v>1192</v>
      </c>
      <c r="D471" s="657" t="s">
        <v>110</v>
      </c>
      <c r="E471" s="511">
        <f t="shared" si="62"/>
        <v>5541108</v>
      </c>
      <c r="F471" s="511">
        <v>0</v>
      </c>
      <c r="G471" s="17">
        <v>0</v>
      </c>
      <c r="H471" s="511">
        <v>0</v>
      </c>
      <c r="I471" s="511">
        <v>1662</v>
      </c>
      <c r="J471" s="88"/>
      <c r="K471" s="510"/>
      <c r="L471" s="511">
        <f t="shared" si="69"/>
        <v>5541108</v>
      </c>
      <c r="M471" s="511">
        <v>0</v>
      </c>
      <c r="N471" s="511">
        <v>0</v>
      </c>
      <c r="O471" s="511">
        <v>0</v>
      </c>
      <c r="P471" s="511">
        <v>0</v>
      </c>
      <c r="Q471" s="511">
        <v>0</v>
      </c>
      <c r="R471" s="511">
        <v>0</v>
      </c>
      <c r="S471" s="511">
        <v>0</v>
      </c>
      <c r="T471" s="511">
        <v>0</v>
      </c>
      <c r="U471" s="511">
        <v>0</v>
      </c>
      <c r="V471" s="511">
        <v>0</v>
      </c>
      <c r="X471" s="38">
        <f>'[2]Приложение 1'!T468</f>
        <v>4180</v>
      </c>
      <c r="Y471" s="9">
        <f t="shared" si="60"/>
        <v>3334</v>
      </c>
      <c r="Z471" s="19">
        <f t="shared" ref="Z471:Z485" si="70">X471-Y471</f>
        <v>846</v>
      </c>
    </row>
    <row r="472" spans="1:26" s="668" customFormat="1" ht="9" customHeight="1">
      <c r="A472" s="510">
        <v>109</v>
      </c>
      <c r="B472" s="655" t="s">
        <v>585</v>
      </c>
      <c r="C472" s="656" t="s">
        <v>1008</v>
      </c>
      <c r="D472" s="657" t="s">
        <v>111</v>
      </c>
      <c r="E472" s="511">
        <f t="shared" si="62"/>
        <v>1617591.36</v>
      </c>
      <c r="F472" s="511">
        <f>ROUND(616*(370+1200+210+220+303.05),2)</f>
        <v>1418678.8</v>
      </c>
      <c r="G472" s="17">
        <v>0</v>
      </c>
      <c r="H472" s="511">
        <v>0</v>
      </c>
      <c r="I472" s="511">
        <v>0</v>
      </c>
      <c r="J472" s="88"/>
      <c r="K472" s="510"/>
      <c r="L472" s="511">
        <v>0</v>
      </c>
      <c r="M472" s="511">
        <v>0</v>
      </c>
      <c r="N472" s="511">
        <v>0</v>
      </c>
      <c r="O472" s="511">
        <v>0</v>
      </c>
      <c r="P472" s="511">
        <v>0</v>
      </c>
      <c r="Q472" s="511">
        <v>0</v>
      </c>
      <c r="R472" s="511">
        <v>0</v>
      </c>
      <c r="S472" s="511">
        <v>0</v>
      </c>
      <c r="T472" s="511">
        <v>0</v>
      </c>
      <c r="U472" s="511">
        <f>ROUND(616*322.91,2)</f>
        <v>198912.56</v>
      </c>
      <c r="V472" s="511">
        <v>0</v>
      </c>
      <c r="X472" s="38">
        <f>'[2]Приложение 1'!T469</f>
        <v>4180</v>
      </c>
      <c r="Y472" s="9" t="e">
        <f t="shared" si="60"/>
        <v>#DIV/0!</v>
      </c>
      <c r="Z472" s="19" t="e">
        <f t="shared" si="70"/>
        <v>#DIV/0!</v>
      </c>
    </row>
    <row r="473" spans="1:26" s="668" customFormat="1" ht="9" customHeight="1">
      <c r="A473" s="510">
        <v>110</v>
      </c>
      <c r="B473" s="655" t="s">
        <v>586</v>
      </c>
      <c r="C473" s="656" t="s">
        <v>1008</v>
      </c>
      <c r="D473" s="657" t="s">
        <v>110</v>
      </c>
      <c r="E473" s="511">
        <f t="shared" si="62"/>
        <v>9613639.5600000005</v>
      </c>
      <c r="F473" s="511">
        <f>ROUND(3661*(370+1200+210+220+303.05),2)</f>
        <v>8431466.0500000007</v>
      </c>
      <c r="G473" s="17">
        <v>0</v>
      </c>
      <c r="H473" s="511">
        <v>0</v>
      </c>
      <c r="I473" s="511">
        <v>0</v>
      </c>
      <c r="J473" s="88"/>
      <c r="K473" s="510"/>
      <c r="L473" s="511">
        <v>0</v>
      </c>
      <c r="M473" s="511">
        <v>0</v>
      </c>
      <c r="N473" s="511">
        <v>0</v>
      </c>
      <c r="O473" s="511">
        <v>0</v>
      </c>
      <c r="P473" s="511">
        <v>0</v>
      </c>
      <c r="Q473" s="511">
        <v>0</v>
      </c>
      <c r="R473" s="511">
        <v>0</v>
      </c>
      <c r="S473" s="511">
        <v>0</v>
      </c>
      <c r="T473" s="511">
        <v>0</v>
      </c>
      <c r="U473" s="511">
        <f>ROUND(3661*322.91,2)</f>
        <v>1182173.51</v>
      </c>
      <c r="V473" s="511">
        <v>0</v>
      </c>
      <c r="X473" s="38">
        <f>'[2]Приложение 1'!T470</f>
        <v>5307.5599999999995</v>
      </c>
      <c r="Y473" s="9" t="e">
        <f t="shared" si="60"/>
        <v>#DIV/0!</v>
      </c>
      <c r="Z473" s="19" t="e">
        <f t="shared" si="70"/>
        <v>#DIV/0!</v>
      </c>
    </row>
    <row r="474" spans="1:26" ht="9" customHeight="1">
      <c r="A474" s="510">
        <v>111</v>
      </c>
      <c r="B474" s="655" t="s">
        <v>587</v>
      </c>
      <c r="C474" s="656" t="s">
        <v>1192</v>
      </c>
      <c r="D474" s="657" t="s">
        <v>111</v>
      </c>
      <c r="E474" s="511">
        <f t="shared" si="62"/>
        <v>3712632</v>
      </c>
      <c r="F474" s="511">
        <v>0</v>
      </c>
      <c r="G474" s="17">
        <v>0</v>
      </c>
      <c r="H474" s="511">
        <v>0</v>
      </c>
      <c r="I474" s="511">
        <v>1148</v>
      </c>
      <c r="J474" s="88"/>
      <c r="K474" s="510"/>
      <c r="L474" s="511">
        <f>ROUND(3234*I474,2)</f>
        <v>3712632</v>
      </c>
      <c r="M474" s="511">
        <v>0</v>
      </c>
      <c r="N474" s="511">
        <v>0</v>
      </c>
      <c r="O474" s="511">
        <v>0</v>
      </c>
      <c r="P474" s="511">
        <v>0</v>
      </c>
      <c r="Q474" s="511">
        <v>0</v>
      </c>
      <c r="R474" s="511">
        <v>0</v>
      </c>
      <c r="S474" s="511">
        <v>0</v>
      </c>
      <c r="T474" s="511">
        <v>0</v>
      </c>
      <c r="U474" s="511">
        <v>0</v>
      </c>
      <c r="V474" s="511">
        <v>0</v>
      </c>
      <c r="X474" s="38">
        <f>'[2]Приложение 1'!T471</f>
        <v>5307.5599999999995</v>
      </c>
      <c r="Y474" s="9">
        <f t="shared" si="60"/>
        <v>3234</v>
      </c>
      <c r="Z474" s="19">
        <f t="shared" si="70"/>
        <v>2073.5599999999995</v>
      </c>
    </row>
    <row r="475" spans="1:26" ht="9" customHeight="1">
      <c r="A475" s="510">
        <v>112</v>
      </c>
      <c r="B475" s="655" t="s">
        <v>588</v>
      </c>
      <c r="C475" s="656" t="s">
        <v>1192</v>
      </c>
      <c r="D475" s="657" t="s">
        <v>110</v>
      </c>
      <c r="E475" s="511">
        <f t="shared" si="62"/>
        <v>3300660</v>
      </c>
      <c r="F475" s="511">
        <v>0</v>
      </c>
      <c r="G475" s="17">
        <v>0</v>
      </c>
      <c r="H475" s="511">
        <v>0</v>
      </c>
      <c r="I475" s="511">
        <v>990</v>
      </c>
      <c r="J475" s="88"/>
      <c r="K475" s="510"/>
      <c r="L475" s="511">
        <f t="shared" ref="L475:L485" si="71">ROUND(3334*I475,2)</f>
        <v>3300660</v>
      </c>
      <c r="M475" s="511">
        <v>0</v>
      </c>
      <c r="N475" s="511">
        <v>0</v>
      </c>
      <c r="O475" s="511">
        <v>0</v>
      </c>
      <c r="P475" s="511">
        <v>0</v>
      </c>
      <c r="Q475" s="511">
        <v>0</v>
      </c>
      <c r="R475" s="511">
        <v>0</v>
      </c>
      <c r="S475" s="511">
        <v>0</v>
      </c>
      <c r="T475" s="511">
        <v>0</v>
      </c>
      <c r="U475" s="511">
        <v>0</v>
      </c>
      <c r="V475" s="511">
        <v>0</v>
      </c>
      <c r="X475" s="38">
        <f>'[2]Приложение 1'!T472</f>
        <v>4503.95</v>
      </c>
      <c r="Y475" s="9">
        <f t="shared" si="60"/>
        <v>3334</v>
      </c>
      <c r="Z475" s="19">
        <f t="shared" si="70"/>
        <v>1169.9499999999998</v>
      </c>
    </row>
    <row r="476" spans="1:26" ht="9" customHeight="1">
      <c r="A476" s="510">
        <v>113</v>
      </c>
      <c r="B476" s="669" t="s">
        <v>638</v>
      </c>
      <c r="C476" s="670" t="s">
        <v>1192</v>
      </c>
      <c r="D476" s="671" t="s">
        <v>110</v>
      </c>
      <c r="E476" s="511">
        <f t="shared" si="62"/>
        <v>1963596.8</v>
      </c>
      <c r="F476" s="511">
        <v>0</v>
      </c>
      <c r="G476" s="17">
        <v>1</v>
      </c>
      <c r="H476" s="511">
        <v>1963596.8</v>
      </c>
      <c r="I476" s="511">
        <v>0</v>
      </c>
      <c r="J476" s="88"/>
      <c r="K476" s="510"/>
      <c r="L476" s="511">
        <f t="shared" si="71"/>
        <v>0</v>
      </c>
      <c r="M476" s="511">
        <v>0</v>
      </c>
      <c r="N476" s="511">
        <v>0</v>
      </c>
      <c r="O476" s="511">
        <v>0</v>
      </c>
      <c r="P476" s="511">
        <v>0</v>
      </c>
      <c r="Q476" s="511">
        <v>0</v>
      </c>
      <c r="R476" s="511">
        <v>0</v>
      </c>
      <c r="S476" s="511">
        <v>0</v>
      </c>
      <c r="T476" s="511">
        <v>0</v>
      </c>
      <c r="U476" s="511">
        <v>0</v>
      </c>
      <c r="V476" s="511">
        <v>0</v>
      </c>
      <c r="X476" s="38">
        <f>'[2]Приложение 1'!T473</f>
        <v>4180</v>
      </c>
      <c r="Y476" s="9" t="e">
        <f t="shared" si="60"/>
        <v>#DIV/0!</v>
      </c>
      <c r="Z476" s="19" t="e">
        <f t="shared" si="70"/>
        <v>#DIV/0!</v>
      </c>
    </row>
    <row r="477" spans="1:26" ht="9" customHeight="1">
      <c r="A477" s="510">
        <v>114</v>
      </c>
      <c r="B477" s="669" t="s">
        <v>1036</v>
      </c>
      <c r="C477" s="670"/>
      <c r="D477" s="671"/>
      <c r="E477" s="511">
        <f t="shared" si="62"/>
        <v>4220844</v>
      </c>
      <c r="F477" s="511">
        <v>0</v>
      </c>
      <c r="G477" s="17">
        <v>0</v>
      </c>
      <c r="H477" s="511">
        <v>0</v>
      </c>
      <c r="I477" s="511">
        <v>1266</v>
      </c>
      <c r="J477" s="88"/>
      <c r="K477" s="510"/>
      <c r="L477" s="511">
        <f t="shared" si="71"/>
        <v>4220844</v>
      </c>
      <c r="M477" s="511">
        <v>0</v>
      </c>
      <c r="N477" s="511">
        <v>0</v>
      </c>
      <c r="O477" s="511">
        <v>0</v>
      </c>
      <c r="P477" s="511">
        <v>0</v>
      </c>
      <c r="Q477" s="511">
        <v>0</v>
      </c>
      <c r="R477" s="511">
        <v>0</v>
      </c>
      <c r="S477" s="511">
        <v>0</v>
      </c>
      <c r="T477" s="511">
        <v>0</v>
      </c>
      <c r="U477" s="511">
        <v>0</v>
      </c>
      <c r="V477" s="511">
        <v>0</v>
      </c>
      <c r="X477" s="38">
        <f>'[2]Приложение 1'!T474</f>
        <v>1336.6638506791244</v>
      </c>
      <c r="Y477" s="9">
        <f t="shared" si="60"/>
        <v>3334</v>
      </c>
      <c r="Z477" s="19">
        <f t="shared" si="70"/>
        <v>-1997.3361493208756</v>
      </c>
    </row>
    <row r="478" spans="1:26" ht="9" customHeight="1">
      <c r="A478" s="510">
        <v>115</v>
      </c>
      <c r="B478" s="564" t="s">
        <v>203</v>
      </c>
      <c r="C478" s="564" t="s">
        <v>1006</v>
      </c>
      <c r="D478" s="564"/>
      <c r="E478" s="672">
        <f>F478+H478+L478+N478+P478+R478+S478+T478+U478+V478</f>
        <v>5250124.17</v>
      </c>
      <c r="F478" s="672">
        <f>ROUND(2024.8*(370+1200+210+220+270),2)</f>
        <v>4596296</v>
      </c>
      <c r="G478" s="673">
        <v>0</v>
      </c>
      <c r="H478" s="672">
        <v>0</v>
      </c>
      <c r="I478" s="672">
        <v>0</v>
      </c>
      <c r="J478" s="674" t="s">
        <v>1208</v>
      </c>
      <c r="K478" s="675">
        <f t="shared" ref="K478" si="72">IF(J478="плоская",2022.07,3438.05)</f>
        <v>3438.05</v>
      </c>
      <c r="L478" s="672">
        <f>ROUND(3234*I478,2)</f>
        <v>0</v>
      </c>
      <c r="M478" s="672">
        <v>0</v>
      </c>
      <c r="N478" s="672">
        <v>0</v>
      </c>
      <c r="O478" s="672">
        <v>0</v>
      </c>
      <c r="P478" s="672">
        <v>0</v>
      </c>
      <c r="Q478" s="672">
        <v>0</v>
      </c>
      <c r="R478" s="672">
        <v>0</v>
      </c>
      <c r="S478" s="672">
        <v>0</v>
      </c>
      <c r="T478" s="672">
        <v>0</v>
      </c>
      <c r="U478" s="672">
        <f>ROUND(2024.8*(322.91),2)</f>
        <v>653828.17000000004</v>
      </c>
      <c r="V478" s="672">
        <v>0</v>
      </c>
      <c r="X478" s="38">
        <f>'[2]Приложение 1'!T475</f>
        <v>4180</v>
      </c>
      <c r="Y478" s="9" t="e">
        <f t="shared" si="60"/>
        <v>#DIV/0!</v>
      </c>
      <c r="Z478" s="19" t="e">
        <f t="shared" si="70"/>
        <v>#DIV/0!</v>
      </c>
    </row>
    <row r="479" spans="1:26" ht="9" customHeight="1">
      <c r="A479" s="510">
        <v>116</v>
      </c>
      <c r="B479" s="39" t="s">
        <v>1209</v>
      </c>
      <c r="C479" s="670"/>
      <c r="D479" s="671"/>
      <c r="E479" s="511">
        <f>F479+H479+L479+N479+P479+R479+S479+T479+U479+V479</f>
        <v>5177702</v>
      </c>
      <c r="F479" s="511">
        <v>0</v>
      </c>
      <c r="G479" s="17">
        <v>0</v>
      </c>
      <c r="H479" s="511">
        <v>0</v>
      </c>
      <c r="I479" s="511">
        <v>1553</v>
      </c>
      <c r="J479" s="88"/>
      <c r="K479" s="510"/>
      <c r="L479" s="511">
        <f t="shared" si="71"/>
        <v>5177702</v>
      </c>
      <c r="M479" s="511">
        <v>0</v>
      </c>
      <c r="N479" s="511">
        <v>0</v>
      </c>
      <c r="O479" s="511">
        <v>0</v>
      </c>
      <c r="P479" s="511">
        <v>0</v>
      </c>
      <c r="Q479" s="511">
        <v>0</v>
      </c>
      <c r="R479" s="511">
        <v>0</v>
      </c>
      <c r="S479" s="511">
        <v>0</v>
      </c>
      <c r="T479" s="511">
        <v>0</v>
      </c>
      <c r="U479" s="511">
        <v>0</v>
      </c>
      <c r="V479" s="511">
        <v>0</v>
      </c>
      <c r="X479" s="38">
        <f>'[2]Приложение 1'!T476</f>
        <v>5307.5599999999995</v>
      </c>
      <c r="Y479" s="9">
        <f t="shared" si="60"/>
        <v>3334</v>
      </c>
      <c r="Z479" s="19">
        <f t="shared" si="70"/>
        <v>1973.5599999999995</v>
      </c>
    </row>
    <row r="480" spans="1:26" s="683" customFormat="1" ht="9" customHeight="1">
      <c r="A480" s="676">
        <v>117</v>
      </c>
      <c r="B480" s="677" t="s">
        <v>1052</v>
      </c>
      <c r="C480" s="678"/>
      <c r="D480" s="679"/>
      <c r="E480" s="680">
        <f>F480+H480+L480+N480+P480+R480+S480+T480+U480+V480</f>
        <v>1685040</v>
      </c>
      <c r="F480" s="680">
        <f>ROUND(2856*(370+220),2)</f>
        <v>1685040</v>
      </c>
      <c r="G480" s="681">
        <v>0</v>
      </c>
      <c r="H480" s="680">
        <v>0</v>
      </c>
      <c r="I480" s="680">
        <v>0</v>
      </c>
      <c r="J480" s="682"/>
      <c r="K480" s="676"/>
      <c r="L480" s="680">
        <f>ROUND(3334*I480,2)</f>
        <v>0</v>
      </c>
      <c r="M480" s="680">
        <v>0</v>
      </c>
      <c r="N480" s="680">
        <v>0</v>
      </c>
      <c r="O480" s="680">
        <v>0</v>
      </c>
      <c r="P480" s="680">
        <v>0</v>
      </c>
      <c r="Q480" s="680">
        <v>0</v>
      </c>
      <c r="R480" s="680">
        <v>0</v>
      </c>
      <c r="S480" s="680">
        <v>0</v>
      </c>
      <c r="T480" s="680">
        <v>0</v>
      </c>
      <c r="U480" s="680">
        <v>0</v>
      </c>
      <c r="V480" s="680">
        <v>0</v>
      </c>
      <c r="X480" s="684">
        <f>'[2]Приложение 1'!T477</f>
        <v>4180</v>
      </c>
      <c r="Y480" s="683" t="e">
        <f t="shared" si="60"/>
        <v>#DIV/0!</v>
      </c>
      <c r="Z480" s="685" t="e">
        <f t="shared" si="70"/>
        <v>#DIV/0!</v>
      </c>
    </row>
    <row r="481" spans="1:26" ht="9" customHeight="1">
      <c r="A481" s="510">
        <v>118</v>
      </c>
      <c r="B481" s="39" t="s">
        <v>1053</v>
      </c>
      <c r="C481" s="670"/>
      <c r="D481" s="671"/>
      <c r="E481" s="511">
        <f>F481+H481+L481+N481+P481+R481+S481+T481+U481+V481</f>
        <v>3646303.2399999998</v>
      </c>
      <c r="F481" s="511">
        <f>ROUND(1259.1*(370+1200+210+220+270+303.05),2)</f>
        <v>3239727.26</v>
      </c>
      <c r="G481" s="17">
        <v>0</v>
      </c>
      <c r="H481" s="511">
        <v>0</v>
      </c>
      <c r="I481" s="511">
        <v>0</v>
      </c>
      <c r="J481" s="88"/>
      <c r="K481" s="510"/>
      <c r="L481" s="511">
        <f t="shared" si="71"/>
        <v>0</v>
      </c>
      <c r="M481" s="511">
        <v>0</v>
      </c>
      <c r="N481" s="511">
        <v>0</v>
      </c>
      <c r="O481" s="511">
        <v>0</v>
      </c>
      <c r="P481" s="511">
        <v>0</v>
      </c>
      <c r="Q481" s="511">
        <v>0</v>
      </c>
      <c r="R481" s="511">
        <v>0</v>
      </c>
      <c r="S481" s="511">
        <v>0</v>
      </c>
      <c r="T481" s="511">
        <v>0</v>
      </c>
      <c r="U481" s="511">
        <f>ROUND(1259.1*322.91,2)</f>
        <v>406575.98</v>
      </c>
      <c r="V481" s="511">
        <v>0</v>
      </c>
      <c r="X481" s="38">
        <f>'[2]Приложение 1'!T478</f>
        <v>4180</v>
      </c>
      <c r="Y481" s="9" t="e">
        <f t="shared" si="60"/>
        <v>#DIV/0!</v>
      </c>
      <c r="Z481" s="19" t="e">
        <f t="shared" si="70"/>
        <v>#DIV/0!</v>
      </c>
    </row>
    <row r="482" spans="1:26" ht="9" customHeight="1">
      <c r="A482" s="510">
        <v>119</v>
      </c>
      <c r="B482" s="39" t="s">
        <v>1078</v>
      </c>
      <c r="C482" s="670"/>
      <c r="D482" s="671"/>
      <c r="E482" s="511">
        <f t="shared" ref="E482:E485" si="73">F482+H482+L482+N482+P482+R482+S482+T482+U482+V482</f>
        <v>11781580.800000001</v>
      </c>
      <c r="F482" s="511">
        <v>0</v>
      </c>
      <c r="G482" s="17">
        <v>6</v>
      </c>
      <c r="H482" s="511">
        <f>G482*1963596.8</f>
        <v>11781580.800000001</v>
      </c>
      <c r="I482" s="511">
        <v>0</v>
      </c>
      <c r="J482" s="88"/>
      <c r="K482" s="510"/>
      <c r="L482" s="511">
        <f t="shared" si="71"/>
        <v>0</v>
      </c>
      <c r="M482" s="511">
        <v>0</v>
      </c>
      <c r="N482" s="511">
        <v>0</v>
      </c>
      <c r="O482" s="511">
        <v>0</v>
      </c>
      <c r="P482" s="511">
        <v>0</v>
      </c>
      <c r="Q482" s="511">
        <v>0</v>
      </c>
      <c r="R482" s="511">
        <v>0</v>
      </c>
      <c r="S482" s="511">
        <v>0</v>
      </c>
      <c r="T482" s="511">
        <v>0</v>
      </c>
      <c r="U482" s="511">
        <v>0</v>
      </c>
      <c r="V482" s="511">
        <v>0</v>
      </c>
      <c r="X482" s="38">
        <f>'[2]Приложение 1'!T479</f>
        <v>5307.5599999999995</v>
      </c>
      <c r="Y482" s="9" t="e">
        <f t="shared" si="60"/>
        <v>#DIV/0!</v>
      </c>
      <c r="Z482" s="19" t="e">
        <f t="shared" si="70"/>
        <v>#DIV/0!</v>
      </c>
    </row>
    <row r="483" spans="1:26" ht="9" customHeight="1">
      <c r="A483" s="510">
        <v>120</v>
      </c>
      <c r="B483" s="655" t="s">
        <v>510</v>
      </c>
      <c r="C483" s="670"/>
      <c r="D483" s="671"/>
      <c r="E483" s="511">
        <f t="shared" si="73"/>
        <v>3927193.6000000001</v>
      </c>
      <c r="F483" s="511">
        <v>0</v>
      </c>
      <c r="G483" s="17">
        <v>2</v>
      </c>
      <c r="H483" s="511">
        <f>G483*1963596.8</f>
        <v>3927193.6000000001</v>
      </c>
      <c r="I483" s="511">
        <v>0</v>
      </c>
      <c r="J483" s="88"/>
      <c r="K483" s="510"/>
      <c r="L483" s="511">
        <f t="shared" si="71"/>
        <v>0</v>
      </c>
      <c r="M483" s="511">
        <v>0</v>
      </c>
      <c r="N483" s="511">
        <v>0</v>
      </c>
      <c r="O483" s="511">
        <v>0</v>
      </c>
      <c r="P483" s="511">
        <v>0</v>
      </c>
      <c r="Q483" s="511">
        <v>0</v>
      </c>
      <c r="R483" s="511">
        <v>0</v>
      </c>
      <c r="S483" s="511">
        <v>0</v>
      </c>
      <c r="T483" s="511">
        <v>0</v>
      </c>
      <c r="U483" s="511">
        <v>0</v>
      </c>
      <c r="V483" s="511">
        <v>0</v>
      </c>
      <c r="X483" s="38">
        <f>'[2]Приложение 1'!T480</f>
        <v>1607.7241931288045</v>
      </c>
      <c r="Y483" s="9" t="e">
        <f t="shared" si="60"/>
        <v>#DIV/0!</v>
      </c>
      <c r="Z483" s="19" t="e">
        <f t="shared" si="70"/>
        <v>#DIV/0!</v>
      </c>
    </row>
    <row r="484" spans="1:26" ht="9" customHeight="1">
      <c r="A484" s="510">
        <v>121</v>
      </c>
      <c r="B484" s="655" t="s">
        <v>1079</v>
      </c>
      <c r="C484" s="670"/>
      <c r="D484" s="671"/>
      <c r="E484" s="511">
        <f t="shared" si="73"/>
        <v>7854387.2000000002</v>
      </c>
      <c r="F484" s="511">
        <v>0</v>
      </c>
      <c r="G484" s="17">
        <v>4</v>
      </c>
      <c r="H484" s="511">
        <f>G484*1963596.8</f>
        <v>7854387.2000000002</v>
      </c>
      <c r="I484" s="511">
        <v>0</v>
      </c>
      <c r="J484" s="88"/>
      <c r="K484" s="510"/>
      <c r="L484" s="511">
        <f t="shared" si="71"/>
        <v>0</v>
      </c>
      <c r="M484" s="511">
        <v>0</v>
      </c>
      <c r="N484" s="511">
        <v>0</v>
      </c>
      <c r="O484" s="511">
        <v>0</v>
      </c>
      <c r="P484" s="511">
        <v>0</v>
      </c>
      <c r="Q484" s="511">
        <v>0</v>
      </c>
      <c r="R484" s="511">
        <v>0</v>
      </c>
      <c r="S484" s="511">
        <v>0</v>
      </c>
      <c r="T484" s="511">
        <v>0</v>
      </c>
      <c r="U484" s="511">
        <v>0</v>
      </c>
      <c r="V484" s="511">
        <v>0</v>
      </c>
      <c r="X484" s="38">
        <f>'[2]Приложение 1'!T481</f>
        <v>1552.2677902245441</v>
      </c>
      <c r="Y484" s="9" t="e">
        <f t="shared" si="60"/>
        <v>#DIV/0!</v>
      </c>
      <c r="Z484" s="19" t="e">
        <f t="shared" si="70"/>
        <v>#DIV/0!</v>
      </c>
    </row>
    <row r="485" spans="1:26" ht="9" customHeight="1">
      <c r="A485" s="510">
        <v>122</v>
      </c>
      <c r="B485" s="655" t="s">
        <v>1080</v>
      </c>
      <c r="C485" s="670"/>
      <c r="D485" s="671"/>
      <c r="E485" s="511">
        <f t="shared" si="73"/>
        <v>1963596.8</v>
      </c>
      <c r="F485" s="511">
        <v>0</v>
      </c>
      <c r="G485" s="17">
        <v>1</v>
      </c>
      <c r="H485" s="511">
        <f>G485*1963596.8</f>
        <v>1963596.8</v>
      </c>
      <c r="I485" s="511">
        <v>0</v>
      </c>
      <c r="J485" s="88"/>
      <c r="K485" s="510"/>
      <c r="L485" s="511">
        <f t="shared" si="71"/>
        <v>0</v>
      </c>
      <c r="M485" s="511">
        <v>0</v>
      </c>
      <c r="N485" s="511">
        <v>0</v>
      </c>
      <c r="O485" s="511">
        <v>0</v>
      </c>
      <c r="P485" s="511">
        <v>0</v>
      </c>
      <c r="Q485" s="511">
        <v>0</v>
      </c>
      <c r="R485" s="511">
        <v>0</v>
      </c>
      <c r="S485" s="511">
        <v>0</v>
      </c>
      <c r="T485" s="511">
        <v>0</v>
      </c>
      <c r="U485" s="511">
        <v>0</v>
      </c>
      <c r="V485" s="511">
        <v>0</v>
      </c>
      <c r="X485" s="38">
        <f>'[2]Приложение 1'!T482</f>
        <v>1680.81323176254</v>
      </c>
      <c r="Y485" s="9" t="e">
        <f>L485/I485</f>
        <v>#DIV/0!</v>
      </c>
      <c r="Z485" s="19" t="e">
        <f t="shared" si="70"/>
        <v>#DIV/0!</v>
      </c>
    </row>
    <row r="486" spans="1:26" ht="9" customHeight="1">
      <c r="A486" s="510">
        <v>123</v>
      </c>
      <c r="B486" s="564" t="s">
        <v>1210</v>
      </c>
      <c r="C486" s="564" t="s">
        <v>1006</v>
      </c>
      <c r="D486" s="564"/>
      <c r="E486" s="672">
        <f>F486+H486+L486+N486+P486+R486+S486+T486+U486+V486</f>
        <v>9017368.7300000004</v>
      </c>
      <c r="F486" s="672">
        <v>0</v>
      </c>
      <c r="G486" s="673">
        <v>0</v>
      </c>
      <c r="H486" s="672">
        <v>0</v>
      </c>
      <c r="I486" s="686">
        <v>1610</v>
      </c>
      <c r="J486" s="687"/>
      <c r="K486" s="675"/>
      <c r="L486" s="672">
        <v>4301956.7300000004</v>
      </c>
      <c r="M486" s="672">
        <v>0</v>
      </c>
      <c r="N486" s="672">
        <v>0</v>
      </c>
      <c r="O486" s="672">
        <v>2004</v>
      </c>
      <c r="P486" s="672">
        <f>ROUND(2353*O486,2)</f>
        <v>4715412</v>
      </c>
      <c r="Q486" s="672">
        <v>0</v>
      </c>
      <c r="R486" s="672">
        <v>0</v>
      </c>
      <c r="S486" s="672">
        <v>0</v>
      </c>
      <c r="T486" s="672">
        <v>0</v>
      </c>
      <c r="U486" s="672">
        <v>0</v>
      </c>
      <c r="V486" s="672">
        <v>0</v>
      </c>
      <c r="X486" s="38">
        <f>'[2]Приложение 1'!T483</f>
        <v>939.78269821477454</v>
      </c>
      <c r="Y486" s="9">
        <f>L486/I486</f>
        <v>2672.0228136645965</v>
      </c>
      <c r="Z486" s="19">
        <f>X486-Y486</f>
        <v>-1732.240115449822</v>
      </c>
    </row>
    <row r="487" spans="1:26" s="233" customFormat="1" ht="9" customHeight="1">
      <c r="A487" s="510">
        <v>124</v>
      </c>
      <c r="B487" s="564" t="s">
        <v>204</v>
      </c>
      <c r="C487" s="688" t="s">
        <v>1006</v>
      </c>
      <c r="D487" s="688"/>
      <c r="E487" s="672">
        <f>F487+H487+L487+N487+P487+R487+S487+T487+U487+V487</f>
        <v>834091.27999999991</v>
      </c>
      <c r="F487" s="672">
        <f>ROUND(455.29*(1200+210+220),2)</f>
        <v>742122.7</v>
      </c>
      <c r="G487" s="673">
        <v>0</v>
      </c>
      <c r="H487" s="672">
        <v>0</v>
      </c>
      <c r="I487" s="672">
        <v>0</v>
      </c>
      <c r="J487" s="674" t="s">
        <v>111</v>
      </c>
      <c r="K487" s="675">
        <f t="shared" ref="K487:K490" si="74">IF(J487="плоская",2022.07,3438.05)</f>
        <v>3438.05</v>
      </c>
      <c r="L487" s="672">
        <v>0</v>
      </c>
      <c r="M487" s="672">
        <v>0</v>
      </c>
      <c r="N487" s="672">
        <v>0</v>
      </c>
      <c r="O487" s="672">
        <v>0</v>
      </c>
      <c r="P487" s="672">
        <v>0</v>
      </c>
      <c r="Q487" s="672">
        <v>0</v>
      </c>
      <c r="R487" s="672">
        <v>0</v>
      </c>
      <c r="S487" s="672">
        <v>0</v>
      </c>
      <c r="T487" s="672">
        <v>0</v>
      </c>
      <c r="U487" s="672">
        <f>ROUND(455.29*(180+22),2)</f>
        <v>91968.58</v>
      </c>
      <c r="V487" s="672">
        <v>0</v>
      </c>
      <c r="X487" s="689"/>
      <c r="Z487" s="234"/>
    </row>
    <row r="488" spans="1:26" s="233" customFormat="1" ht="9" customHeight="1">
      <c r="A488" s="510">
        <v>125</v>
      </c>
      <c r="B488" s="564" t="s">
        <v>1095</v>
      </c>
      <c r="C488" s="688"/>
      <c r="D488" s="688"/>
      <c r="E488" s="672">
        <f t="shared" ref="E488:E491" si="75">F488+H488+L488+N488+P488+R488+S488+T488+U488+V488</f>
        <v>3293992</v>
      </c>
      <c r="F488" s="672">
        <v>0</v>
      </c>
      <c r="G488" s="673">
        <v>0</v>
      </c>
      <c r="H488" s="672">
        <v>0</v>
      </c>
      <c r="I488" s="672">
        <v>988</v>
      </c>
      <c r="J488" s="674" t="s">
        <v>111</v>
      </c>
      <c r="K488" s="675">
        <f t="shared" si="74"/>
        <v>3438.05</v>
      </c>
      <c r="L488" s="672">
        <f t="shared" ref="L488:L489" si="76">ROUND(3334*I488,2)</f>
        <v>3293992</v>
      </c>
      <c r="M488" s="672">
        <v>0</v>
      </c>
      <c r="N488" s="672">
        <v>0</v>
      </c>
      <c r="O488" s="672">
        <v>0</v>
      </c>
      <c r="P488" s="672">
        <v>0</v>
      </c>
      <c r="Q488" s="672">
        <v>0</v>
      </c>
      <c r="R488" s="672">
        <v>0</v>
      </c>
      <c r="S488" s="672">
        <v>0</v>
      </c>
      <c r="T488" s="672">
        <v>0</v>
      </c>
      <c r="U488" s="672">
        <v>0</v>
      </c>
      <c r="V488" s="672">
        <v>0</v>
      </c>
      <c r="X488" s="689"/>
      <c r="Z488" s="234"/>
    </row>
    <row r="489" spans="1:26" s="233" customFormat="1" ht="9" customHeight="1">
      <c r="A489" s="510">
        <v>126</v>
      </c>
      <c r="B489" s="564" t="s">
        <v>1096</v>
      </c>
      <c r="C489" s="688"/>
      <c r="D489" s="688"/>
      <c r="E489" s="672">
        <f t="shared" si="75"/>
        <v>3600720</v>
      </c>
      <c r="F489" s="672">
        <v>0</v>
      </c>
      <c r="G489" s="673">
        <v>0</v>
      </c>
      <c r="H489" s="672">
        <v>0</v>
      </c>
      <c r="I489" s="672">
        <v>1080</v>
      </c>
      <c r="J489" s="674" t="s">
        <v>111</v>
      </c>
      <c r="K489" s="675">
        <f t="shared" si="74"/>
        <v>3438.05</v>
      </c>
      <c r="L489" s="672">
        <f t="shared" si="76"/>
        <v>3600720</v>
      </c>
      <c r="M489" s="672">
        <v>0</v>
      </c>
      <c r="N489" s="672">
        <v>0</v>
      </c>
      <c r="O489" s="672">
        <v>0</v>
      </c>
      <c r="P489" s="672">
        <v>0</v>
      </c>
      <c r="Q489" s="672">
        <v>0</v>
      </c>
      <c r="R489" s="672">
        <v>0</v>
      </c>
      <c r="S489" s="672">
        <v>0</v>
      </c>
      <c r="T489" s="672">
        <v>0</v>
      </c>
      <c r="U489" s="672">
        <v>0</v>
      </c>
      <c r="V489" s="672">
        <v>0</v>
      </c>
      <c r="X489" s="689"/>
      <c r="Z489" s="234"/>
    </row>
    <row r="490" spans="1:26" s="233" customFormat="1" ht="9" customHeight="1">
      <c r="A490" s="510">
        <v>127</v>
      </c>
      <c r="B490" s="564" t="s">
        <v>1097</v>
      </c>
      <c r="C490" s="688"/>
      <c r="D490" s="688"/>
      <c r="E490" s="672">
        <f t="shared" si="75"/>
        <v>5105351.16</v>
      </c>
      <c r="F490" s="672">
        <v>0</v>
      </c>
      <c r="G490" s="673">
        <v>0</v>
      </c>
      <c r="H490" s="672">
        <v>0</v>
      </c>
      <c r="I490" s="672">
        <v>0</v>
      </c>
      <c r="J490" s="674" t="s">
        <v>111</v>
      </c>
      <c r="K490" s="675">
        <f t="shared" si="74"/>
        <v>3438.05</v>
      </c>
      <c r="L490" s="672">
        <v>0</v>
      </c>
      <c r="M490" s="672">
        <v>0</v>
      </c>
      <c r="N490" s="672">
        <v>0</v>
      </c>
      <c r="O490" s="672">
        <v>2169.7199999999998</v>
      </c>
      <c r="P490" s="672">
        <f>ROUND(2353*O490,2)</f>
        <v>5105351.16</v>
      </c>
      <c r="Q490" s="672">
        <v>0</v>
      </c>
      <c r="R490" s="672">
        <v>0</v>
      </c>
      <c r="S490" s="672">
        <v>0</v>
      </c>
      <c r="T490" s="672">
        <v>0</v>
      </c>
      <c r="U490" s="672">
        <v>0</v>
      </c>
      <c r="V490" s="672">
        <v>0</v>
      </c>
      <c r="X490" s="689"/>
      <c r="Z490" s="234"/>
    </row>
    <row r="491" spans="1:26" s="233" customFormat="1" ht="9" customHeight="1">
      <c r="A491" s="510">
        <v>128</v>
      </c>
      <c r="B491" s="564" t="s">
        <v>458</v>
      </c>
      <c r="C491" s="564" t="s">
        <v>1006</v>
      </c>
      <c r="D491" s="564"/>
      <c r="E491" s="672">
        <f t="shared" si="75"/>
        <v>5877765.0500000007</v>
      </c>
      <c r="F491" s="672">
        <v>0</v>
      </c>
      <c r="G491" s="673">
        <v>0</v>
      </c>
      <c r="H491" s="672">
        <v>0</v>
      </c>
      <c r="I491" s="686">
        <v>750</v>
      </c>
      <c r="J491" s="687"/>
      <c r="K491" s="675"/>
      <c r="L491" s="672">
        <v>2406619.4500000002</v>
      </c>
      <c r="M491" s="672">
        <v>0</v>
      </c>
      <c r="N491" s="672">
        <v>0</v>
      </c>
      <c r="O491" s="672">
        <v>1475.2</v>
      </c>
      <c r="P491" s="672">
        <f>ROUND(2353*O491,2)</f>
        <v>3471145.6</v>
      </c>
      <c r="Q491" s="672">
        <v>0</v>
      </c>
      <c r="R491" s="672">
        <v>0</v>
      </c>
      <c r="S491" s="672">
        <v>0</v>
      </c>
      <c r="T491" s="672">
        <v>0</v>
      </c>
      <c r="U491" s="672">
        <v>0</v>
      </c>
      <c r="V491" s="672">
        <v>0</v>
      </c>
      <c r="X491" s="689"/>
      <c r="Z491" s="234"/>
    </row>
    <row r="492" spans="1:26" s="233" customFormat="1" ht="9" customHeight="1">
      <c r="A492" s="510">
        <v>129</v>
      </c>
      <c r="B492" s="564" t="s">
        <v>459</v>
      </c>
      <c r="C492" s="564" t="s">
        <v>1006</v>
      </c>
      <c r="D492" s="564"/>
      <c r="E492" s="672">
        <f>F492+H492+L492+N492+P492+R492+S492+T492+U492+V492</f>
        <v>8216885.7199999997</v>
      </c>
      <c r="F492" s="672">
        <v>0</v>
      </c>
      <c r="G492" s="673">
        <v>0</v>
      </c>
      <c r="H492" s="672">
        <v>0</v>
      </c>
      <c r="I492" s="686">
        <v>1028</v>
      </c>
      <c r="J492" s="687"/>
      <c r="K492" s="675"/>
      <c r="L492" s="672">
        <v>3043344.62</v>
      </c>
      <c r="M492" s="672">
        <v>0</v>
      </c>
      <c r="N492" s="672">
        <v>0</v>
      </c>
      <c r="O492" s="672">
        <v>2198.6999999999998</v>
      </c>
      <c r="P492" s="672">
        <f>ROUND(2353*O492,2)</f>
        <v>5173541.0999999996</v>
      </c>
      <c r="Q492" s="672">
        <v>0</v>
      </c>
      <c r="R492" s="672">
        <v>0</v>
      </c>
      <c r="S492" s="672">
        <v>0</v>
      </c>
      <c r="T492" s="672">
        <v>0</v>
      </c>
      <c r="U492" s="672">
        <v>0</v>
      </c>
      <c r="V492" s="672">
        <v>0</v>
      </c>
      <c r="X492" s="689"/>
      <c r="Z492" s="234"/>
    </row>
    <row r="493" spans="1:26" s="233" customFormat="1" ht="9" customHeight="1">
      <c r="A493" s="510">
        <v>130</v>
      </c>
      <c r="B493" s="565" t="s">
        <v>121</v>
      </c>
      <c r="C493" s="228"/>
      <c r="D493" s="228"/>
      <c r="E493" s="229">
        <f t="shared" ref="E493:E505" si="77">F493+H493+L493+N493+P493+R493+S493+T493+U493+V493</f>
        <v>1392291.05</v>
      </c>
      <c r="F493" s="229">
        <v>0</v>
      </c>
      <c r="G493" s="230">
        <v>0</v>
      </c>
      <c r="H493" s="229">
        <v>0</v>
      </c>
      <c r="I493" s="234">
        <v>0</v>
      </c>
      <c r="J493" s="231"/>
      <c r="K493" s="515"/>
      <c r="L493" s="229">
        <v>0</v>
      </c>
      <c r="M493" s="229">
        <v>0</v>
      </c>
      <c r="N493" s="229">
        <v>0</v>
      </c>
      <c r="O493" s="229">
        <v>0</v>
      </c>
      <c r="P493" s="229">
        <v>0</v>
      </c>
      <c r="Q493" s="229">
        <v>0</v>
      </c>
      <c r="R493" s="229">
        <v>0</v>
      </c>
      <c r="S493" s="229">
        <v>0</v>
      </c>
      <c r="T493" s="229">
        <v>0</v>
      </c>
      <c r="U493" s="229">
        <f>ROUND(4311.7*322.91,2)</f>
        <v>1392291.05</v>
      </c>
      <c r="V493" s="229">
        <v>0</v>
      </c>
      <c r="X493" s="689"/>
      <c r="Z493" s="234"/>
    </row>
    <row r="494" spans="1:26" s="233" customFormat="1" ht="9" customHeight="1">
      <c r="A494" s="510">
        <v>131</v>
      </c>
      <c r="B494" s="565" t="s">
        <v>163</v>
      </c>
      <c r="C494" s="228"/>
      <c r="D494" s="228"/>
      <c r="E494" s="229">
        <f t="shared" si="77"/>
        <v>407189.51</v>
      </c>
      <c r="F494" s="229">
        <v>0</v>
      </c>
      <c r="G494" s="230">
        <v>0</v>
      </c>
      <c r="H494" s="229">
        <v>0</v>
      </c>
      <c r="I494" s="234">
        <v>0</v>
      </c>
      <c r="J494" s="231"/>
      <c r="K494" s="515"/>
      <c r="L494" s="229">
        <v>0</v>
      </c>
      <c r="M494" s="229">
        <v>0</v>
      </c>
      <c r="N494" s="229">
        <v>0</v>
      </c>
      <c r="O494" s="229">
        <v>0</v>
      </c>
      <c r="P494" s="229">
        <v>0</v>
      </c>
      <c r="Q494" s="229">
        <v>0</v>
      </c>
      <c r="R494" s="229">
        <v>0</v>
      </c>
      <c r="S494" s="229">
        <v>0</v>
      </c>
      <c r="T494" s="229">
        <v>0</v>
      </c>
      <c r="U494" s="229">
        <f>ROUND(1261*322.91,2)</f>
        <v>407189.51</v>
      </c>
      <c r="V494" s="229">
        <v>0</v>
      </c>
      <c r="X494" s="689"/>
      <c r="Z494" s="234"/>
    </row>
    <row r="495" spans="1:26" s="233" customFormat="1" ht="9" customHeight="1">
      <c r="A495" s="510">
        <v>132</v>
      </c>
      <c r="B495" s="565" t="s">
        <v>162</v>
      </c>
      <c r="C495" s="228"/>
      <c r="D495" s="228"/>
      <c r="E495" s="229">
        <f t="shared" si="77"/>
        <v>817188.34</v>
      </c>
      <c r="F495" s="229">
        <v>0</v>
      </c>
      <c r="G495" s="230">
        <v>0</v>
      </c>
      <c r="H495" s="229">
        <v>0</v>
      </c>
      <c r="I495" s="234">
        <v>0</v>
      </c>
      <c r="J495" s="231"/>
      <c r="K495" s="515"/>
      <c r="L495" s="229">
        <v>0</v>
      </c>
      <c r="M495" s="229">
        <v>0</v>
      </c>
      <c r="N495" s="229">
        <v>0</v>
      </c>
      <c r="O495" s="229">
        <v>0</v>
      </c>
      <c r="P495" s="229">
        <v>0</v>
      </c>
      <c r="Q495" s="229">
        <v>0</v>
      </c>
      <c r="R495" s="229">
        <v>0</v>
      </c>
      <c r="S495" s="229">
        <v>0</v>
      </c>
      <c r="T495" s="229">
        <v>0</v>
      </c>
      <c r="U495" s="229">
        <f>ROUND(2530.7*322.91,2)</f>
        <v>817188.34</v>
      </c>
      <c r="V495" s="229">
        <v>0</v>
      </c>
      <c r="X495" s="689"/>
      <c r="Z495" s="234"/>
    </row>
    <row r="496" spans="1:26" s="233" customFormat="1" ht="9" customHeight="1">
      <c r="A496" s="510">
        <v>133</v>
      </c>
      <c r="B496" s="565" t="s">
        <v>1098</v>
      </c>
      <c r="C496" s="228"/>
      <c r="D496" s="228"/>
      <c r="E496" s="229">
        <f t="shared" si="77"/>
        <v>1084299.49</v>
      </c>
      <c r="F496" s="229">
        <v>0</v>
      </c>
      <c r="G496" s="230">
        <v>0</v>
      </c>
      <c r="H496" s="229">
        <v>0</v>
      </c>
      <c r="I496" s="234">
        <v>0</v>
      </c>
      <c r="J496" s="231"/>
      <c r="K496" s="515"/>
      <c r="L496" s="229">
        <v>0</v>
      </c>
      <c r="M496" s="229">
        <v>0</v>
      </c>
      <c r="N496" s="229">
        <v>0</v>
      </c>
      <c r="O496" s="229">
        <v>0</v>
      </c>
      <c r="P496" s="229">
        <v>0</v>
      </c>
      <c r="Q496" s="229">
        <v>0</v>
      </c>
      <c r="R496" s="229">
        <v>0</v>
      </c>
      <c r="S496" s="229">
        <v>0</v>
      </c>
      <c r="T496" s="229">
        <v>0</v>
      </c>
      <c r="U496" s="229">
        <f>ROUND(3357.9*322.91,2)</f>
        <v>1084299.49</v>
      </c>
      <c r="V496" s="229">
        <v>0</v>
      </c>
      <c r="X496" s="689"/>
      <c r="Z496" s="234"/>
    </row>
    <row r="497" spans="1:26" s="233" customFormat="1" ht="9" customHeight="1">
      <c r="A497" s="510">
        <v>134</v>
      </c>
      <c r="B497" s="565" t="s">
        <v>1099</v>
      </c>
      <c r="C497" s="228"/>
      <c r="D497" s="228"/>
      <c r="E497" s="229">
        <f t="shared" si="77"/>
        <v>811149.92</v>
      </c>
      <c r="F497" s="229">
        <v>0</v>
      </c>
      <c r="G497" s="230">
        <v>0</v>
      </c>
      <c r="H497" s="229">
        <v>0</v>
      </c>
      <c r="I497" s="234">
        <v>0</v>
      </c>
      <c r="J497" s="231"/>
      <c r="K497" s="515"/>
      <c r="L497" s="229">
        <v>0</v>
      </c>
      <c r="M497" s="229">
        <v>0</v>
      </c>
      <c r="N497" s="229">
        <v>0</v>
      </c>
      <c r="O497" s="229">
        <v>0</v>
      </c>
      <c r="P497" s="229">
        <v>0</v>
      </c>
      <c r="Q497" s="229">
        <v>0</v>
      </c>
      <c r="R497" s="229">
        <v>0</v>
      </c>
      <c r="S497" s="229">
        <v>0</v>
      </c>
      <c r="T497" s="229">
        <v>0</v>
      </c>
      <c r="U497" s="229">
        <f>ROUND(2512*322.91,2)</f>
        <v>811149.92</v>
      </c>
      <c r="V497" s="229">
        <v>0</v>
      </c>
      <c r="X497" s="689"/>
      <c r="Z497" s="234"/>
    </row>
    <row r="498" spans="1:26" s="233" customFormat="1" ht="9" customHeight="1">
      <c r="A498" s="510">
        <v>135</v>
      </c>
      <c r="B498" s="565" t="s">
        <v>1100</v>
      </c>
      <c r="C498" s="228"/>
      <c r="D498" s="228"/>
      <c r="E498" s="229">
        <f t="shared" si="77"/>
        <v>566416.43000000005</v>
      </c>
      <c r="F498" s="229">
        <v>0</v>
      </c>
      <c r="G498" s="230">
        <v>0</v>
      </c>
      <c r="H498" s="229">
        <v>0</v>
      </c>
      <c r="I498" s="234">
        <v>0</v>
      </c>
      <c r="J498" s="231"/>
      <c r="K498" s="515"/>
      <c r="L498" s="229">
        <v>0</v>
      </c>
      <c r="M498" s="229">
        <v>0</v>
      </c>
      <c r="N498" s="229">
        <v>0</v>
      </c>
      <c r="O498" s="229">
        <v>0</v>
      </c>
      <c r="P498" s="229">
        <v>0</v>
      </c>
      <c r="Q498" s="229">
        <v>0</v>
      </c>
      <c r="R498" s="229">
        <v>0</v>
      </c>
      <c r="S498" s="229">
        <v>0</v>
      </c>
      <c r="T498" s="229">
        <v>0</v>
      </c>
      <c r="U498" s="229">
        <f>ROUND(1754.1*322.91,2)</f>
        <v>566416.43000000005</v>
      </c>
      <c r="V498" s="229">
        <v>0</v>
      </c>
      <c r="X498" s="689"/>
      <c r="Z498" s="234"/>
    </row>
    <row r="499" spans="1:26" s="233" customFormat="1" ht="9" customHeight="1">
      <c r="A499" s="510">
        <v>136</v>
      </c>
      <c r="B499" s="565" t="s">
        <v>1101</v>
      </c>
      <c r="C499" s="228"/>
      <c r="D499" s="228"/>
      <c r="E499" s="229">
        <f t="shared" si="77"/>
        <v>1247175.29</v>
      </c>
      <c r="F499" s="229">
        <v>0</v>
      </c>
      <c r="G499" s="230">
        <v>0</v>
      </c>
      <c r="H499" s="229">
        <v>0</v>
      </c>
      <c r="I499" s="234">
        <v>0</v>
      </c>
      <c r="J499" s="231"/>
      <c r="K499" s="515"/>
      <c r="L499" s="229">
        <v>0</v>
      </c>
      <c r="M499" s="229">
        <v>0</v>
      </c>
      <c r="N499" s="229">
        <v>0</v>
      </c>
      <c r="O499" s="229">
        <v>0</v>
      </c>
      <c r="P499" s="229">
        <v>0</v>
      </c>
      <c r="Q499" s="229">
        <v>0</v>
      </c>
      <c r="R499" s="229">
        <v>0</v>
      </c>
      <c r="S499" s="229">
        <v>0</v>
      </c>
      <c r="T499" s="229">
        <v>0</v>
      </c>
      <c r="U499" s="229">
        <f>ROUND(3862.3*322.91,2)</f>
        <v>1247175.29</v>
      </c>
      <c r="V499" s="229">
        <v>0</v>
      </c>
      <c r="X499" s="689"/>
      <c r="Z499" s="234"/>
    </row>
    <row r="500" spans="1:26" s="233" customFormat="1" ht="9" customHeight="1">
      <c r="A500" s="510">
        <v>137</v>
      </c>
      <c r="B500" s="565" t="s">
        <v>1102</v>
      </c>
      <c r="C500" s="228"/>
      <c r="D500" s="228"/>
      <c r="E500" s="229">
        <f t="shared" si="77"/>
        <v>497507.44</v>
      </c>
      <c r="F500" s="229">
        <v>0</v>
      </c>
      <c r="G500" s="230">
        <v>0</v>
      </c>
      <c r="H500" s="229">
        <v>0</v>
      </c>
      <c r="I500" s="234">
        <v>0</v>
      </c>
      <c r="J500" s="231"/>
      <c r="K500" s="515"/>
      <c r="L500" s="229">
        <v>0</v>
      </c>
      <c r="M500" s="229">
        <v>0</v>
      </c>
      <c r="N500" s="229">
        <v>0</v>
      </c>
      <c r="O500" s="229">
        <v>0</v>
      </c>
      <c r="P500" s="229">
        <v>0</v>
      </c>
      <c r="Q500" s="229">
        <v>0</v>
      </c>
      <c r="R500" s="229">
        <v>0</v>
      </c>
      <c r="S500" s="229">
        <v>0</v>
      </c>
      <c r="T500" s="229">
        <v>0</v>
      </c>
      <c r="U500" s="229">
        <f>ROUND(1540.7*322.91,2)</f>
        <v>497507.44</v>
      </c>
      <c r="V500" s="229">
        <v>0</v>
      </c>
      <c r="X500" s="689"/>
      <c r="Z500" s="234"/>
    </row>
    <row r="501" spans="1:26" s="233" customFormat="1" ht="9.75" customHeight="1">
      <c r="A501" s="510">
        <v>138</v>
      </c>
      <c r="B501" s="566" t="s">
        <v>1103</v>
      </c>
      <c r="C501" s="690"/>
      <c r="D501" s="690"/>
      <c r="E501" s="691">
        <f t="shared" si="77"/>
        <v>1400280</v>
      </c>
      <c r="F501" s="691">
        <v>0</v>
      </c>
      <c r="G501" s="692">
        <v>0</v>
      </c>
      <c r="H501" s="691">
        <v>0</v>
      </c>
      <c r="I501" s="693">
        <v>420</v>
      </c>
      <c r="J501" s="694"/>
      <c r="K501" s="695"/>
      <c r="L501" s="691">
        <f>ROUND(3334*I501,2)</f>
        <v>1400280</v>
      </c>
      <c r="M501" s="691">
        <v>0</v>
      </c>
      <c r="N501" s="691">
        <v>0</v>
      </c>
      <c r="O501" s="691">
        <v>0</v>
      </c>
      <c r="P501" s="691">
        <v>0</v>
      </c>
      <c r="Q501" s="691">
        <v>0</v>
      </c>
      <c r="R501" s="691">
        <v>0</v>
      </c>
      <c r="S501" s="691">
        <v>0</v>
      </c>
      <c r="T501" s="691">
        <v>0</v>
      </c>
      <c r="U501" s="691">
        <v>0</v>
      </c>
      <c r="V501" s="691">
        <v>0</v>
      </c>
      <c r="X501" s="689"/>
      <c r="Z501" s="234"/>
    </row>
    <row r="502" spans="1:26" ht="9.75" customHeight="1">
      <c r="A502" s="510">
        <v>139</v>
      </c>
      <c r="B502" s="567" t="s">
        <v>126</v>
      </c>
      <c r="C502" s="696" t="s">
        <v>1008</v>
      </c>
      <c r="D502" s="696"/>
      <c r="E502" s="662">
        <f t="shared" si="77"/>
        <v>4290366</v>
      </c>
      <c r="F502" s="662">
        <f>ROUND(5601*(210+270+220),2)</f>
        <v>3920700</v>
      </c>
      <c r="G502" s="663">
        <v>0</v>
      </c>
      <c r="H502" s="662">
        <v>0</v>
      </c>
      <c r="I502" s="667">
        <v>0</v>
      </c>
      <c r="J502" s="697"/>
      <c r="K502" s="658"/>
      <c r="L502" s="662">
        <v>0</v>
      </c>
      <c r="M502" s="662">
        <v>0</v>
      </c>
      <c r="N502" s="662">
        <v>0</v>
      </c>
      <c r="O502" s="662">
        <v>0</v>
      </c>
      <c r="P502" s="662">
        <v>0</v>
      </c>
      <c r="Q502" s="662">
        <v>0</v>
      </c>
      <c r="R502" s="662">
        <v>0</v>
      </c>
      <c r="S502" s="662">
        <v>0</v>
      </c>
      <c r="T502" s="662">
        <v>0</v>
      </c>
      <c r="U502" s="662">
        <f>ROUND(5601*(22+44),2)</f>
        <v>369666</v>
      </c>
      <c r="V502" s="662">
        <v>0</v>
      </c>
      <c r="X502" s="38"/>
      <c r="Z502" s="19"/>
    </row>
    <row r="503" spans="1:26" ht="9.75" customHeight="1">
      <c r="A503" s="510">
        <v>140</v>
      </c>
      <c r="B503" s="567" t="s">
        <v>1108</v>
      </c>
      <c r="C503" s="39"/>
      <c r="D503" s="39"/>
      <c r="E503" s="662">
        <f t="shared" si="77"/>
        <v>6094552</v>
      </c>
      <c r="F503" s="662">
        <v>0</v>
      </c>
      <c r="G503" s="663">
        <v>0</v>
      </c>
      <c r="H503" s="662">
        <v>0</v>
      </c>
      <c r="I503" s="667">
        <v>1828</v>
      </c>
      <c r="J503" s="697"/>
      <c r="K503" s="658"/>
      <c r="L503" s="662">
        <f t="shared" ref="L503:L504" si="78">ROUND(3334*I503,2)</f>
        <v>6094552</v>
      </c>
      <c r="M503" s="662">
        <v>0</v>
      </c>
      <c r="N503" s="662">
        <v>0</v>
      </c>
      <c r="O503" s="662">
        <v>0</v>
      </c>
      <c r="P503" s="662">
        <v>0</v>
      </c>
      <c r="Q503" s="662">
        <v>0</v>
      </c>
      <c r="R503" s="662">
        <v>0</v>
      </c>
      <c r="S503" s="662">
        <v>0</v>
      </c>
      <c r="T503" s="662">
        <v>0</v>
      </c>
      <c r="U503" s="662">
        <v>0</v>
      </c>
      <c r="V503" s="662">
        <v>0</v>
      </c>
      <c r="X503" s="38"/>
      <c r="Z503" s="19"/>
    </row>
    <row r="504" spans="1:26" ht="9.75" customHeight="1">
      <c r="A504" s="510">
        <v>141</v>
      </c>
      <c r="B504" s="567" t="s">
        <v>1109</v>
      </c>
      <c r="C504" s="39"/>
      <c r="D504" s="39"/>
      <c r="E504" s="662">
        <f t="shared" si="77"/>
        <v>4090818</v>
      </c>
      <c r="F504" s="662">
        <v>0</v>
      </c>
      <c r="G504" s="663">
        <v>0</v>
      </c>
      <c r="H504" s="662">
        <v>0</v>
      </c>
      <c r="I504" s="667">
        <v>1227</v>
      </c>
      <c r="J504" s="697"/>
      <c r="K504" s="658"/>
      <c r="L504" s="662">
        <f t="shared" si="78"/>
        <v>4090818</v>
      </c>
      <c r="M504" s="662">
        <v>0</v>
      </c>
      <c r="N504" s="662">
        <v>0</v>
      </c>
      <c r="O504" s="662">
        <v>0</v>
      </c>
      <c r="P504" s="662">
        <v>0</v>
      </c>
      <c r="Q504" s="662">
        <v>0</v>
      </c>
      <c r="R504" s="662">
        <v>0</v>
      </c>
      <c r="S504" s="662">
        <v>0</v>
      </c>
      <c r="T504" s="662">
        <v>0</v>
      </c>
      <c r="U504" s="662">
        <v>0</v>
      </c>
      <c r="V504" s="662">
        <v>0</v>
      </c>
      <c r="X504" s="38"/>
      <c r="Z504" s="19"/>
    </row>
    <row r="505" spans="1:26" ht="9.75" customHeight="1">
      <c r="A505" s="554">
        <v>142</v>
      </c>
      <c r="B505" s="816" t="s">
        <v>1160</v>
      </c>
      <c r="C505" s="678"/>
      <c r="D505" s="679"/>
      <c r="E505" s="680">
        <f t="shared" si="77"/>
        <v>6608166.2000000002</v>
      </c>
      <c r="F505" s="680">
        <f>ROUND(3520.6*(370+1200+105),2)</f>
        <v>5897005</v>
      </c>
      <c r="G505" s="681">
        <v>0</v>
      </c>
      <c r="H505" s="680">
        <v>0</v>
      </c>
      <c r="I505" s="680">
        <v>0</v>
      </c>
      <c r="J505" s="682"/>
      <c r="K505" s="676"/>
      <c r="L505" s="680">
        <f>ROUND(3234*I505,2)</f>
        <v>0</v>
      </c>
      <c r="M505" s="680">
        <v>0</v>
      </c>
      <c r="N505" s="680">
        <v>0</v>
      </c>
      <c r="O505" s="680">
        <v>0</v>
      </c>
      <c r="P505" s="680">
        <v>0</v>
      </c>
      <c r="Q505" s="680">
        <v>0</v>
      </c>
      <c r="R505" s="680">
        <v>0</v>
      </c>
      <c r="S505" s="680">
        <v>0</v>
      </c>
      <c r="T505" s="680">
        <v>0</v>
      </c>
      <c r="U505" s="680">
        <f>ROUND(3520.6*(180+22),2)</f>
        <v>711161.2</v>
      </c>
      <c r="V505" s="680">
        <v>0</v>
      </c>
      <c r="X505" s="38"/>
      <c r="Z505" s="19"/>
    </row>
    <row r="506" spans="1:26" ht="9.75" customHeight="1">
      <c r="A506" s="882" t="s">
        <v>221</v>
      </c>
      <c r="B506" s="882"/>
      <c r="C506" s="882"/>
      <c r="D506" s="882"/>
      <c r="E506" s="882"/>
      <c r="F506" s="882"/>
      <c r="G506" s="882"/>
      <c r="H506" s="882"/>
      <c r="I506" s="882"/>
      <c r="J506" s="882"/>
      <c r="K506" s="882"/>
      <c r="L506" s="882"/>
      <c r="M506" s="882"/>
      <c r="N506" s="882"/>
      <c r="O506" s="882"/>
      <c r="P506" s="882"/>
      <c r="Q506" s="882"/>
      <c r="R506" s="882"/>
      <c r="S506" s="882"/>
      <c r="T506" s="882"/>
      <c r="U506" s="882"/>
      <c r="V506" s="882"/>
      <c r="X506" s="38">
        <f>'[2]Приложение 1'!T502</f>
        <v>4180</v>
      </c>
      <c r="Y506" s="9" t="e">
        <f t="shared" ref="Y506:Y570" si="79">L506/I506</f>
        <v>#DIV/0!</v>
      </c>
      <c r="Z506" s="19" t="e">
        <f t="shared" ref="Z506:Z570" si="80">X506-Y506</f>
        <v>#DIV/0!</v>
      </c>
    </row>
    <row r="507" spans="1:26" ht="22.5" customHeight="1">
      <c r="A507" s="900" t="s">
        <v>220</v>
      </c>
      <c r="B507" s="900"/>
      <c r="C507" s="58"/>
      <c r="D507" s="58"/>
      <c r="E507" s="511">
        <f>SUM(E508:E514)</f>
        <v>31325141.219999999</v>
      </c>
      <c r="F507" s="511">
        <f t="shared" ref="F507:V507" si="81">SUM(F508:F514)</f>
        <v>15950249.67</v>
      </c>
      <c r="G507" s="511">
        <f t="shared" si="81"/>
        <v>0</v>
      </c>
      <c r="H507" s="511">
        <f t="shared" si="81"/>
        <v>0</v>
      </c>
      <c r="I507" s="511">
        <f>SUM(I508:I514)</f>
        <v>4134.3999999999996</v>
      </c>
      <c r="J507" s="511">
        <f t="shared" si="81"/>
        <v>0</v>
      </c>
      <c r="K507" s="511">
        <f t="shared" si="81"/>
        <v>5460.12</v>
      </c>
      <c r="L507" s="511">
        <f t="shared" si="81"/>
        <v>13299751.890000001</v>
      </c>
      <c r="M507" s="511">
        <f t="shared" si="81"/>
        <v>0</v>
      </c>
      <c r="N507" s="511">
        <f t="shared" si="81"/>
        <v>0</v>
      </c>
      <c r="O507" s="511">
        <f t="shared" si="81"/>
        <v>957</v>
      </c>
      <c r="P507" s="511">
        <f t="shared" si="81"/>
        <v>2075139.66</v>
      </c>
      <c r="Q507" s="511">
        <f t="shared" si="81"/>
        <v>0</v>
      </c>
      <c r="R507" s="511">
        <f t="shared" si="81"/>
        <v>0</v>
      </c>
      <c r="S507" s="511">
        <f t="shared" si="81"/>
        <v>0</v>
      </c>
      <c r="T507" s="511">
        <f t="shared" si="81"/>
        <v>0</v>
      </c>
      <c r="U507" s="511">
        <f t="shared" si="81"/>
        <v>0</v>
      </c>
      <c r="V507" s="511">
        <f t="shared" si="81"/>
        <v>0</v>
      </c>
      <c r="X507" s="38">
        <f>'[2]Приложение 1'!T503</f>
        <v>0</v>
      </c>
      <c r="Y507" s="9">
        <f t="shared" si="79"/>
        <v>3216.8517535797218</v>
      </c>
      <c r="Z507" s="19">
        <f t="shared" si="80"/>
        <v>-3216.8517535797218</v>
      </c>
    </row>
    <row r="508" spans="1:26" ht="9" customHeight="1">
      <c r="A508" s="57">
        <v>130</v>
      </c>
      <c r="B508" s="698" t="s">
        <v>750</v>
      </c>
      <c r="C508" s="699" t="s">
        <v>1192</v>
      </c>
      <c r="D508" s="700" t="s">
        <v>111</v>
      </c>
      <c r="E508" s="511">
        <f t="shared" ref="E508:E514" si="82">F508+H508+L508+N508+P508+R508+S508+T508+U508+V508</f>
        <v>3833583.6</v>
      </c>
      <c r="F508" s="511">
        <v>0</v>
      </c>
      <c r="G508" s="17">
        <v>0</v>
      </c>
      <c r="H508" s="511">
        <v>0</v>
      </c>
      <c r="I508" s="511">
        <v>1185.4000000000001</v>
      </c>
      <c r="J508" s="511"/>
      <c r="K508" s="511"/>
      <c r="L508" s="511">
        <f>ROUND(3234*I508,2)</f>
        <v>3833583.6</v>
      </c>
      <c r="M508" s="511">
        <v>0</v>
      </c>
      <c r="N508" s="511">
        <v>0</v>
      </c>
      <c r="O508" s="511">
        <v>0</v>
      </c>
      <c r="P508" s="511">
        <v>0</v>
      </c>
      <c r="Q508" s="511">
        <v>0</v>
      </c>
      <c r="R508" s="511">
        <v>0</v>
      </c>
      <c r="S508" s="511">
        <v>0</v>
      </c>
      <c r="T508" s="511">
        <v>0</v>
      </c>
      <c r="U508" s="511">
        <v>0</v>
      </c>
      <c r="V508" s="511">
        <v>0</v>
      </c>
      <c r="X508" s="38">
        <f>'[2]Приложение 1'!T504</f>
        <v>0</v>
      </c>
      <c r="Y508" s="9">
        <f t="shared" si="79"/>
        <v>3234</v>
      </c>
      <c r="Z508" s="19">
        <f t="shared" si="80"/>
        <v>-3234</v>
      </c>
    </row>
    <row r="509" spans="1:26" ht="9" customHeight="1">
      <c r="A509" s="57">
        <v>131</v>
      </c>
      <c r="B509" s="698" t="s">
        <v>751</v>
      </c>
      <c r="C509" s="699" t="s">
        <v>1009</v>
      </c>
      <c r="D509" s="700" t="s">
        <v>111</v>
      </c>
      <c r="E509" s="511">
        <f t="shared" si="82"/>
        <v>2075139.66</v>
      </c>
      <c r="F509" s="511">
        <v>0</v>
      </c>
      <c r="G509" s="17">
        <v>0</v>
      </c>
      <c r="H509" s="511">
        <v>0</v>
      </c>
      <c r="I509" s="511">
        <v>0</v>
      </c>
      <c r="J509" s="511"/>
      <c r="K509" s="511"/>
      <c r="L509" s="511">
        <v>0</v>
      </c>
      <c r="M509" s="511">
        <v>0</v>
      </c>
      <c r="N509" s="511">
        <v>0</v>
      </c>
      <c r="O509" s="511">
        <v>957</v>
      </c>
      <c r="P509" s="511">
        <f>ROUND(O509*2168.38,2)</f>
        <v>2075139.66</v>
      </c>
      <c r="Q509" s="511">
        <v>0</v>
      </c>
      <c r="R509" s="511">
        <v>0</v>
      </c>
      <c r="S509" s="511">
        <v>0</v>
      </c>
      <c r="T509" s="511">
        <v>0</v>
      </c>
      <c r="U509" s="511">
        <v>0</v>
      </c>
      <c r="V509" s="511">
        <v>0</v>
      </c>
      <c r="X509" s="38">
        <f>'[2]Приложение 1'!T505</f>
        <v>4503.95</v>
      </c>
      <c r="Y509" s="9" t="e">
        <f t="shared" si="79"/>
        <v>#DIV/0!</v>
      </c>
      <c r="Z509" s="19" t="e">
        <f t="shared" si="80"/>
        <v>#DIV/0!</v>
      </c>
    </row>
    <row r="510" spans="1:26" ht="9" customHeight="1">
      <c r="A510" s="57">
        <v>132</v>
      </c>
      <c r="B510" s="698" t="s">
        <v>752</v>
      </c>
      <c r="C510" s="699" t="s">
        <v>1192</v>
      </c>
      <c r="D510" s="700" t="s">
        <v>111</v>
      </c>
      <c r="E510" s="511">
        <f t="shared" si="82"/>
        <v>3858162</v>
      </c>
      <c r="F510" s="511">
        <v>0</v>
      </c>
      <c r="G510" s="17">
        <v>0</v>
      </c>
      <c r="H510" s="511">
        <v>0</v>
      </c>
      <c r="I510" s="511">
        <v>1193</v>
      </c>
      <c r="J510" s="511"/>
      <c r="K510" s="511"/>
      <c r="L510" s="511">
        <f>ROUND(3234*I510,2)</f>
        <v>3858162</v>
      </c>
      <c r="M510" s="511">
        <v>0</v>
      </c>
      <c r="N510" s="511">
        <v>0</v>
      </c>
      <c r="O510" s="511">
        <v>0</v>
      </c>
      <c r="P510" s="511">
        <v>0</v>
      </c>
      <c r="Q510" s="511">
        <v>0</v>
      </c>
      <c r="R510" s="511">
        <v>0</v>
      </c>
      <c r="S510" s="511">
        <v>0</v>
      </c>
      <c r="T510" s="511">
        <v>0</v>
      </c>
      <c r="U510" s="511">
        <v>0</v>
      </c>
      <c r="V510" s="511">
        <v>0</v>
      </c>
      <c r="X510" s="38">
        <f>'[2]Приложение 1'!T506</f>
        <v>3929.2</v>
      </c>
      <c r="Y510" s="9">
        <f t="shared" si="79"/>
        <v>3234</v>
      </c>
      <c r="Z510" s="19">
        <f t="shared" si="80"/>
        <v>695.19999999999982</v>
      </c>
    </row>
    <row r="511" spans="1:26" ht="9" customHeight="1">
      <c r="A511" s="57">
        <v>133</v>
      </c>
      <c r="B511" s="701" t="s">
        <v>1064</v>
      </c>
      <c r="C511" s="702" t="s">
        <v>1192</v>
      </c>
      <c r="D511" s="703" t="s">
        <v>111</v>
      </c>
      <c r="E511" s="511">
        <f t="shared" si="82"/>
        <v>4501728</v>
      </c>
      <c r="F511" s="511">
        <v>0</v>
      </c>
      <c r="G511" s="17">
        <v>0</v>
      </c>
      <c r="H511" s="511">
        <v>0</v>
      </c>
      <c r="I511" s="511">
        <v>1392</v>
      </c>
      <c r="J511" s="511"/>
      <c r="K511" s="511"/>
      <c r="L511" s="511">
        <f>ROUND(3234*I511,2)</f>
        <v>4501728</v>
      </c>
      <c r="M511" s="511">
        <v>0</v>
      </c>
      <c r="N511" s="511">
        <v>0</v>
      </c>
      <c r="O511" s="511">
        <v>0</v>
      </c>
      <c r="P511" s="511">
        <v>0</v>
      </c>
      <c r="Q511" s="511">
        <v>0</v>
      </c>
      <c r="R511" s="511">
        <v>0</v>
      </c>
      <c r="S511" s="511">
        <v>0</v>
      </c>
      <c r="T511" s="511">
        <v>0</v>
      </c>
      <c r="U511" s="511">
        <v>0</v>
      </c>
      <c r="V511" s="511">
        <v>0</v>
      </c>
      <c r="X511" s="38">
        <f>'[2]Приложение 1'!T507</f>
        <v>4503.95</v>
      </c>
      <c r="Y511" s="9">
        <f t="shared" si="79"/>
        <v>3234</v>
      </c>
      <c r="Z511" s="19">
        <f t="shared" si="80"/>
        <v>1269.9499999999998</v>
      </c>
    </row>
    <row r="512" spans="1:26" ht="9" customHeight="1">
      <c r="A512" s="704">
        <v>134</v>
      </c>
      <c r="B512" s="705" t="s">
        <v>1065</v>
      </c>
      <c r="C512" s="706" t="s">
        <v>1008</v>
      </c>
      <c r="D512" s="707" t="s">
        <v>110</v>
      </c>
      <c r="E512" s="514">
        <f t="shared" si="82"/>
        <v>15092739.390000001</v>
      </c>
      <c r="F512" s="514">
        <f>ROUND(5865.7*(210+270+1200+220+370+303.05),2)</f>
        <v>15092739.390000001</v>
      </c>
      <c r="G512" s="708">
        <v>0</v>
      </c>
      <c r="H512" s="514">
        <v>0</v>
      </c>
      <c r="I512" s="514">
        <v>0</v>
      </c>
      <c r="J512" s="514"/>
      <c r="K512" s="514"/>
      <c r="L512" s="514">
        <v>0</v>
      </c>
      <c r="M512" s="514">
        <v>0</v>
      </c>
      <c r="N512" s="514">
        <v>0</v>
      </c>
      <c r="O512" s="514">
        <v>0</v>
      </c>
      <c r="P512" s="514">
        <v>0</v>
      </c>
      <c r="Q512" s="514">
        <v>0</v>
      </c>
      <c r="R512" s="514">
        <v>0</v>
      </c>
      <c r="S512" s="514">
        <v>0</v>
      </c>
      <c r="T512" s="514">
        <v>0</v>
      </c>
      <c r="U512" s="514">
        <v>0</v>
      </c>
      <c r="V512" s="514">
        <v>0</v>
      </c>
      <c r="X512" s="38">
        <f>'[2]Приложение 1'!T508</f>
        <v>4503.95</v>
      </c>
      <c r="Y512" s="9" t="e">
        <f t="shared" si="79"/>
        <v>#DIV/0!</v>
      </c>
      <c r="Z512" s="19" t="e">
        <f t="shared" si="80"/>
        <v>#DIV/0!</v>
      </c>
    </row>
    <row r="513" spans="1:26" s="683" customFormat="1" ht="9" customHeight="1">
      <c r="A513" s="709">
        <v>113</v>
      </c>
      <c r="B513" s="710" t="s">
        <v>230</v>
      </c>
      <c r="C513" s="711" t="s">
        <v>1006</v>
      </c>
      <c r="D513" s="712"/>
      <c r="E513" s="713">
        <f t="shared" si="82"/>
        <v>1106278.29</v>
      </c>
      <c r="F513" s="680">
        <v>0</v>
      </c>
      <c r="G513" s="681">
        <v>0</v>
      </c>
      <c r="H513" s="680">
        <v>0</v>
      </c>
      <c r="I513" s="680">
        <v>364</v>
      </c>
      <c r="J513" s="680" t="s">
        <v>111</v>
      </c>
      <c r="K513" s="680">
        <v>3438.05</v>
      </c>
      <c r="L513" s="680">
        <v>1106278.29</v>
      </c>
      <c r="M513" s="680">
        <v>0</v>
      </c>
      <c r="N513" s="680">
        <v>0</v>
      </c>
      <c r="O513" s="680">
        <v>0</v>
      </c>
      <c r="P513" s="680">
        <v>0</v>
      </c>
      <c r="Q513" s="680">
        <v>0</v>
      </c>
      <c r="R513" s="680">
        <v>0</v>
      </c>
      <c r="S513" s="680">
        <v>0</v>
      </c>
      <c r="T513" s="680">
        <v>0</v>
      </c>
      <c r="U513" s="680">
        <v>0</v>
      </c>
      <c r="V513" s="680">
        <v>0</v>
      </c>
      <c r="X513" s="684"/>
      <c r="Z513" s="685"/>
    </row>
    <row r="514" spans="1:26" s="683" customFormat="1" ht="9" customHeight="1">
      <c r="A514" s="714">
        <v>120</v>
      </c>
      <c r="B514" s="715" t="s">
        <v>1037</v>
      </c>
      <c r="C514" s="716"/>
      <c r="D514" s="717"/>
      <c r="E514" s="713">
        <f t="shared" si="82"/>
        <v>857510.28</v>
      </c>
      <c r="F514" s="718">
        <v>857510.28</v>
      </c>
      <c r="G514" s="719">
        <v>0</v>
      </c>
      <c r="H514" s="718">
        <v>0</v>
      </c>
      <c r="I514" s="718">
        <v>0</v>
      </c>
      <c r="J514" s="718" t="s">
        <v>110</v>
      </c>
      <c r="K514" s="718">
        <v>2022.07</v>
      </c>
      <c r="L514" s="718">
        <v>0</v>
      </c>
      <c r="M514" s="718">
        <v>0</v>
      </c>
      <c r="N514" s="718">
        <v>0</v>
      </c>
      <c r="O514" s="718">
        <v>0</v>
      </c>
      <c r="P514" s="718">
        <v>0</v>
      </c>
      <c r="Q514" s="718">
        <v>0</v>
      </c>
      <c r="R514" s="718">
        <v>0</v>
      </c>
      <c r="S514" s="718">
        <v>0</v>
      </c>
      <c r="T514" s="718">
        <v>0</v>
      </c>
      <c r="U514" s="718">
        <v>0</v>
      </c>
      <c r="V514" s="718">
        <v>0</v>
      </c>
      <c r="X514" s="684"/>
      <c r="Z514" s="685"/>
    </row>
    <row r="515" spans="1:26">
      <c r="A515" s="882" t="s">
        <v>232</v>
      </c>
      <c r="B515" s="882"/>
      <c r="C515" s="882"/>
      <c r="D515" s="882"/>
      <c r="E515" s="882"/>
      <c r="F515" s="882"/>
      <c r="G515" s="882"/>
      <c r="H515" s="882"/>
      <c r="I515" s="882"/>
      <c r="J515" s="882"/>
      <c r="K515" s="882"/>
      <c r="L515" s="882"/>
      <c r="M515" s="882"/>
      <c r="N515" s="882"/>
      <c r="O515" s="882"/>
      <c r="P515" s="882"/>
      <c r="Q515" s="882"/>
      <c r="R515" s="882"/>
      <c r="S515" s="882"/>
      <c r="T515" s="882"/>
      <c r="U515" s="882"/>
      <c r="V515" s="882"/>
      <c r="X515" s="38">
        <f>'[2]Приложение 1'!T511</f>
        <v>4984.6499999999996</v>
      </c>
      <c r="Y515" s="9" t="e">
        <f t="shared" si="79"/>
        <v>#DIV/0!</v>
      </c>
      <c r="Z515" s="19" t="e">
        <f t="shared" si="80"/>
        <v>#DIV/0!</v>
      </c>
    </row>
    <row r="516" spans="1:26" ht="20.25" customHeight="1">
      <c r="A516" s="900" t="s">
        <v>239</v>
      </c>
      <c r="B516" s="900"/>
      <c r="C516" s="58"/>
      <c r="D516" s="58"/>
      <c r="E516" s="511">
        <f t="shared" ref="E516:V516" si="83">SUM(E517:E529)</f>
        <v>35735340.399999999</v>
      </c>
      <c r="F516" s="511">
        <f t="shared" si="83"/>
        <v>1761452</v>
      </c>
      <c r="G516" s="17">
        <f t="shared" si="83"/>
        <v>0</v>
      </c>
      <c r="H516" s="511">
        <f t="shared" si="83"/>
        <v>0</v>
      </c>
      <c r="I516" s="511">
        <f>SUM(I517:I529)</f>
        <v>10201.4</v>
      </c>
      <c r="J516" s="511">
        <f t="shared" si="83"/>
        <v>0</v>
      </c>
      <c r="K516" s="511">
        <f t="shared" si="83"/>
        <v>0</v>
      </c>
      <c r="L516" s="511">
        <f t="shared" si="83"/>
        <v>33883767.600000001</v>
      </c>
      <c r="M516" s="511">
        <f t="shared" si="83"/>
        <v>0</v>
      </c>
      <c r="N516" s="511">
        <f t="shared" si="83"/>
        <v>0</v>
      </c>
      <c r="O516" s="511">
        <f t="shared" si="83"/>
        <v>0</v>
      </c>
      <c r="P516" s="511">
        <f t="shared" si="83"/>
        <v>0</v>
      </c>
      <c r="Q516" s="511">
        <f t="shared" si="83"/>
        <v>0</v>
      </c>
      <c r="R516" s="511">
        <f t="shared" si="83"/>
        <v>0</v>
      </c>
      <c r="S516" s="511">
        <f t="shared" si="83"/>
        <v>0</v>
      </c>
      <c r="T516" s="511">
        <f t="shared" si="83"/>
        <v>0</v>
      </c>
      <c r="U516" s="511">
        <f t="shared" si="83"/>
        <v>90120.8</v>
      </c>
      <c r="V516" s="511">
        <f t="shared" si="83"/>
        <v>0</v>
      </c>
      <c r="X516" s="38">
        <f>'[2]Приложение 1'!T512</f>
        <v>0</v>
      </c>
      <c r="Y516" s="9">
        <f t="shared" si="79"/>
        <v>3321.4821102985866</v>
      </c>
      <c r="Z516" s="19">
        <f t="shared" si="80"/>
        <v>-3321.4821102985866</v>
      </c>
    </row>
    <row r="517" spans="1:26" ht="9" customHeight="1">
      <c r="A517" s="510">
        <v>135</v>
      </c>
      <c r="B517" s="720" t="s">
        <v>763</v>
      </c>
      <c r="C517" s="721" t="s">
        <v>1192</v>
      </c>
      <c r="D517" s="722" t="s">
        <v>110</v>
      </c>
      <c r="E517" s="511">
        <f t="shared" ref="E517:E529" si="84">F517+H517+L517+N517+P517+R517+S517+T517+U517+V517</f>
        <v>3770754</v>
      </c>
      <c r="F517" s="511">
        <v>0</v>
      </c>
      <c r="G517" s="17">
        <v>0</v>
      </c>
      <c r="H517" s="511">
        <v>0</v>
      </c>
      <c r="I517" s="18">
        <v>1131</v>
      </c>
      <c r="J517" s="18"/>
      <c r="K517" s="18"/>
      <c r="L517" s="511">
        <f t="shared" ref="L517:L520" si="85">ROUND(3334*I517,2)</f>
        <v>3770754</v>
      </c>
      <c r="M517" s="511">
        <v>0</v>
      </c>
      <c r="N517" s="511">
        <v>0</v>
      </c>
      <c r="O517" s="511">
        <v>0</v>
      </c>
      <c r="P517" s="511">
        <v>0</v>
      </c>
      <c r="Q517" s="511">
        <v>0</v>
      </c>
      <c r="R517" s="511">
        <v>0</v>
      </c>
      <c r="S517" s="511">
        <v>0</v>
      </c>
      <c r="T517" s="511">
        <v>0</v>
      </c>
      <c r="U517" s="511">
        <v>0</v>
      </c>
      <c r="V517" s="511">
        <v>0</v>
      </c>
      <c r="X517" s="38">
        <f>'[2]Приложение 1'!T513</f>
        <v>0</v>
      </c>
      <c r="Y517" s="9">
        <f t="shared" si="79"/>
        <v>3334</v>
      </c>
      <c r="Z517" s="19">
        <f t="shared" si="80"/>
        <v>-3334</v>
      </c>
    </row>
    <row r="518" spans="1:26" ht="9" customHeight="1">
      <c r="A518" s="510">
        <v>136</v>
      </c>
      <c r="B518" s="720" t="s">
        <v>764</v>
      </c>
      <c r="C518" s="721" t="s">
        <v>1192</v>
      </c>
      <c r="D518" s="722" t="s">
        <v>110</v>
      </c>
      <c r="E518" s="511">
        <f t="shared" si="84"/>
        <v>2409815.2000000002</v>
      </c>
      <c r="F518" s="511">
        <v>0</v>
      </c>
      <c r="G518" s="17">
        <v>0</v>
      </c>
      <c r="H518" s="511">
        <v>0</v>
      </c>
      <c r="I518" s="18">
        <v>722.8</v>
      </c>
      <c r="J518" s="18"/>
      <c r="K518" s="18"/>
      <c r="L518" s="511">
        <f t="shared" si="85"/>
        <v>2409815.2000000002</v>
      </c>
      <c r="M518" s="511">
        <v>0</v>
      </c>
      <c r="N518" s="511">
        <v>0</v>
      </c>
      <c r="O518" s="511">
        <v>0</v>
      </c>
      <c r="P518" s="511">
        <v>0</v>
      </c>
      <c r="Q518" s="511">
        <v>0</v>
      </c>
      <c r="R518" s="511">
        <v>0</v>
      </c>
      <c r="S518" s="511">
        <v>0</v>
      </c>
      <c r="T518" s="511">
        <v>0</v>
      </c>
      <c r="U518" s="511">
        <v>0</v>
      </c>
      <c r="V518" s="511">
        <v>0</v>
      </c>
      <c r="X518" s="38">
        <f>'[2]Приложение 1'!T514</f>
        <v>4180</v>
      </c>
      <c r="Y518" s="9">
        <f t="shared" si="79"/>
        <v>3334.0000000000005</v>
      </c>
      <c r="Z518" s="19">
        <f t="shared" si="80"/>
        <v>845.99999999999955</v>
      </c>
    </row>
    <row r="519" spans="1:26" s="727" customFormat="1" ht="9" customHeight="1">
      <c r="A519" s="510">
        <v>137</v>
      </c>
      <c r="B519" s="723" t="s">
        <v>765</v>
      </c>
      <c r="C519" s="724" t="s">
        <v>1192</v>
      </c>
      <c r="D519" s="725" t="s">
        <v>110</v>
      </c>
      <c r="E519" s="672">
        <f t="shared" si="84"/>
        <v>1851572.8</v>
      </c>
      <c r="F519" s="672">
        <f>ROUND(4096.4*(210+220),2)</f>
        <v>1761452</v>
      </c>
      <c r="G519" s="673">
        <v>0</v>
      </c>
      <c r="H519" s="672">
        <v>0</v>
      </c>
      <c r="I519" s="726">
        <v>0</v>
      </c>
      <c r="J519" s="726"/>
      <c r="K519" s="726"/>
      <c r="L519" s="672">
        <f t="shared" si="85"/>
        <v>0</v>
      </c>
      <c r="M519" s="672">
        <v>0</v>
      </c>
      <c r="N519" s="672">
        <v>0</v>
      </c>
      <c r="O519" s="672">
        <v>0</v>
      </c>
      <c r="P519" s="672">
        <v>0</v>
      </c>
      <c r="Q519" s="672">
        <v>0</v>
      </c>
      <c r="R519" s="672">
        <v>0</v>
      </c>
      <c r="S519" s="672">
        <v>0</v>
      </c>
      <c r="T519" s="672">
        <v>0</v>
      </c>
      <c r="U519" s="672">
        <f>ROUND(4096.4*(22),2)</f>
        <v>90120.8</v>
      </c>
      <c r="V519" s="672">
        <v>0</v>
      </c>
      <c r="X519" s="728">
        <f>'[2]Приложение 1'!T515</f>
        <v>4180</v>
      </c>
      <c r="Y519" s="727" t="e">
        <f t="shared" si="79"/>
        <v>#DIV/0!</v>
      </c>
      <c r="Z519" s="686" t="e">
        <f t="shared" si="80"/>
        <v>#DIV/0!</v>
      </c>
    </row>
    <row r="520" spans="1:26" ht="9" customHeight="1">
      <c r="A520" s="510">
        <v>138</v>
      </c>
      <c r="B520" s="720" t="s">
        <v>766</v>
      </c>
      <c r="C520" s="721" t="s">
        <v>1192</v>
      </c>
      <c r="D520" s="722" t="s">
        <v>110</v>
      </c>
      <c r="E520" s="511">
        <f t="shared" si="84"/>
        <v>2982596.4</v>
      </c>
      <c r="F520" s="511">
        <v>0</v>
      </c>
      <c r="G520" s="17">
        <v>0</v>
      </c>
      <c r="H520" s="511">
        <v>0</v>
      </c>
      <c r="I520" s="18">
        <v>894.6</v>
      </c>
      <c r="J520" s="18"/>
      <c r="K520" s="18"/>
      <c r="L520" s="511">
        <f t="shared" si="85"/>
        <v>2982596.4</v>
      </c>
      <c r="M520" s="511">
        <v>0</v>
      </c>
      <c r="N520" s="511">
        <v>0</v>
      </c>
      <c r="O520" s="511">
        <v>0</v>
      </c>
      <c r="P520" s="511">
        <v>0</v>
      </c>
      <c r="Q520" s="511">
        <v>0</v>
      </c>
      <c r="R520" s="511">
        <v>0</v>
      </c>
      <c r="S520" s="511">
        <v>0</v>
      </c>
      <c r="T520" s="511">
        <v>0</v>
      </c>
      <c r="U520" s="511">
        <v>0</v>
      </c>
      <c r="V520" s="511">
        <v>0</v>
      </c>
      <c r="X520" s="38">
        <f>'[2]Приложение 1'!T516</f>
        <v>5307.5599999999995</v>
      </c>
      <c r="Y520" s="9">
        <f t="shared" si="79"/>
        <v>3334</v>
      </c>
      <c r="Z520" s="19">
        <f t="shared" si="80"/>
        <v>1973.5599999999995</v>
      </c>
    </row>
    <row r="521" spans="1:26" ht="9" customHeight="1">
      <c r="A521" s="510">
        <v>139</v>
      </c>
      <c r="B521" s="720" t="s">
        <v>767</v>
      </c>
      <c r="C521" s="721" t="s">
        <v>1192</v>
      </c>
      <c r="D521" s="722" t="s">
        <v>111</v>
      </c>
      <c r="E521" s="511">
        <f t="shared" si="84"/>
        <v>1529682</v>
      </c>
      <c r="F521" s="511">
        <v>0</v>
      </c>
      <c r="G521" s="17">
        <v>0</v>
      </c>
      <c r="H521" s="511">
        <v>0</v>
      </c>
      <c r="I521" s="18">
        <v>473</v>
      </c>
      <c r="J521" s="18"/>
      <c r="K521" s="18"/>
      <c r="L521" s="511">
        <f>ROUND(3234*I521,2)</f>
        <v>1529682</v>
      </c>
      <c r="M521" s="511">
        <v>0</v>
      </c>
      <c r="N521" s="511">
        <v>0</v>
      </c>
      <c r="O521" s="511">
        <v>0</v>
      </c>
      <c r="P521" s="511">
        <v>0</v>
      </c>
      <c r="Q521" s="511">
        <v>0</v>
      </c>
      <c r="R521" s="511">
        <v>0</v>
      </c>
      <c r="S521" s="511">
        <v>0</v>
      </c>
      <c r="T521" s="511">
        <v>0</v>
      </c>
      <c r="U521" s="511">
        <v>0</v>
      </c>
      <c r="V521" s="511">
        <v>0</v>
      </c>
      <c r="X521" s="38">
        <f>'[2]Приложение 1'!T517</f>
        <v>4180</v>
      </c>
      <c r="Y521" s="9">
        <f t="shared" si="79"/>
        <v>3234</v>
      </c>
      <c r="Z521" s="19">
        <f t="shared" si="80"/>
        <v>946</v>
      </c>
    </row>
    <row r="522" spans="1:26" ht="9" customHeight="1">
      <c r="A522" s="510">
        <v>140</v>
      </c>
      <c r="B522" s="720" t="s">
        <v>768</v>
      </c>
      <c r="C522" s="721" t="s">
        <v>1192</v>
      </c>
      <c r="D522" s="722" t="s">
        <v>110</v>
      </c>
      <c r="E522" s="511">
        <f t="shared" si="84"/>
        <v>3534040</v>
      </c>
      <c r="F522" s="511">
        <v>0</v>
      </c>
      <c r="G522" s="17">
        <v>0</v>
      </c>
      <c r="H522" s="511">
        <v>0</v>
      </c>
      <c r="I522" s="18">
        <v>1060</v>
      </c>
      <c r="J522" s="18"/>
      <c r="K522" s="18"/>
      <c r="L522" s="511">
        <f t="shared" ref="L522:L524" si="86">ROUND(3334*I522,2)</f>
        <v>3534040</v>
      </c>
      <c r="M522" s="511">
        <v>0</v>
      </c>
      <c r="N522" s="511">
        <v>0</v>
      </c>
      <c r="O522" s="511">
        <v>0</v>
      </c>
      <c r="P522" s="511">
        <v>0</v>
      </c>
      <c r="Q522" s="511">
        <v>0</v>
      </c>
      <c r="R522" s="511">
        <v>0</v>
      </c>
      <c r="S522" s="511">
        <v>0</v>
      </c>
      <c r="T522" s="511">
        <v>0</v>
      </c>
      <c r="U522" s="511">
        <v>0</v>
      </c>
      <c r="V522" s="511">
        <v>0</v>
      </c>
      <c r="X522" s="38">
        <f>'[2]Приложение 1'!T518</f>
        <v>4503.95</v>
      </c>
      <c r="Y522" s="9">
        <f t="shared" si="79"/>
        <v>3334</v>
      </c>
      <c r="Z522" s="19">
        <f t="shared" si="80"/>
        <v>1169.9499999999998</v>
      </c>
    </row>
    <row r="523" spans="1:26" ht="9" customHeight="1">
      <c r="A523" s="510">
        <v>141</v>
      </c>
      <c r="B523" s="720" t="s">
        <v>769</v>
      </c>
      <c r="C523" s="721" t="s">
        <v>1192</v>
      </c>
      <c r="D523" s="722" t="s">
        <v>110</v>
      </c>
      <c r="E523" s="511">
        <f t="shared" si="84"/>
        <v>2000400</v>
      </c>
      <c r="F523" s="511">
        <v>0</v>
      </c>
      <c r="G523" s="17">
        <v>0</v>
      </c>
      <c r="H523" s="511">
        <v>0</v>
      </c>
      <c r="I523" s="18">
        <v>600</v>
      </c>
      <c r="J523" s="18"/>
      <c r="K523" s="18"/>
      <c r="L523" s="511">
        <f t="shared" si="86"/>
        <v>2000400</v>
      </c>
      <c r="M523" s="511">
        <v>0</v>
      </c>
      <c r="N523" s="511">
        <v>0</v>
      </c>
      <c r="O523" s="511">
        <v>0</v>
      </c>
      <c r="P523" s="511">
        <v>0</v>
      </c>
      <c r="Q523" s="511">
        <v>0</v>
      </c>
      <c r="R523" s="511">
        <v>0</v>
      </c>
      <c r="S523" s="511">
        <v>0</v>
      </c>
      <c r="T523" s="511">
        <v>0</v>
      </c>
      <c r="U523" s="511">
        <v>0</v>
      </c>
      <c r="V523" s="511">
        <v>0</v>
      </c>
      <c r="X523" s="38">
        <f>'[2]Приложение 1'!T519</f>
        <v>4180</v>
      </c>
      <c r="Y523" s="9">
        <f t="shared" si="79"/>
        <v>3334</v>
      </c>
      <c r="Z523" s="19">
        <f t="shared" si="80"/>
        <v>846</v>
      </c>
    </row>
    <row r="524" spans="1:26" ht="9" customHeight="1">
      <c r="A524" s="510">
        <v>142</v>
      </c>
      <c r="B524" s="720" t="s">
        <v>770</v>
      </c>
      <c r="C524" s="721" t="s">
        <v>1192</v>
      </c>
      <c r="D524" s="722" t="s">
        <v>110</v>
      </c>
      <c r="E524" s="511">
        <f t="shared" si="84"/>
        <v>4487564</v>
      </c>
      <c r="F524" s="511">
        <v>0</v>
      </c>
      <c r="G524" s="17">
        <v>0</v>
      </c>
      <c r="H524" s="511">
        <v>0</v>
      </c>
      <c r="I524" s="18">
        <v>1346</v>
      </c>
      <c r="J524" s="18"/>
      <c r="K524" s="18"/>
      <c r="L524" s="511">
        <f t="shared" si="86"/>
        <v>4487564</v>
      </c>
      <c r="M524" s="511">
        <v>0</v>
      </c>
      <c r="N524" s="511">
        <v>0</v>
      </c>
      <c r="O524" s="511">
        <v>0</v>
      </c>
      <c r="P524" s="511">
        <v>0</v>
      </c>
      <c r="Q524" s="511">
        <v>0</v>
      </c>
      <c r="R524" s="511">
        <v>0</v>
      </c>
      <c r="S524" s="511">
        <v>0</v>
      </c>
      <c r="T524" s="511">
        <v>0</v>
      </c>
      <c r="U524" s="511">
        <v>0</v>
      </c>
      <c r="V524" s="511">
        <v>0</v>
      </c>
      <c r="X524" s="38">
        <f>'[2]Приложение 1'!T520</f>
        <v>4180</v>
      </c>
      <c r="Y524" s="9">
        <f t="shared" si="79"/>
        <v>3334</v>
      </c>
      <c r="Z524" s="19">
        <f t="shared" si="80"/>
        <v>846</v>
      </c>
    </row>
    <row r="525" spans="1:26" ht="9" customHeight="1">
      <c r="A525" s="510">
        <v>143</v>
      </c>
      <c r="B525" s="720" t="s">
        <v>771</v>
      </c>
      <c r="C525" s="721" t="s">
        <v>1192</v>
      </c>
      <c r="D525" s="722" t="s">
        <v>111</v>
      </c>
      <c r="E525" s="511">
        <f t="shared" si="84"/>
        <v>2600136</v>
      </c>
      <c r="F525" s="511">
        <v>0</v>
      </c>
      <c r="G525" s="17">
        <v>0</v>
      </c>
      <c r="H525" s="511">
        <v>0</v>
      </c>
      <c r="I525" s="18">
        <v>804</v>
      </c>
      <c r="J525" s="18"/>
      <c r="K525" s="18"/>
      <c r="L525" s="511">
        <f>ROUND(3234*I525,2)</f>
        <v>2600136</v>
      </c>
      <c r="M525" s="511">
        <v>0</v>
      </c>
      <c r="N525" s="511">
        <v>0</v>
      </c>
      <c r="O525" s="511">
        <v>0</v>
      </c>
      <c r="P525" s="511">
        <v>0</v>
      </c>
      <c r="Q525" s="511">
        <v>0</v>
      </c>
      <c r="R525" s="511">
        <v>0</v>
      </c>
      <c r="S525" s="511">
        <v>0</v>
      </c>
      <c r="T525" s="511">
        <v>0</v>
      </c>
      <c r="U525" s="511">
        <v>0</v>
      </c>
      <c r="V525" s="511">
        <v>0</v>
      </c>
      <c r="X525" s="38">
        <f>'[2]Приложение 1'!T521</f>
        <v>4180</v>
      </c>
      <c r="Y525" s="9">
        <f t="shared" si="79"/>
        <v>3234</v>
      </c>
      <c r="Z525" s="19">
        <f t="shared" si="80"/>
        <v>946</v>
      </c>
    </row>
    <row r="526" spans="1:26" ht="9" customHeight="1">
      <c r="A526" s="510">
        <v>144</v>
      </c>
      <c r="B526" s="720" t="s">
        <v>772</v>
      </c>
      <c r="C526" s="721" t="s">
        <v>1192</v>
      </c>
      <c r="D526" s="722" t="s">
        <v>110</v>
      </c>
      <c r="E526" s="511">
        <f t="shared" si="84"/>
        <v>2277122</v>
      </c>
      <c r="F526" s="511">
        <v>0</v>
      </c>
      <c r="G526" s="17">
        <v>0</v>
      </c>
      <c r="H526" s="511">
        <v>0</v>
      </c>
      <c r="I526" s="18">
        <v>683</v>
      </c>
      <c r="J526" s="18"/>
      <c r="K526" s="18"/>
      <c r="L526" s="511">
        <f t="shared" ref="L526:L529" si="87">ROUND(3334*I526,2)</f>
        <v>2277122</v>
      </c>
      <c r="M526" s="511">
        <v>0</v>
      </c>
      <c r="N526" s="511">
        <v>0</v>
      </c>
      <c r="O526" s="511">
        <v>0</v>
      </c>
      <c r="P526" s="511">
        <v>0</v>
      </c>
      <c r="Q526" s="511">
        <v>0</v>
      </c>
      <c r="R526" s="511">
        <v>0</v>
      </c>
      <c r="S526" s="511">
        <v>0</v>
      </c>
      <c r="T526" s="511">
        <v>0</v>
      </c>
      <c r="U526" s="511">
        <v>0</v>
      </c>
      <c r="V526" s="511">
        <v>0</v>
      </c>
      <c r="X526" s="38">
        <f>'[2]Приложение 1'!T522</f>
        <v>4503.95</v>
      </c>
      <c r="Y526" s="9">
        <f t="shared" si="79"/>
        <v>3334</v>
      </c>
      <c r="Z526" s="19">
        <f t="shared" si="80"/>
        <v>1169.9499999999998</v>
      </c>
    </row>
    <row r="527" spans="1:26" ht="9" customHeight="1">
      <c r="A527" s="510">
        <v>145</v>
      </c>
      <c r="B527" s="720" t="s">
        <v>773</v>
      </c>
      <c r="C527" s="721" t="s">
        <v>1192</v>
      </c>
      <c r="D527" s="722" t="s">
        <v>110</v>
      </c>
      <c r="E527" s="511">
        <f t="shared" si="84"/>
        <v>2120424</v>
      </c>
      <c r="F527" s="511">
        <v>0</v>
      </c>
      <c r="G527" s="17">
        <v>0</v>
      </c>
      <c r="H527" s="511">
        <v>0</v>
      </c>
      <c r="I527" s="18">
        <v>636</v>
      </c>
      <c r="J527" s="18"/>
      <c r="K527" s="18"/>
      <c r="L527" s="511">
        <f t="shared" si="87"/>
        <v>2120424</v>
      </c>
      <c r="M527" s="511">
        <v>0</v>
      </c>
      <c r="N527" s="511">
        <v>0</v>
      </c>
      <c r="O527" s="511">
        <v>0</v>
      </c>
      <c r="P527" s="511">
        <v>0</v>
      </c>
      <c r="Q527" s="511">
        <v>0</v>
      </c>
      <c r="R527" s="511">
        <v>0</v>
      </c>
      <c r="S527" s="511">
        <v>0</v>
      </c>
      <c r="T527" s="511">
        <v>0</v>
      </c>
      <c r="U527" s="511">
        <v>0</v>
      </c>
      <c r="V527" s="511">
        <v>0</v>
      </c>
      <c r="X527" s="38">
        <f>'[2]Приложение 1'!T523</f>
        <v>4180</v>
      </c>
      <c r="Y527" s="9">
        <f t="shared" si="79"/>
        <v>3334</v>
      </c>
      <c r="Z527" s="19">
        <f t="shared" si="80"/>
        <v>846</v>
      </c>
    </row>
    <row r="528" spans="1:26" ht="9" customHeight="1">
      <c r="A528" s="510">
        <v>146</v>
      </c>
      <c r="B528" s="720" t="s">
        <v>774</v>
      </c>
      <c r="C528" s="721" t="s">
        <v>1192</v>
      </c>
      <c r="D528" s="722" t="s">
        <v>110</v>
      </c>
      <c r="E528" s="511">
        <f t="shared" si="84"/>
        <v>4467560</v>
      </c>
      <c r="F528" s="511">
        <v>0</v>
      </c>
      <c r="G528" s="17">
        <v>0</v>
      </c>
      <c r="H528" s="511">
        <v>0</v>
      </c>
      <c r="I528" s="18">
        <v>1340</v>
      </c>
      <c r="J528" s="18"/>
      <c r="K528" s="18"/>
      <c r="L528" s="511">
        <f t="shared" si="87"/>
        <v>4467560</v>
      </c>
      <c r="M528" s="511">
        <v>0</v>
      </c>
      <c r="N528" s="511">
        <v>0</v>
      </c>
      <c r="O528" s="511">
        <v>0</v>
      </c>
      <c r="P528" s="511">
        <v>0</v>
      </c>
      <c r="Q528" s="511">
        <v>0</v>
      </c>
      <c r="R528" s="511">
        <v>0</v>
      </c>
      <c r="S528" s="511">
        <v>0</v>
      </c>
      <c r="T528" s="511">
        <v>0</v>
      </c>
      <c r="U528" s="511">
        <v>0</v>
      </c>
      <c r="V528" s="511">
        <v>0</v>
      </c>
      <c r="X528" s="38">
        <f>'[2]Приложение 1'!T524</f>
        <v>4180</v>
      </c>
      <c r="Y528" s="9">
        <f t="shared" si="79"/>
        <v>3334</v>
      </c>
      <c r="Z528" s="19">
        <f t="shared" si="80"/>
        <v>846</v>
      </c>
    </row>
    <row r="529" spans="1:26" ht="9" customHeight="1">
      <c r="A529" s="510">
        <v>147</v>
      </c>
      <c r="B529" s="720" t="s">
        <v>1054</v>
      </c>
      <c r="C529" s="721"/>
      <c r="D529" s="722"/>
      <c r="E529" s="511">
        <f t="shared" si="84"/>
        <v>1703674</v>
      </c>
      <c r="F529" s="511">
        <v>0</v>
      </c>
      <c r="G529" s="17">
        <v>0</v>
      </c>
      <c r="H529" s="511">
        <v>0</v>
      </c>
      <c r="I529" s="18">
        <v>511</v>
      </c>
      <c r="J529" s="18"/>
      <c r="K529" s="18"/>
      <c r="L529" s="511">
        <f t="shared" si="87"/>
        <v>1703674</v>
      </c>
      <c r="M529" s="511">
        <v>0</v>
      </c>
      <c r="N529" s="511">
        <v>0</v>
      </c>
      <c r="O529" s="511">
        <v>0</v>
      </c>
      <c r="P529" s="511">
        <v>0</v>
      </c>
      <c r="Q529" s="511">
        <v>0</v>
      </c>
      <c r="R529" s="511">
        <v>0</v>
      </c>
      <c r="S529" s="511">
        <v>0</v>
      </c>
      <c r="T529" s="511">
        <v>0</v>
      </c>
      <c r="U529" s="511">
        <v>0</v>
      </c>
      <c r="V529" s="511">
        <v>0</v>
      </c>
      <c r="X529" s="38">
        <f>'[2]Приложение 1'!T525</f>
        <v>4180</v>
      </c>
      <c r="Y529" s="9">
        <f t="shared" si="79"/>
        <v>3334</v>
      </c>
      <c r="Z529" s="19">
        <f t="shared" si="80"/>
        <v>846</v>
      </c>
    </row>
    <row r="530" spans="1:26" ht="12.75" customHeight="1">
      <c r="A530" s="882" t="s">
        <v>242</v>
      </c>
      <c r="B530" s="882"/>
      <c r="C530" s="882"/>
      <c r="D530" s="882"/>
      <c r="E530" s="882"/>
      <c r="F530" s="882"/>
      <c r="G530" s="882"/>
      <c r="H530" s="882"/>
      <c r="I530" s="882"/>
      <c r="J530" s="882"/>
      <c r="K530" s="882"/>
      <c r="L530" s="882"/>
      <c r="M530" s="882"/>
      <c r="N530" s="882"/>
      <c r="O530" s="882"/>
      <c r="P530" s="882"/>
      <c r="Q530" s="882"/>
      <c r="R530" s="882"/>
      <c r="S530" s="882"/>
      <c r="T530" s="882"/>
      <c r="U530" s="882"/>
      <c r="V530" s="882"/>
      <c r="X530" s="38">
        <f>'[2]Приложение 1'!T526</f>
        <v>4180</v>
      </c>
      <c r="Y530" s="9" t="e">
        <f t="shared" si="79"/>
        <v>#DIV/0!</v>
      </c>
      <c r="Z530" s="19" t="e">
        <f t="shared" si="80"/>
        <v>#DIV/0!</v>
      </c>
    </row>
    <row r="531" spans="1:26" ht="24" customHeight="1">
      <c r="A531" s="900" t="s">
        <v>243</v>
      </c>
      <c r="B531" s="900"/>
      <c r="C531" s="58"/>
      <c r="D531" s="58"/>
      <c r="E531" s="511">
        <f>SUM(E532:E534)</f>
        <v>7192170</v>
      </c>
      <c r="F531" s="511">
        <f t="shared" ref="F531:V531" si="88">SUM(F532:F534)</f>
        <v>0</v>
      </c>
      <c r="G531" s="17">
        <f t="shared" si="88"/>
        <v>0</v>
      </c>
      <c r="H531" s="511">
        <f t="shared" si="88"/>
        <v>0</v>
      </c>
      <c r="I531" s="511">
        <f>SUM(I532:I534)</f>
        <v>2205</v>
      </c>
      <c r="J531" s="511">
        <f t="shared" si="88"/>
        <v>0</v>
      </c>
      <c r="K531" s="511">
        <f t="shared" si="88"/>
        <v>0</v>
      </c>
      <c r="L531" s="511">
        <f t="shared" si="88"/>
        <v>7192170</v>
      </c>
      <c r="M531" s="511">
        <f t="shared" si="88"/>
        <v>0</v>
      </c>
      <c r="N531" s="511">
        <f t="shared" si="88"/>
        <v>0</v>
      </c>
      <c r="O531" s="511">
        <f t="shared" si="88"/>
        <v>0</v>
      </c>
      <c r="P531" s="511">
        <f t="shared" si="88"/>
        <v>0</v>
      </c>
      <c r="Q531" s="511">
        <f t="shared" si="88"/>
        <v>0</v>
      </c>
      <c r="R531" s="511">
        <f t="shared" si="88"/>
        <v>0</v>
      </c>
      <c r="S531" s="511">
        <f t="shared" si="88"/>
        <v>0</v>
      </c>
      <c r="T531" s="511">
        <f t="shared" si="88"/>
        <v>0</v>
      </c>
      <c r="U531" s="511">
        <f t="shared" si="88"/>
        <v>0</v>
      </c>
      <c r="V531" s="511">
        <f t="shared" si="88"/>
        <v>0</v>
      </c>
      <c r="X531" s="38">
        <f>'[2]Приложение 1'!T527</f>
        <v>0</v>
      </c>
      <c r="Y531" s="9">
        <f t="shared" si="79"/>
        <v>3261.7551020408164</v>
      </c>
      <c r="Z531" s="19">
        <f t="shared" si="80"/>
        <v>-3261.7551020408164</v>
      </c>
    </row>
    <row r="532" spans="1:26" ht="9" customHeight="1">
      <c r="A532" s="510">
        <v>148</v>
      </c>
      <c r="B532" s="729" t="s">
        <v>1016</v>
      </c>
      <c r="C532" s="730" t="s">
        <v>1192</v>
      </c>
      <c r="D532" s="731" t="s">
        <v>111</v>
      </c>
      <c r="E532" s="511">
        <f t="shared" ref="E532:E534" si="89">F532+H532+L532+N532+P532+R532+S532+T532+U532+V532</f>
        <v>2690688</v>
      </c>
      <c r="F532" s="511">
        <v>0</v>
      </c>
      <c r="G532" s="17">
        <v>0</v>
      </c>
      <c r="H532" s="511">
        <v>0</v>
      </c>
      <c r="I532" s="511">
        <v>832</v>
      </c>
      <c r="J532" s="511"/>
      <c r="K532" s="511"/>
      <c r="L532" s="511">
        <f>ROUND(3234*I532,2)</f>
        <v>2690688</v>
      </c>
      <c r="M532" s="511">
        <v>0</v>
      </c>
      <c r="N532" s="511">
        <v>0</v>
      </c>
      <c r="O532" s="511">
        <v>0</v>
      </c>
      <c r="P532" s="511">
        <v>0</v>
      </c>
      <c r="Q532" s="511">
        <v>0</v>
      </c>
      <c r="R532" s="511">
        <v>0</v>
      </c>
      <c r="S532" s="511">
        <v>0</v>
      </c>
      <c r="T532" s="511">
        <v>0</v>
      </c>
      <c r="U532" s="511">
        <v>0</v>
      </c>
      <c r="V532" s="511">
        <v>0</v>
      </c>
      <c r="X532" s="38">
        <f>'[2]Приложение 1'!T528</f>
        <v>0</v>
      </c>
      <c r="Y532" s="9">
        <f t="shared" si="79"/>
        <v>3234</v>
      </c>
      <c r="Z532" s="19">
        <f t="shared" si="80"/>
        <v>-3234</v>
      </c>
    </row>
    <row r="533" spans="1:26" ht="9" customHeight="1">
      <c r="A533" s="510">
        <v>149</v>
      </c>
      <c r="B533" s="729" t="s">
        <v>1018</v>
      </c>
      <c r="C533" s="730" t="s">
        <v>1192</v>
      </c>
      <c r="D533" s="731" t="s">
        <v>111</v>
      </c>
      <c r="E533" s="511">
        <f t="shared" si="89"/>
        <v>2461074</v>
      </c>
      <c r="F533" s="511">
        <v>0</v>
      </c>
      <c r="G533" s="17">
        <v>0</v>
      </c>
      <c r="H533" s="511">
        <v>0</v>
      </c>
      <c r="I533" s="511">
        <v>761</v>
      </c>
      <c r="J533" s="511"/>
      <c r="K533" s="511"/>
      <c r="L533" s="511">
        <f>ROUND(3234*I533,2)</f>
        <v>2461074</v>
      </c>
      <c r="M533" s="511">
        <v>0</v>
      </c>
      <c r="N533" s="511">
        <v>0</v>
      </c>
      <c r="O533" s="511">
        <v>0</v>
      </c>
      <c r="P533" s="511">
        <v>0</v>
      </c>
      <c r="Q533" s="511">
        <v>0</v>
      </c>
      <c r="R533" s="511">
        <v>0</v>
      </c>
      <c r="S533" s="511">
        <v>0</v>
      </c>
      <c r="T533" s="511">
        <v>0</v>
      </c>
      <c r="U533" s="511">
        <v>0</v>
      </c>
      <c r="V533" s="511">
        <v>0</v>
      </c>
      <c r="X533" s="38">
        <f>'[2]Приложение 1'!T529</f>
        <v>4503.95</v>
      </c>
      <c r="Y533" s="9">
        <f t="shared" si="79"/>
        <v>3234</v>
      </c>
      <c r="Z533" s="19">
        <f t="shared" si="80"/>
        <v>1269.9499999999998</v>
      </c>
    </row>
    <row r="534" spans="1:26" ht="9" customHeight="1">
      <c r="A534" s="510">
        <v>150</v>
      </c>
      <c r="B534" s="729" t="s">
        <v>1017</v>
      </c>
      <c r="C534" s="730" t="s">
        <v>1192</v>
      </c>
      <c r="D534" s="731" t="s">
        <v>110</v>
      </c>
      <c r="E534" s="511">
        <f t="shared" si="89"/>
        <v>2040408</v>
      </c>
      <c r="F534" s="511">
        <v>0</v>
      </c>
      <c r="G534" s="17">
        <v>0</v>
      </c>
      <c r="H534" s="511">
        <v>0</v>
      </c>
      <c r="I534" s="511">
        <v>612</v>
      </c>
      <c r="J534" s="511"/>
      <c r="K534" s="511"/>
      <c r="L534" s="511">
        <f t="shared" ref="L534" si="90">ROUND(3334*I534,2)</f>
        <v>2040408</v>
      </c>
      <c r="M534" s="511">
        <v>0</v>
      </c>
      <c r="N534" s="511">
        <v>0</v>
      </c>
      <c r="O534" s="511">
        <v>0</v>
      </c>
      <c r="P534" s="511">
        <v>0</v>
      </c>
      <c r="Q534" s="511">
        <v>0</v>
      </c>
      <c r="R534" s="511">
        <v>0</v>
      </c>
      <c r="S534" s="511">
        <v>0</v>
      </c>
      <c r="T534" s="511">
        <v>0</v>
      </c>
      <c r="U534" s="511">
        <v>0</v>
      </c>
      <c r="V534" s="511">
        <v>0</v>
      </c>
      <c r="X534" s="38">
        <f>'[2]Приложение 1'!T530</f>
        <v>4503.95</v>
      </c>
      <c r="Y534" s="9">
        <f t="shared" si="79"/>
        <v>3334</v>
      </c>
      <c r="Z534" s="19">
        <f t="shared" si="80"/>
        <v>1169.9499999999998</v>
      </c>
    </row>
    <row r="535" spans="1:26">
      <c r="A535" s="882" t="s">
        <v>251</v>
      </c>
      <c r="B535" s="882"/>
      <c r="C535" s="882"/>
      <c r="D535" s="882"/>
      <c r="E535" s="882"/>
      <c r="F535" s="882"/>
      <c r="G535" s="882"/>
      <c r="H535" s="882"/>
      <c r="I535" s="882"/>
      <c r="J535" s="882"/>
      <c r="K535" s="882"/>
      <c r="L535" s="882"/>
      <c r="M535" s="882"/>
      <c r="N535" s="882"/>
      <c r="O535" s="882"/>
      <c r="P535" s="882"/>
      <c r="Q535" s="882"/>
      <c r="R535" s="882"/>
      <c r="S535" s="882"/>
      <c r="T535" s="882"/>
      <c r="U535" s="882"/>
      <c r="V535" s="882"/>
      <c r="X535" s="38">
        <f>'[2]Приложение 1'!T531</f>
        <v>4180</v>
      </c>
      <c r="Y535" s="9" t="e">
        <f t="shared" si="79"/>
        <v>#DIV/0!</v>
      </c>
      <c r="Z535" s="19" t="e">
        <f t="shared" si="80"/>
        <v>#DIV/0!</v>
      </c>
    </row>
    <row r="536" spans="1:26" ht="24.75" customHeight="1">
      <c r="A536" s="900" t="s">
        <v>250</v>
      </c>
      <c r="B536" s="900"/>
      <c r="C536" s="58"/>
      <c r="D536" s="58"/>
      <c r="E536" s="511">
        <f t="shared" ref="E536:V536" si="91">SUM(E537:E543)</f>
        <v>14964394.000000002</v>
      </c>
      <c r="F536" s="511">
        <f t="shared" si="91"/>
        <v>0</v>
      </c>
      <c r="G536" s="17">
        <f t="shared" si="91"/>
        <v>0</v>
      </c>
      <c r="H536" s="511">
        <f t="shared" si="91"/>
        <v>0</v>
      </c>
      <c r="I536" s="511">
        <f>SUM(I537:I543)</f>
        <v>4611</v>
      </c>
      <c r="J536" s="511">
        <f t="shared" si="91"/>
        <v>0</v>
      </c>
      <c r="K536" s="511">
        <f t="shared" si="91"/>
        <v>0</v>
      </c>
      <c r="L536" s="511">
        <f t="shared" si="91"/>
        <v>14964394.000000002</v>
      </c>
      <c r="M536" s="511">
        <f t="shared" si="91"/>
        <v>0</v>
      </c>
      <c r="N536" s="511">
        <f t="shared" si="91"/>
        <v>0</v>
      </c>
      <c r="O536" s="511">
        <f t="shared" si="91"/>
        <v>0</v>
      </c>
      <c r="P536" s="511">
        <f t="shared" si="91"/>
        <v>0</v>
      </c>
      <c r="Q536" s="511">
        <f t="shared" si="91"/>
        <v>0</v>
      </c>
      <c r="R536" s="511">
        <f t="shared" si="91"/>
        <v>0</v>
      </c>
      <c r="S536" s="511">
        <f t="shared" si="91"/>
        <v>0</v>
      </c>
      <c r="T536" s="511">
        <f t="shared" si="91"/>
        <v>0</v>
      </c>
      <c r="U536" s="511">
        <f t="shared" si="91"/>
        <v>0</v>
      </c>
      <c r="V536" s="511">
        <f t="shared" si="91"/>
        <v>0</v>
      </c>
      <c r="X536" s="38">
        <f>'[2]Приложение 1'!T532</f>
        <v>0</v>
      </c>
      <c r="Y536" s="9">
        <f t="shared" si="79"/>
        <v>3245.3684667100415</v>
      </c>
      <c r="Z536" s="19">
        <f t="shared" si="80"/>
        <v>-3245.3684667100415</v>
      </c>
    </row>
    <row r="537" spans="1:26" ht="9" customHeight="1">
      <c r="A537" s="510">
        <v>151</v>
      </c>
      <c r="B537" s="732" t="s">
        <v>789</v>
      </c>
      <c r="C537" s="733" t="s">
        <v>1192</v>
      </c>
      <c r="D537" s="734" t="s">
        <v>111</v>
      </c>
      <c r="E537" s="511">
        <f t="shared" ref="E537:E543" si="92">F537+H537+L537+N537+P537+R537+S537+T537+U537+V537</f>
        <v>3880800</v>
      </c>
      <c r="F537" s="511">
        <v>0</v>
      </c>
      <c r="G537" s="17">
        <v>0</v>
      </c>
      <c r="H537" s="511">
        <v>0</v>
      </c>
      <c r="I537" s="511">
        <v>1200</v>
      </c>
      <c r="J537" s="511"/>
      <c r="K537" s="511"/>
      <c r="L537" s="511">
        <f>ROUND(3234*I537,2)</f>
        <v>3880800</v>
      </c>
      <c r="M537" s="511">
        <v>0</v>
      </c>
      <c r="N537" s="511">
        <v>0</v>
      </c>
      <c r="O537" s="511">
        <v>0</v>
      </c>
      <c r="P537" s="511">
        <v>0</v>
      </c>
      <c r="Q537" s="511">
        <v>0</v>
      </c>
      <c r="R537" s="511">
        <v>0</v>
      </c>
      <c r="S537" s="511">
        <v>0</v>
      </c>
      <c r="T537" s="511">
        <v>0</v>
      </c>
      <c r="U537" s="511">
        <v>0</v>
      </c>
      <c r="V537" s="511">
        <v>0</v>
      </c>
      <c r="X537" s="38">
        <f>'[2]Приложение 1'!T533</f>
        <v>0</v>
      </c>
      <c r="Y537" s="9">
        <f t="shared" si="79"/>
        <v>3234</v>
      </c>
      <c r="Z537" s="19">
        <f t="shared" si="80"/>
        <v>-3234</v>
      </c>
    </row>
    <row r="538" spans="1:26" ht="9" customHeight="1">
      <c r="A538" s="510">
        <v>152</v>
      </c>
      <c r="B538" s="732" t="s">
        <v>790</v>
      </c>
      <c r="C538" s="733" t="s">
        <v>1192</v>
      </c>
      <c r="D538" s="734" t="s">
        <v>111</v>
      </c>
      <c r="E538" s="511">
        <f t="shared" si="92"/>
        <v>3880800</v>
      </c>
      <c r="F538" s="511">
        <v>0</v>
      </c>
      <c r="G538" s="17">
        <v>0</v>
      </c>
      <c r="H538" s="511">
        <v>0</v>
      </c>
      <c r="I538" s="511">
        <v>1200</v>
      </c>
      <c r="J538" s="511"/>
      <c r="K538" s="511"/>
      <c r="L538" s="511">
        <f>ROUND(3234*I538,2)</f>
        <v>3880800</v>
      </c>
      <c r="M538" s="511">
        <v>0</v>
      </c>
      <c r="N538" s="511">
        <v>0</v>
      </c>
      <c r="O538" s="511">
        <v>0</v>
      </c>
      <c r="P538" s="511">
        <v>0</v>
      </c>
      <c r="Q538" s="511">
        <v>0</v>
      </c>
      <c r="R538" s="511">
        <v>0</v>
      </c>
      <c r="S538" s="511">
        <v>0</v>
      </c>
      <c r="T538" s="511">
        <v>0</v>
      </c>
      <c r="U538" s="511">
        <v>0</v>
      </c>
      <c r="V538" s="511">
        <v>0</v>
      </c>
      <c r="X538" s="38">
        <f>'[2]Приложение 1'!T534</f>
        <v>4503.95</v>
      </c>
      <c r="Y538" s="9">
        <f t="shared" si="79"/>
        <v>3234</v>
      </c>
      <c r="Z538" s="19">
        <f t="shared" si="80"/>
        <v>1269.9499999999998</v>
      </c>
    </row>
    <row r="539" spans="1:26" ht="9" customHeight="1">
      <c r="A539" s="510">
        <v>153</v>
      </c>
      <c r="B539" s="732" t="s">
        <v>791</v>
      </c>
      <c r="C539" s="733" t="s">
        <v>1192</v>
      </c>
      <c r="D539" s="734" t="s">
        <v>110</v>
      </c>
      <c r="E539" s="511">
        <f t="shared" si="92"/>
        <v>1747682.8</v>
      </c>
      <c r="F539" s="511">
        <v>0</v>
      </c>
      <c r="G539" s="17">
        <v>0</v>
      </c>
      <c r="H539" s="511">
        <v>0</v>
      </c>
      <c r="I539" s="511">
        <v>524.20000000000005</v>
      </c>
      <c r="J539" s="511"/>
      <c r="K539" s="511"/>
      <c r="L539" s="511">
        <f t="shared" ref="L539" si="93">ROUND(3334*I539,2)</f>
        <v>1747682.8</v>
      </c>
      <c r="M539" s="511">
        <v>0</v>
      </c>
      <c r="N539" s="511">
        <v>0</v>
      </c>
      <c r="O539" s="511">
        <v>0</v>
      </c>
      <c r="P539" s="511">
        <v>0</v>
      </c>
      <c r="Q539" s="511">
        <v>0</v>
      </c>
      <c r="R539" s="511">
        <v>0</v>
      </c>
      <c r="S539" s="511">
        <v>0</v>
      </c>
      <c r="T539" s="511">
        <v>0</v>
      </c>
      <c r="U539" s="511">
        <v>0</v>
      </c>
      <c r="V539" s="511">
        <v>0</v>
      </c>
      <c r="X539" s="38">
        <f>'[2]Приложение 1'!T535</f>
        <v>4503.95</v>
      </c>
      <c r="Y539" s="9">
        <f t="shared" si="79"/>
        <v>3334</v>
      </c>
      <c r="Z539" s="19">
        <f t="shared" si="80"/>
        <v>1169.9499999999998</v>
      </c>
    </row>
    <row r="540" spans="1:26" ht="9" customHeight="1">
      <c r="A540" s="510">
        <v>154</v>
      </c>
      <c r="B540" s="732" t="s">
        <v>792</v>
      </c>
      <c r="C540" s="733" t="s">
        <v>1192</v>
      </c>
      <c r="D540" s="734" t="s">
        <v>111</v>
      </c>
      <c r="E540" s="511">
        <f t="shared" si="92"/>
        <v>1450125.6</v>
      </c>
      <c r="F540" s="511">
        <v>0</v>
      </c>
      <c r="G540" s="17">
        <v>0</v>
      </c>
      <c r="H540" s="511">
        <v>0</v>
      </c>
      <c r="I540" s="511">
        <v>448.4</v>
      </c>
      <c r="J540" s="511"/>
      <c r="K540" s="511"/>
      <c r="L540" s="511">
        <f>ROUND(3234*I540,2)</f>
        <v>1450125.6</v>
      </c>
      <c r="M540" s="511">
        <v>0</v>
      </c>
      <c r="N540" s="511">
        <v>0</v>
      </c>
      <c r="O540" s="511">
        <v>0</v>
      </c>
      <c r="P540" s="511">
        <v>0</v>
      </c>
      <c r="Q540" s="511">
        <v>0</v>
      </c>
      <c r="R540" s="511">
        <v>0</v>
      </c>
      <c r="S540" s="511">
        <v>0</v>
      </c>
      <c r="T540" s="511">
        <v>0</v>
      </c>
      <c r="U540" s="511">
        <v>0</v>
      </c>
      <c r="V540" s="511">
        <v>0</v>
      </c>
      <c r="X540" s="38">
        <f>'[2]Приложение 1'!T536</f>
        <v>4180</v>
      </c>
      <c r="Y540" s="9">
        <f t="shared" si="79"/>
        <v>3234.0000000000005</v>
      </c>
      <c r="Z540" s="19">
        <f t="shared" si="80"/>
        <v>945.99999999999955</v>
      </c>
    </row>
    <row r="541" spans="1:26" ht="9" customHeight="1">
      <c r="A541" s="510">
        <v>155</v>
      </c>
      <c r="B541" s="732" t="s">
        <v>793</v>
      </c>
      <c r="C541" s="733" t="s">
        <v>1192</v>
      </c>
      <c r="D541" s="734" t="s">
        <v>111</v>
      </c>
      <c r="E541" s="511">
        <f t="shared" si="92"/>
        <v>1158418.8</v>
      </c>
      <c r="F541" s="511">
        <v>0</v>
      </c>
      <c r="G541" s="17">
        <v>0</v>
      </c>
      <c r="H541" s="511">
        <v>0</v>
      </c>
      <c r="I541" s="511">
        <v>358.2</v>
      </c>
      <c r="J541" s="511"/>
      <c r="K541" s="511"/>
      <c r="L541" s="511">
        <f>ROUND(3234*I541,2)</f>
        <v>1158418.8</v>
      </c>
      <c r="M541" s="511">
        <v>0</v>
      </c>
      <c r="N541" s="511">
        <v>0</v>
      </c>
      <c r="O541" s="511">
        <v>0</v>
      </c>
      <c r="P541" s="511">
        <v>0</v>
      </c>
      <c r="Q541" s="511">
        <v>0</v>
      </c>
      <c r="R541" s="511">
        <v>0</v>
      </c>
      <c r="S541" s="511">
        <v>0</v>
      </c>
      <c r="T541" s="511">
        <v>0</v>
      </c>
      <c r="U541" s="511">
        <v>0</v>
      </c>
      <c r="V541" s="511">
        <v>0</v>
      </c>
      <c r="X541" s="38">
        <f>'[2]Приложение 1'!T537</f>
        <v>4503.95</v>
      </c>
      <c r="Y541" s="9">
        <f t="shared" si="79"/>
        <v>3234.0000000000005</v>
      </c>
      <c r="Z541" s="19">
        <f t="shared" si="80"/>
        <v>1269.9499999999994</v>
      </c>
    </row>
    <row r="542" spans="1:26" ht="9" customHeight="1">
      <c r="A542" s="510">
        <v>156</v>
      </c>
      <c r="B542" s="732" t="s">
        <v>794</v>
      </c>
      <c r="C542" s="733" t="s">
        <v>1192</v>
      </c>
      <c r="D542" s="734" t="s">
        <v>111</v>
      </c>
      <c r="E542" s="511">
        <f t="shared" si="92"/>
        <v>1158418.8</v>
      </c>
      <c r="F542" s="511">
        <v>0</v>
      </c>
      <c r="G542" s="17">
        <v>0</v>
      </c>
      <c r="H542" s="511">
        <v>0</v>
      </c>
      <c r="I542" s="511">
        <v>358.2</v>
      </c>
      <c r="J542" s="511"/>
      <c r="K542" s="511"/>
      <c r="L542" s="511">
        <f>ROUND(3234*I542,2)</f>
        <v>1158418.8</v>
      </c>
      <c r="M542" s="511">
        <v>0</v>
      </c>
      <c r="N542" s="511">
        <v>0</v>
      </c>
      <c r="O542" s="511">
        <v>0</v>
      </c>
      <c r="P542" s="511">
        <v>0</v>
      </c>
      <c r="Q542" s="511">
        <v>0</v>
      </c>
      <c r="R542" s="511">
        <v>0</v>
      </c>
      <c r="S542" s="511">
        <v>0</v>
      </c>
      <c r="T542" s="511">
        <v>0</v>
      </c>
      <c r="U542" s="511">
        <v>0</v>
      </c>
      <c r="V542" s="511">
        <v>0</v>
      </c>
      <c r="X542" s="38">
        <f>'[2]Приложение 1'!T538</f>
        <v>4503.95</v>
      </c>
      <c r="Y542" s="9">
        <f t="shared" si="79"/>
        <v>3234.0000000000005</v>
      </c>
      <c r="Z542" s="19">
        <f t="shared" si="80"/>
        <v>1269.9499999999994</v>
      </c>
    </row>
    <row r="543" spans="1:26" ht="9" customHeight="1">
      <c r="A543" s="510">
        <v>157</v>
      </c>
      <c r="B543" s="732" t="s">
        <v>795</v>
      </c>
      <c r="C543" s="733" t="s">
        <v>1192</v>
      </c>
      <c r="D543" s="734" t="s">
        <v>111</v>
      </c>
      <c r="E543" s="511">
        <f t="shared" si="92"/>
        <v>1688148</v>
      </c>
      <c r="F543" s="511">
        <v>0</v>
      </c>
      <c r="G543" s="17">
        <v>0</v>
      </c>
      <c r="H543" s="511">
        <v>0</v>
      </c>
      <c r="I543" s="511">
        <v>522</v>
      </c>
      <c r="J543" s="511"/>
      <c r="K543" s="511"/>
      <c r="L543" s="511">
        <f>ROUND(3234*I543,2)</f>
        <v>1688148</v>
      </c>
      <c r="M543" s="511">
        <v>0</v>
      </c>
      <c r="N543" s="511">
        <v>0</v>
      </c>
      <c r="O543" s="511">
        <v>0</v>
      </c>
      <c r="P543" s="511">
        <v>0</v>
      </c>
      <c r="Q543" s="511">
        <v>0</v>
      </c>
      <c r="R543" s="511">
        <v>0</v>
      </c>
      <c r="S543" s="511">
        <v>0</v>
      </c>
      <c r="T543" s="511">
        <v>0</v>
      </c>
      <c r="U543" s="511">
        <v>0</v>
      </c>
      <c r="V543" s="511">
        <v>0</v>
      </c>
      <c r="X543" s="38">
        <f>'[2]Приложение 1'!T539</f>
        <v>4503.95</v>
      </c>
      <c r="Y543" s="9">
        <f t="shared" si="79"/>
        <v>3234</v>
      </c>
      <c r="Z543" s="19">
        <f t="shared" si="80"/>
        <v>1269.9499999999998</v>
      </c>
    </row>
    <row r="544" spans="1:26" ht="12.75" customHeight="1">
      <c r="A544" s="893" t="s">
        <v>259</v>
      </c>
      <c r="B544" s="893"/>
      <c r="C544" s="893"/>
      <c r="D544" s="893"/>
      <c r="E544" s="893"/>
      <c r="F544" s="893"/>
      <c r="G544" s="893"/>
      <c r="H544" s="893"/>
      <c r="I544" s="893"/>
      <c r="J544" s="893"/>
      <c r="K544" s="893"/>
      <c r="L544" s="893"/>
      <c r="M544" s="893"/>
      <c r="N544" s="893"/>
      <c r="O544" s="893"/>
      <c r="P544" s="893"/>
      <c r="Q544" s="893"/>
      <c r="R544" s="893"/>
      <c r="S544" s="893"/>
      <c r="T544" s="893"/>
      <c r="U544" s="893"/>
      <c r="V544" s="893"/>
      <c r="X544" s="38">
        <f>'[2]Приложение 1'!T540</f>
        <v>4503.95</v>
      </c>
      <c r="Y544" s="9" t="e">
        <f t="shared" si="79"/>
        <v>#DIV/0!</v>
      </c>
      <c r="Z544" s="19" t="e">
        <f t="shared" si="80"/>
        <v>#DIV/0!</v>
      </c>
    </row>
    <row r="545" spans="1:26" ht="20.25" customHeight="1">
      <c r="A545" s="901" t="s">
        <v>262</v>
      </c>
      <c r="B545" s="901"/>
      <c r="C545" s="73"/>
      <c r="D545" s="63"/>
      <c r="E545" s="44">
        <f t="shared" ref="E545:V545" si="94">SUM(E546:E548)</f>
        <v>8158175.4000000004</v>
      </c>
      <c r="F545" s="44">
        <f t="shared" si="94"/>
        <v>0</v>
      </c>
      <c r="G545" s="46">
        <f t="shared" si="94"/>
        <v>0</v>
      </c>
      <c r="H545" s="44">
        <f t="shared" si="94"/>
        <v>0</v>
      </c>
      <c r="I545" s="44">
        <f>SUM(I546:I548)</f>
        <v>2478.1</v>
      </c>
      <c r="J545" s="44">
        <f t="shared" si="94"/>
        <v>0</v>
      </c>
      <c r="K545" s="44">
        <f t="shared" si="94"/>
        <v>0</v>
      </c>
      <c r="L545" s="44">
        <f t="shared" si="94"/>
        <v>8158175.4000000004</v>
      </c>
      <c r="M545" s="44">
        <f t="shared" si="94"/>
        <v>0</v>
      </c>
      <c r="N545" s="44">
        <f t="shared" si="94"/>
        <v>0</v>
      </c>
      <c r="O545" s="44">
        <f t="shared" si="94"/>
        <v>0</v>
      </c>
      <c r="P545" s="44">
        <f t="shared" si="94"/>
        <v>0</v>
      </c>
      <c r="Q545" s="44">
        <f t="shared" si="94"/>
        <v>0</v>
      </c>
      <c r="R545" s="44">
        <f t="shared" si="94"/>
        <v>0</v>
      </c>
      <c r="S545" s="44">
        <f t="shared" si="94"/>
        <v>0</v>
      </c>
      <c r="T545" s="44">
        <f t="shared" si="94"/>
        <v>0</v>
      </c>
      <c r="U545" s="44">
        <f t="shared" si="94"/>
        <v>0</v>
      </c>
      <c r="V545" s="44">
        <f t="shared" si="94"/>
        <v>0</v>
      </c>
      <c r="X545" s="38">
        <f>'[2]Приложение 1'!T541</f>
        <v>0</v>
      </c>
      <c r="Y545" s="9">
        <f t="shared" si="79"/>
        <v>3292.1090351478956</v>
      </c>
      <c r="Z545" s="19">
        <f t="shared" si="80"/>
        <v>-3292.1090351478956</v>
      </c>
    </row>
    <row r="546" spans="1:26" ht="9" customHeight="1">
      <c r="A546" s="41">
        <v>158</v>
      </c>
      <c r="B546" s="509" t="s">
        <v>804</v>
      </c>
      <c r="C546" s="58" t="s">
        <v>1192</v>
      </c>
      <c r="D546" s="59" t="s">
        <v>110</v>
      </c>
      <c r="E546" s="511">
        <f t="shared" ref="E546:E548" si="95">F546+H546+L546+N546+P546+R546+S546+T546+U546+V546</f>
        <v>4800960</v>
      </c>
      <c r="F546" s="44">
        <v>0</v>
      </c>
      <c r="G546" s="46">
        <v>0</v>
      </c>
      <c r="H546" s="44">
        <v>0</v>
      </c>
      <c r="I546" s="47">
        <v>1440</v>
      </c>
      <c r="J546" s="511"/>
      <c r="K546" s="511"/>
      <c r="L546" s="511">
        <f t="shared" ref="L546" si="96">ROUND(3334*I546,2)</f>
        <v>4800960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X546" s="38">
        <f>'[2]Приложение 1'!T542</f>
        <v>0</v>
      </c>
      <c r="Y546" s="9">
        <f t="shared" si="79"/>
        <v>3334</v>
      </c>
      <c r="Z546" s="19">
        <f t="shared" si="80"/>
        <v>-3334</v>
      </c>
    </row>
    <row r="547" spans="1:26" ht="9" customHeight="1">
      <c r="A547" s="41">
        <v>159</v>
      </c>
      <c r="B547" s="509" t="s">
        <v>805</v>
      </c>
      <c r="C547" s="58" t="s">
        <v>1192</v>
      </c>
      <c r="D547" s="59" t="s">
        <v>111</v>
      </c>
      <c r="E547" s="511">
        <f t="shared" si="95"/>
        <v>2076551.4</v>
      </c>
      <c r="F547" s="44">
        <v>0</v>
      </c>
      <c r="G547" s="46">
        <v>0</v>
      </c>
      <c r="H547" s="44">
        <v>0</v>
      </c>
      <c r="I547" s="47">
        <v>642.1</v>
      </c>
      <c r="J547" s="511"/>
      <c r="K547" s="511"/>
      <c r="L547" s="511">
        <f>ROUND(3234*I547,2)</f>
        <v>2076551.4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X547" s="38">
        <f>'[2]Приложение 1'!T543</f>
        <v>4180</v>
      </c>
      <c r="Y547" s="9">
        <f t="shared" si="79"/>
        <v>3233.9999999999995</v>
      </c>
      <c r="Z547" s="19">
        <f t="shared" si="80"/>
        <v>946.00000000000045</v>
      </c>
    </row>
    <row r="548" spans="1:26" ht="9" customHeight="1">
      <c r="A548" s="41">
        <v>160</v>
      </c>
      <c r="B548" s="509" t="s">
        <v>806</v>
      </c>
      <c r="C548" s="58" t="s">
        <v>1192</v>
      </c>
      <c r="D548" s="59" t="s">
        <v>111</v>
      </c>
      <c r="E548" s="511">
        <f t="shared" si="95"/>
        <v>1280664</v>
      </c>
      <c r="F548" s="44">
        <v>0</v>
      </c>
      <c r="G548" s="46">
        <v>0</v>
      </c>
      <c r="H548" s="44">
        <v>0</v>
      </c>
      <c r="I548" s="47">
        <v>396</v>
      </c>
      <c r="J548" s="511"/>
      <c r="K548" s="511"/>
      <c r="L548" s="511">
        <f>ROUND(3234*I548,2)</f>
        <v>1280664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0</v>
      </c>
      <c r="X548" s="38">
        <f>'[2]Приложение 1'!T544</f>
        <v>4503.95</v>
      </c>
      <c r="Y548" s="9">
        <f t="shared" si="79"/>
        <v>3234</v>
      </c>
      <c r="Z548" s="19">
        <f t="shared" si="80"/>
        <v>1269.9499999999998</v>
      </c>
    </row>
    <row r="549" spans="1:26" ht="12.75" customHeight="1">
      <c r="A549" s="882" t="s">
        <v>396</v>
      </c>
      <c r="B549" s="882"/>
      <c r="C549" s="882"/>
      <c r="D549" s="882"/>
      <c r="E549" s="882"/>
      <c r="F549" s="882"/>
      <c r="G549" s="882"/>
      <c r="H549" s="882"/>
      <c r="I549" s="882"/>
      <c r="J549" s="882"/>
      <c r="K549" s="882"/>
      <c r="L549" s="882"/>
      <c r="M549" s="882"/>
      <c r="N549" s="882"/>
      <c r="O549" s="882"/>
      <c r="P549" s="882"/>
      <c r="Q549" s="882"/>
      <c r="R549" s="882"/>
      <c r="S549" s="882"/>
      <c r="T549" s="882"/>
      <c r="U549" s="882"/>
      <c r="V549" s="882"/>
      <c r="X549" s="38">
        <f>'[2]Приложение 1'!T545</f>
        <v>4503.95</v>
      </c>
      <c r="Y549" s="9" t="e">
        <f t="shared" si="79"/>
        <v>#DIV/0!</v>
      </c>
      <c r="Z549" s="19" t="e">
        <f t="shared" si="80"/>
        <v>#DIV/0!</v>
      </c>
    </row>
    <row r="550" spans="1:26" ht="21.75" customHeight="1">
      <c r="A550" s="900" t="s">
        <v>263</v>
      </c>
      <c r="B550" s="900"/>
      <c r="C550" s="58"/>
      <c r="D550" s="58"/>
      <c r="E550" s="511">
        <f t="shared" ref="E550:V550" si="97">SUM(E551:E554)</f>
        <v>6712167</v>
      </c>
      <c r="F550" s="511">
        <f t="shared" si="97"/>
        <v>0</v>
      </c>
      <c r="G550" s="17">
        <f t="shared" si="97"/>
        <v>0</v>
      </c>
      <c r="H550" s="511">
        <f t="shared" si="97"/>
        <v>0</v>
      </c>
      <c r="I550" s="511">
        <f>SUM(I551:I554)</f>
        <v>2075.5</v>
      </c>
      <c r="J550" s="511">
        <f t="shared" si="97"/>
        <v>0</v>
      </c>
      <c r="K550" s="511">
        <f t="shared" si="97"/>
        <v>0</v>
      </c>
      <c r="L550" s="511">
        <f t="shared" si="97"/>
        <v>6712167</v>
      </c>
      <c r="M550" s="511">
        <f t="shared" si="97"/>
        <v>0</v>
      </c>
      <c r="N550" s="511">
        <f t="shared" si="97"/>
        <v>0</v>
      </c>
      <c r="O550" s="511">
        <f t="shared" si="97"/>
        <v>0</v>
      </c>
      <c r="P550" s="511">
        <f t="shared" si="97"/>
        <v>0</v>
      </c>
      <c r="Q550" s="511">
        <f t="shared" si="97"/>
        <v>0</v>
      </c>
      <c r="R550" s="511">
        <f t="shared" si="97"/>
        <v>0</v>
      </c>
      <c r="S550" s="511">
        <f t="shared" si="97"/>
        <v>0</v>
      </c>
      <c r="T550" s="511">
        <f t="shared" si="97"/>
        <v>0</v>
      </c>
      <c r="U550" s="511">
        <f t="shared" si="97"/>
        <v>0</v>
      </c>
      <c r="V550" s="511">
        <f t="shared" si="97"/>
        <v>0</v>
      </c>
      <c r="X550" s="38">
        <f>'[2]Приложение 1'!T546</f>
        <v>0</v>
      </c>
      <c r="Y550" s="9">
        <f t="shared" si="79"/>
        <v>3234</v>
      </c>
      <c r="Z550" s="19">
        <f t="shared" si="80"/>
        <v>-3234</v>
      </c>
    </row>
    <row r="551" spans="1:26" ht="9" customHeight="1">
      <c r="A551" s="510">
        <v>161</v>
      </c>
      <c r="B551" s="509" t="s">
        <v>809</v>
      </c>
      <c r="C551" s="58" t="s">
        <v>1192</v>
      </c>
      <c r="D551" s="59" t="s">
        <v>111</v>
      </c>
      <c r="E551" s="511">
        <f t="shared" ref="E551:E554" si="98">F551+H551+L551+N551+P551+R551+S551+T551+U551+V551</f>
        <v>3169320</v>
      </c>
      <c r="F551" s="511">
        <v>0</v>
      </c>
      <c r="G551" s="17">
        <v>0</v>
      </c>
      <c r="H551" s="511">
        <v>0</v>
      </c>
      <c r="I551" s="511">
        <v>980</v>
      </c>
      <c r="J551" s="511"/>
      <c r="K551" s="511"/>
      <c r="L551" s="511">
        <f>ROUND(3234*I551,2)</f>
        <v>3169320</v>
      </c>
      <c r="M551" s="511">
        <v>0</v>
      </c>
      <c r="N551" s="511">
        <v>0</v>
      </c>
      <c r="O551" s="511">
        <v>0</v>
      </c>
      <c r="P551" s="511">
        <v>0</v>
      </c>
      <c r="Q551" s="511">
        <v>0</v>
      </c>
      <c r="R551" s="511">
        <v>0</v>
      </c>
      <c r="S551" s="511">
        <v>0</v>
      </c>
      <c r="T551" s="511">
        <v>0</v>
      </c>
      <c r="U551" s="511">
        <v>0</v>
      </c>
      <c r="V551" s="511">
        <v>0</v>
      </c>
      <c r="X551" s="38">
        <f>'[2]Приложение 1'!T547</f>
        <v>0</v>
      </c>
      <c r="Y551" s="9">
        <f t="shared" si="79"/>
        <v>3234</v>
      </c>
      <c r="Z551" s="19">
        <f t="shared" si="80"/>
        <v>-3234</v>
      </c>
    </row>
    <row r="552" spans="1:26" ht="9" customHeight="1">
      <c r="A552" s="510">
        <v>162</v>
      </c>
      <c r="B552" s="509" t="s">
        <v>810</v>
      </c>
      <c r="C552" s="58" t="s">
        <v>1192</v>
      </c>
      <c r="D552" s="59" t="s">
        <v>111</v>
      </c>
      <c r="E552" s="511">
        <f t="shared" si="98"/>
        <v>2166780</v>
      </c>
      <c r="F552" s="511">
        <v>0</v>
      </c>
      <c r="G552" s="17">
        <v>0</v>
      </c>
      <c r="H552" s="511">
        <v>0</v>
      </c>
      <c r="I552" s="511">
        <v>670</v>
      </c>
      <c r="J552" s="511"/>
      <c r="K552" s="511"/>
      <c r="L552" s="511">
        <f>ROUND(3234*I552,2)</f>
        <v>2166780</v>
      </c>
      <c r="M552" s="511">
        <v>0</v>
      </c>
      <c r="N552" s="511">
        <v>0</v>
      </c>
      <c r="O552" s="511">
        <v>0</v>
      </c>
      <c r="P552" s="511">
        <v>0</v>
      </c>
      <c r="Q552" s="511">
        <v>0</v>
      </c>
      <c r="R552" s="511">
        <v>0</v>
      </c>
      <c r="S552" s="511">
        <v>0</v>
      </c>
      <c r="T552" s="511">
        <v>0</v>
      </c>
      <c r="U552" s="511">
        <v>0</v>
      </c>
      <c r="V552" s="511">
        <v>0</v>
      </c>
      <c r="X552" s="38">
        <f>'[2]Приложение 1'!T548</f>
        <v>4503.95</v>
      </c>
      <c r="Y552" s="9">
        <f t="shared" si="79"/>
        <v>3234</v>
      </c>
      <c r="Z552" s="19">
        <f t="shared" si="80"/>
        <v>1269.9499999999998</v>
      </c>
    </row>
    <row r="553" spans="1:26" ht="9" customHeight="1">
      <c r="A553" s="510">
        <v>163</v>
      </c>
      <c r="B553" s="509" t="s">
        <v>811</v>
      </c>
      <c r="C553" s="58" t="s">
        <v>1192</v>
      </c>
      <c r="D553" s="59" t="s">
        <v>111</v>
      </c>
      <c r="E553" s="511">
        <f t="shared" si="98"/>
        <v>771955.8</v>
      </c>
      <c r="F553" s="511">
        <v>0</v>
      </c>
      <c r="G553" s="17">
        <v>0</v>
      </c>
      <c r="H553" s="511">
        <v>0</v>
      </c>
      <c r="I553" s="511">
        <v>238.7</v>
      </c>
      <c r="J553" s="511"/>
      <c r="K553" s="511"/>
      <c r="L553" s="511">
        <f>ROUND(3234*I553,2)</f>
        <v>771955.8</v>
      </c>
      <c r="M553" s="511">
        <v>0</v>
      </c>
      <c r="N553" s="511">
        <v>0</v>
      </c>
      <c r="O553" s="511">
        <v>0</v>
      </c>
      <c r="P553" s="511">
        <v>0</v>
      </c>
      <c r="Q553" s="511">
        <v>0</v>
      </c>
      <c r="R553" s="511">
        <v>0</v>
      </c>
      <c r="S553" s="511">
        <v>0</v>
      </c>
      <c r="T553" s="511">
        <v>0</v>
      </c>
      <c r="U553" s="511">
        <v>0</v>
      </c>
      <c r="V553" s="511">
        <v>0</v>
      </c>
      <c r="X553" s="38">
        <f>'[2]Приложение 1'!T549</f>
        <v>4503.95</v>
      </c>
      <c r="Y553" s="9">
        <f t="shared" si="79"/>
        <v>3234.0000000000005</v>
      </c>
      <c r="Z553" s="19">
        <f t="shared" si="80"/>
        <v>1269.9499999999994</v>
      </c>
    </row>
    <row r="554" spans="1:26" ht="9" customHeight="1">
      <c r="A554" s="510">
        <v>164</v>
      </c>
      <c r="B554" s="509" t="s">
        <v>812</v>
      </c>
      <c r="C554" s="58" t="s">
        <v>1192</v>
      </c>
      <c r="D554" s="59" t="s">
        <v>111</v>
      </c>
      <c r="E554" s="511">
        <f t="shared" si="98"/>
        <v>604111.19999999995</v>
      </c>
      <c r="F554" s="511">
        <v>0</v>
      </c>
      <c r="G554" s="17">
        <v>0</v>
      </c>
      <c r="H554" s="511">
        <v>0</v>
      </c>
      <c r="I554" s="511">
        <v>186.8</v>
      </c>
      <c r="J554" s="511"/>
      <c r="K554" s="511"/>
      <c r="L554" s="511">
        <f>ROUND(3234*I554,2)</f>
        <v>604111.19999999995</v>
      </c>
      <c r="M554" s="511">
        <v>0</v>
      </c>
      <c r="N554" s="511">
        <v>0</v>
      </c>
      <c r="O554" s="511">
        <v>0</v>
      </c>
      <c r="P554" s="511">
        <v>0</v>
      </c>
      <c r="Q554" s="511">
        <v>0</v>
      </c>
      <c r="R554" s="511">
        <v>0</v>
      </c>
      <c r="S554" s="511">
        <v>0</v>
      </c>
      <c r="T554" s="511">
        <v>0</v>
      </c>
      <c r="U554" s="511">
        <v>0</v>
      </c>
      <c r="V554" s="511">
        <v>0</v>
      </c>
      <c r="X554" s="38">
        <f>'[2]Приложение 1'!T550</f>
        <v>4503.95</v>
      </c>
      <c r="Y554" s="9">
        <f t="shared" si="79"/>
        <v>3233.9999999999995</v>
      </c>
      <c r="Z554" s="19">
        <f t="shared" si="80"/>
        <v>1269.9500000000003</v>
      </c>
    </row>
    <row r="555" spans="1:26" ht="12" customHeight="1">
      <c r="A555" s="882" t="s">
        <v>395</v>
      </c>
      <c r="B555" s="882"/>
      <c r="C555" s="882"/>
      <c r="D555" s="882"/>
      <c r="E555" s="882"/>
      <c r="F555" s="882"/>
      <c r="G555" s="882"/>
      <c r="H555" s="882"/>
      <c r="I555" s="882"/>
      <c r="J555" s="882"/>
      <c r="K555" s="882"/>
      <c r="L555" s="882"/>
      <c r="M555" s="882"/>
      <c r="N555" s="882"/>
      <c r="O555" s="882"/>
      <c r="P555" s="882"/>
      <c r="Q555" s="882"/>
      <c r="R555" s="882"/>
      <c r="S555" s="882"/>
      <c r="T555" s="882"/>
      <c r="U555" s="882"/>
      <c r="V555" s="882"/>
      <c r="X555" s="38">
        <f>'[2]Приложение 1'!T551</f>
        <v>4503.95</v>
      </c>
      <c r="Y555" s="9" t="e">
        <f t="shared" si="79"/>
        <v>#DIV/0!</v>
      </c>
      <c r="Z555" s="19" t="e">
        <f t="shared" si="80"/>
        <v>#DIV/0!</v>
      </c>
    </row>
    <row r="556" spans="1:26" ht="20.25" customHeight="1">
      <c r="A556" s="900" t="s">
        <v>271</v>
      </c>
      <c r="B556" s="900"/>
      <c r="C556" s="58"/>
      <c r="D556" s="58"/>
      <c r="E556" s="511">
        <f t="shared" ref="E556:V556" si="99">SUM(E557:E571)</f>
        <v>26785679.310000002</v>
      </c>
      <c r="F556" s="511">
        <f t="shared" si="99"/>
        <v>3851160.22</v>
      </c>
      <c r="G556" s="17">
        <f t="shared" si="99"/>
        <v>0</v>
      </c>
      <c r="H556" s="511">
        <f t="shared" si="99"/>
        <v>0</v>
      </c>
      <c r="I556" s="511">
        <f>SUM(I557:I571)</f>
        <v>6751.0999999999995</v>
      </c>
      <c r="J556" s="511">
        <f t="shared" si="99"/>
        <v>0</v>
      </c>
      <c r="K556" s="511">
        <f t="shared" si="99"/>
        <v>0</v>
      </c>
      <c r="L556" s="511">
        <f t="shared" si="99"/>
        <v>22220647.400000002</v>
      </c>
      <c r="M556" s="511">
        <f t="shared" si="99"/>
        <v>690.2</v>
      </c>
      <c r="N556" s="511">
        <f t="shared" si="99"/>
        <v>173901.59</v>
      </c>
      <c r="O556" s="511">
        <f t="shared" si="99"/>
        <v>0</v>
      </c>
      <c r="P556" s="511">
        <f t="shared" si="99"/>
        <v>0</v>
      </c>
      <c r="Q556" s="511">
        <f t="shared" si="99"/>
        <v>0</v>
      </c>
      <c r="R556" s="511">
        <f t="shared" si="99"/>
        <v>0</v>
      </c>
      <c r="S556" s="511">
        <f t="shared" si="99"/>
        <v>0</v>
      </c>
      <c r="T556" s="511">
        <f t="shared" si="99"/>
        <v>0</v>
      </c>
      <c r="U556" s="511">
        <f t="shared" si="99"/>
        <v>539970.1</v>
      </c>
      <c r="V556" s="511">
        <f t="shared" si="99"/>
        <v>0</v>
      </c>
      <c r="X556" s="38">
        <f>'[2]Приложение 1'!T552</f>
        <v>0</v>
      </c>
      <c r="Y556" s="9">
        <f t="shared" si="79"/>
        <v>3291.4113848113648</v>
      </c>
      <c r="Z556" s="19">
        <f t="shared" si="80"/>
        <v>-3291.4113848113648</v>
      </c>
    </row>
    <row r="557" spans="1:26" ht="9" customHeight="1">
      <c r="A557" s="510">
        <v>165</v>
      </c>
      <c r="B557" s="509" t="s">
        <v>813</v>
      </c>
      <c r="C557" s="58" t="s">
        <v>1192</v>
      </c>
      <c r="D557" s="59" t="s">
        <v>110</v>
      </c>
      <c r="E557" s="511">
        <f t="shared" ref="E557:E571" si="100">F557+H557+L557+N557+P557+R557+S557+T557+U557+V557</f>
        <v>1256918</v>
      </c>
      <c r="F557" s="511">
        <v>0</v>
      </c>
      <c r="G557" s="17">
        <v>0</v>
      </c>
      <c r="H557" s="511">
        <v>0</v>
      </c>
      <c r="I557" s="511">
        <v>377</v>
      </c>
      <c r="J557" s="511"/>
      <c r="K557" s="511"/>
      <c r="L557" s="511">
        <f t="shared" ref="L557:L559" si="101">ROUND(3334*I557,2)</f>
        <v>1256918</v>
      </c>
      <c r="M557" s="511">
        <v>0</v>
      </c>
      <c r="N557" s="511">
        <v>0</v>
      </c>
      <c r="O557" s="511">
        <v>0</v>
      </c>
      <c r="P557" s="511">
        <v>0</v>
      </c>
      <c r="Q557" s="511">
        <v>0</v>
      </c>
      <c r="R557" s="511">
        <v>0</v>
      </c>
      <c r="S557" s="511">
        <v>0</v>
      </c>
      <c r="T557" s="511">
        <v>0</v>
      </c>
      <c r="U557" s="511">
        <v>0</v>
      </c>
      <c r="V557" s="511">
        <v>0</v>
      </c>
      <c r="X557" s="38">
        <f>'[2]Приложение 1'!T553</f>
        <v>0</v>
      </c>
      <c r="Y557" s="9">
        <f t="shared" si="79"/>
        <v>3334</v>
      </c>
      <c r="Z557" s="19">
        <f t="shared" si="80"/>
        <v>-3334</v>
      </c>
    </row>
    <row r="558" spans="1:26" ht="9" customHeight="1">
      <c r="A558" s="510">
        <v>166</v>
      </c>
      <c r="B558" s="509" t="s">
        <v>814</v>
      </c>
      <c r="C558" s="58" t="s">
        <v>1192</v>
      </c>
      <c r="D558" s="59" t="s">
        <v>110</v>
      </c>
      <c r="E558" s="511">
        <f t="shared" si="100"/>
        <v>1500300</v>
      </c>
      <c r="F558" s="511">
        <v>0</v>
      </c>
      <c r="G558" s="17">
        <v>0</v>
      </c>
      <c r="H558" s="511">
        <v>0</v>
      </c>
      <c r="I558" s="511">
        <v>450</v>
      </c>
      <c r="J558" s="511"/>
      <c r="K558" s="511"/>
      <c r="L558" s="511">
        <f t="shared" si="101"/>
        <v>1500300</v>
      </c>
      <c r="M558" s="511">
        <v>0</v>
      </c>
      <c r="N558" s="511">
        <v>0</v>
      </c>
      <c r="O558" s="511">
        <v>0</v>
      </c>
      <c r="P558" s="511">
        <v>0</v>
      </c>
      <c r="Q558" s="511">
        <v>0</v>
      </c>
      <c r="R558" s="511">
        <v>0</v>
      </c>
      <c r="S558" s="511">
        <v>0</v>
      </c>
      <c r="T558" s="511">
        <v>0</v>
      </c>
      <c r="U558" s="511">
        <v>0</v>
      </c>
      <c r="V558" s="511">
        <v>0</v>
      </c>
      <c r="X558" s="38">
        <f>'[2]Приложение 1'!T554</f>
        <v>4180</v>
      </c>
      <c r="Y558" s="9">
        <f t="shared" si="79"/>
        <v>3334</v>
      </c>
      <c r="Z558" s="19">
        <f t="shared" si="80"/>
        <v>846</v>
      </c>
    </row>
    <row r="559" spans="1:26" ht="9" customHeight="1">
      <c r="A559" s="510">
        <v>167</v>
      </c>
      <c r="B559" s="509" t="s">
        <v>815</v>
      </c>
      <c r="C559" s="58" t="s">
        <v>1192</v>
      </c>
      <c r="D559" s="59" t="s">
        <v>110</v>
      </c>
      <c r="E559" s="511">
        <f t="shared" si="100"/>
        <v>733480</v>
      </c>
      <c r="F559" s="511">
        <v>0</v>
      </c>
      <c r="G559" s="17">
        <v>0</v>
      </c>
      <c r="H559" s="511">
        <v>0</v>
      </c>
      <c r="I559" s="511">
        <v>220</v>
      </c>
      <c r="J559" s="511"/>
      <c r="K559" s="511"/>
      <c r="L559" s="511">
        <f t="shared" si="101"/>
        <v>733480</v>
      </c>
      <c r="M559" s="511">
        <v>0</v>
      </c>
      <c r="N559" s="511">
        <v>0</v>
      </c>
      <c r="O559" s="511">
        <v>0</v>
      </c>
      <c r="P559" s="511">
        <v>0</v>
      </c>
      <c r="Q559" s="511">
        <v>0</v>
      </c>
      <c r="R559" s="511">
        <v>0</v>
      </c>
      <c r="S559" s="511">
        <v>0</v>
      </c>
      <c r="T559" s="511">
        <v>0</v>
      </c>
      <c r="U559" s="511">
        <v>0</v>
      </c>
      <c r="V559" s="511">
        <v>0</v>
      </c>
      <c r="X559" s="38">
        <f>'[2]Приложение 1'!T555</f>
        <v>4180</v>
      </c>
      <c r="Y559" s="9">
        <f t="shared" si="79"/>
        <v>3334</v>
      </c>
      <c r="Z559" s="19">
        <f t="shared" si="80"/>
        <v>846</v>
      </c>
    </row>
    <row r="560" spans="1:26" ht="9" customHeight="1">
      <c r="A560" s="510">
        <v>168</v>
      </c>
      <c r="B560" s="509" t="s">
        <v>816</v>
      </c>
      <c r="C560" s="58" t="s">
        <v>1192</v>
      </c>
      <c r="D560" s="59" t="s">
        <v>111</v>
      </c>
      <c r="E560" s="511">
        <f t="shared" si="100"/>
        <v>1941046.8</v>
      </c>
      <c r="F560" s="511">
        <v>0</v>
      </c>
      <c r="G560" s="17">
        <v>0</v>
      </c>
      <c r="H560" s="511">
        <v>0</v>
      </c>
      <c r="I560" s="511">
        <v>600.20000000000005</v>
      </c>
      <c r="J560" s="511"/>
      <c r="K560" s="511"/>
      <c r="L560" s="511">
        <f>ROUND(3234*I560,2)</f>
        <v>1941046.8</v>
      </c>
      <c r="M560" s="511">
        <v>0</v>
      </c>
      <c r="N560" s="511">
        <v>0</v>
      </c>
      <c r="O560" s="511">
        <v>0</v>
      </c>
      <c r="P560" s="511">
        <v>0</v>
      </c>
      <c r="Q560" s="511">
        <v>0</v>
      </c>
      <c r="R560" s="511">
        <v>0</v>
      </c>
      <c r="S560" s="511">
        <v>0</v>
      </c>
      <c r="T560" s="511">
        <v>0</v>
      </c>
      <c r="U560" s="511">
        <v>0</v>
      </c>
      <c r="V560" s="511">
        <v>0</v>
      </c>
      <c r="X560" s="38">
        <f>'[2]Приложение 1'!T556</f>
        <v>4180</v>
      </c>
      <c r="Y560" s="9">
        <f t="shared" si="79"/>
        <v>3234</v>
      </c>
      <c r="Z560" s="19">
        <f t="shared" si="80"/>
        <v>946</v>
      </c>
    </row>
    <row r="561" spans="1:26" ht="9" customHeight="1">
      <c r="A561" s="510">
        <v>169</v>
      </c>
      <c r="B561" s="509" t="s">
        <v>817</v>
      </c>
      <c r="C561" s="58" t="s">
        <v>1192</v>
      </c>
      <c r="D561" s="59" t="s">
        <v>110</v>
      </c>
      <c r="E561" s="511">
        <f t="shared" si="100"/>
        <v>1646996</v>
      </c>
      <c r="F561" s="511">
        <v>0</v>
      </c>
      <c r="G561" s="17">
        <v>0</v>
      </c>
      <c r="H561" s="511">
        <v>0</v>
      </c>
      <c r="I561" s="511">
        <v>494</v>
      </c>
      <c r="J561" s="511"/>
      <c r="K561" s="511"/>
      <c r="L561" s="511">
        <f t="shared" ref="L561:L562" si="102">ROUND(3334*I561,2)</f>
        <v>1646996</v>
      </c>
      <c r="M561" s="511">
        <v>0</v>
      </c>
      <c r="N561" s="511">
        <v>0</v>
      </c>
      <c r="O561" s="511">
        <v>0</v>
      </c>
      <c r="P561" s="511">
        <v>0</v>
      </c>
      <c r="Q561" s="511">
        <v>0</v>
      </c>
      <c r="R561" s="511">
        <v>0</v>
      </c>
      <c r="S561" s="511">
        <v>0</v>
      </c>
      <c r="T561" s="511">
        <v>0</v>
      </c>
      <c r="U561" s="511">
        <v>0</v>
      </c>
      <c r="V561" s="511">
        <v>0</v>
      </c>
      <c r="X561" s="38">
        <f>'[2]Приложение 1'!T557</f>
        <v>4503.95</v>
      </c>
      <c r="Y561" s="9">
        <f t="shared" si="79"/>
        <v>3334</v>
      </c>
      <c r="Z561" s="19">
        <f t="shared" si="80"/>
        <v>1169.9499999999998</v>
      </c>
    </row>
    <row r="562" spans="1:26" ht="9" customHeight="1">
      <c r="A562" s="510">
        <v>170</v>
      </c>
      <c r="B562" s="509" t="s">
        <v>818</v>
      </c>
      <c r="C562" s="58" t="s">
        <v>1192</v>
      </c>
      <c r="D562" s="59" t="s">
        <v>110</v>
      </c>
      <c r="E562" s="511">
        <f t="shared" si="100"/>
        <v>3000600</v>
      </c>
      <c r="F562" s="511">
        <v>0</v>
      </c>
      <c r="G562" s="17">
        <v>0</v>
      </c>
      <c r="H562" s="511">
        <v>0</v>
      </c>
      <c r="I562" s="511">
        <v>900</v>
      </c>
      <c r="J562" s="511"/>
      <c r="K562" s="511"/>
      <c r="L562" s="511">
        <f t="shared" si="102"/>
        <v>3000600</v>
      </c>
      <c r="M562" s="511">
        <v>0</v>
      </c>
      <c r="N562" s="511">
        <v>0</v>
      </c>
      <c r="O562" s="511">
        <v>0</v>
      </c>
      <c r="P562" s="511">
        <v>0</v>
      </c>
      <c r="Q562" s="511">
        <v>0</v>
      </c>
      <c r="R562" s="511">
        <v>0</v>
      </c>
      <c r="S562" s="511">
        <v>0</v>
      </c>
      <c r="T562" s="511">
        <v>0</v>
      </c>
      <c r="U562" s="511">
        <v>0</v>
      </c>
      <c r="V562" s="511">
        <v>0</v>
      </c>
      <c r="X562" s="38">
        <f>'[2]Приложение 1'!T558</f>
        <v>4180</v>
      </c>
      <c r="Y562" s="9">
        <f t="shared" si="79"/>
        <v>3334</v>
      </c>
      <c r="Z562" s="19">
        <f t="shared" si="80"/>
        <v>846</v>
      </c>
    </row>
    <row r="563" spans="1:26" ht="9" customHeight="1">
      <c r="A563" s="510">
        <v>171</v>
      </c>
      <c r="B563" s="509" t="s">
        <v>819</v>
      </c>
      <c r="C563" s="58" t="s">
        <v>1192</v>
      </c>
      <c r="D563" s="59" t="s">
        <v>111</v>
      </c>
      <c r="E563" s="511">
        <f t="shared" si="100"/>
        <v>2425500</v>
      </c>
      <c r="F563" s="511">
        <v>0</v>
      </c>
      <c r="G563" s="17">
        <v>0</v>
      </c>
      <c r="H563" s="511">
        <v>0</v>
      </c>
      <c r="I563" s="511">
        <v>750</v>
      </c>
      <c r="J563" s="511"/>
      <c r="K563" s="511"/>
      <c r="L563" s="511">
        <f>ROUND(3234*I563,2)</f>
        <v>2425500</v>
      </c>
      <c r="M563" s="511">
        <v>0</v>
      </c>
      <c r="N563" s="511">
        <v>0</v>
      </c>
      <c r="O563" s="511">
        <v>0</v>
      </c>
      <c r="P563" s="511">
        <v>0</v>
      </c>
      <c r="Q563" s="511">
        <v>0</v>
      </c>
      <c r="R563" s="511">
        <v>0</v>
      </c>
      <c r="S563" s="511">
        <v>0</v>
      </c>
      <c r="T563" s="511">
        <v>0</v>
      </c>
      <c r="U563" s="511">
        <v>0</v>
      </c>
      <c r="V563" s="511">
        <v>0</v>
      </c>
      <c r="X563" s="38">
        <f>'[2]Приложение 1'!T559</f>
        <v>4180</v>
      </c>
      <c r="Y563" s="9">
        <f t="shared" si="79"/>
        <v>3234</v>
      </c>
      <c r="Z563" s="19">
        <f t="shared" si="80"/>
        <v>946</v>
      </c>
    </row>
    <row r="564" spans="1:26" ht="9" customHeight="1">
      <c r="A564" s="510">
        <v>172</v>
      </c>
      <c r="B564" s="509" t="s">
        <v>820</v>
      </c>
      <c r="C564" s="58" t="s">
        <v>1192</v>
      </c>
      <c r="D564" s="59" t="s">
        <v>111</v>
      </c>
      <c r="E564" s="511">
        <f t="shared" si="100"/>
        <v>2425500</v>
      </c>
      <c r="F564" s="511">
        <v>0</v>
      </c>
      <c r="G564" s="17">
        <v>0</v>
      </c>
      <c r="H564" s="511">
        <v>0</v>
      </c>
      <c r="I564" s="511">
        <v>750</v>
      </c>
      <c r="J564" s="511"/>
      <c r="K564" s="511"/>
      <c r="L564" s="511">
        <f>ROUND(3234*I564,2)</f>
        <v>2425500</v>
      </c>
      <c r="M564" s="511">
        <v>0</v>
      </c>
      <c r="N564" s="511">
        <v>0</v>
      </c>
      <c r="O564" s="511">
        <v>0</v>
      </c>
      <c r="P564" s="511">
        <v>0</v>
      </c>
      <c r="Q564" s="511">
        <v>0</v>
      </c>
      <c r="R564" s="511">
        <v>0</v>
      </c>
      <c r="S564" s="511">
        <v>0</v>
      </c>
      <c r="T564" s="511">
        <v>0</v>
      </c>
      <c r="U564" s="511">
        <v>0</v>
      </c>
      <c r="V564" s="511">
        <v>0</v>
      </c>
      <c r="X564" s="38">
        <f>'[2]Приложение 1'!T560</f>
        <v>4503.95</v>
      </c>
      <c r="Y564" s="9">
        <f t="shared" si="79"/>
        <v>3234</v>
      </c>
      <c r="Z564" s="19">
        <f t="shared" si="80"/>
        <v>1269.9499999999998</v>
      </c>
    </row>
    <row r="565" spans="1:26" ht="9" customHeight="1">
      <c r="A565" s="510">
        <v>173</v>
      </c>
      <c r="B565" s="509" t="s">
        <v>821</v>
      </c>
      <c r="C565" s="58" t="s">
        <v>1192</v>
      </c>
      <c r="D565" s="59" t="s">
        <v>110</v>
      </c>
      <c r="E565" s="511">
        <f t="shared" si="100"/>
        <v>2300460</v>
      </c>
      <c r="F565" s="511">
        <v>0</v>
      </c>
      <c r="G565" s="17">
        <v>0</v>
      </c>
      <c r="H565" s="511">
        <v>0</v>
      </c>
      <c r="I565" s="511">
        <v>690</v>
      </c>
      <c r="J565" s="511"/>
      <c r="K565" s="511"/>
      <c r="L565" s="511">
        <f t="shared" ref="L565:L566" si="103">ROUND(3334*I565,2)</f>
        <v>2300460</v>
      </c>
      <c r="M565" s="511">
        <v>0</v>
      </c>
      <c r="N565" s="511">
        <v>0</v>
      </c>
      <c r="O565" s="511">
        <v>0</v>
      </c>
      <c r="P565" s="511">
        <v>0</v>
      </c>
      <c r="Q565" s="511">
        <v>0</v>
      </c>
      <c r="R565" s="511">
        <v>0</v>
      </c>
      <c r="S565" s="511">
        <v>0</v>
      </c>
      <c r="T565" s="511">
        <v>0</v>
      </c>
      <c r="U565" s="511">
        <v>0</v>
      </c>
      <c r="V565" s="511">
        <v>0</v>
      </c>
      <c r="X565" s="38">
        <f>'[2]Приложение 1'!T561</f>
        <v>4503.95</v>
      </c>
      <c r="Y565" s="9">
        <f t="shared" si="79"/>
        <v>3334</v>
      </c>
      <c r="Z565" s="19">
        <f t="shared" si="80"/>
        <v>1169.9499999999998</v>
      </c>
    </row>
    <row r="566" spans="1:26" ht="9" customHeight="1">
      <c r="A566" s="510">
        <v>174</v>
      </c>
      <c r="B566" s="509" t="s">
        <v>822</v>
      </c>
      <c r="C566" s="58" t="s">
        <v>1192</v>
      </c>
      <c r="D566" s="59" t="s">
        <v>110</v>
      </c>
      <c r="E566" s="511">
        <f t="shared" si="100"/>
        <v>1043208.6</v>
      </c>
      <c r="F566" s="511">
        <v>0</v>
      </c>
      <c r="G566" s="17">
        <v>0</v>
      </c>
      <c r="H566" s="511">
        <v>0</v>
      </c>
      <c r="I566" s="511">
        <v>312.89999999999998</v>
      </c>
      <c r="J566" s="511"/>
      <c r="K566" s="511"/>
      <c r="L566" s="511">
        <f t="shared" si="103"/>
        <v>1043208.6</v>
      </c>
      <c r="M566" s="511">
        <v>0</v>
      </c>
      <c r="N566" s="511">
        <v>0</v>
      </c>
      <c r="O566" s="511">
        <v>0</v>
      </c>
      <c r="P566" s="511">
        <v>0</v>
      </c>
      <c r="Q566" s="511">
        <v>0</v>
      </c>
      <c r="R566" s="511">
        <v>0</v>
      </c>
      <c r="S566" s="511">
        <v>0</v>
      </c>
      <c r="T566" s="511">
        <v>0</v>
      </c>
      <c r="U566" s="511">
        <v>0</v>
      </c>
      <c r="V566" s="511">
        <v>0</v>
      </c>
      <c r="X566" s="38">
        <f>'[2]Приложение 1'!T562</f>
        <v>4180</v>
      </c>
      <c r="Y566" s="9">
        <f t="shared" si="79"/>
        <v>3334</v>
      </c>
      <c r="Z566" s="19">
        <f t="shared" si="80"/>
        <v>846</v>
      </c>
    </row>
    <row r="567" spans="1:26" ht="9" customHeight="1">
      <c r="A567" s="510">
        <v>175</v>
      </c>
      <c r="B567" s="509" t="s">
        <v>823</v>
      </c>
      <c r="C567" s="58" t="s">
        <v>1197</v>
      </c>
      <c r="D567" s="59" t="s">
        <v>111</v>
      </c>
      <c r="E567" s="511">
        <f t="shared" si="100"/>
        <v>2497228.5999999996</v>
      </c>
      <c r="F567" s="511">
        <f>ROUND(904.2*(210+1200+220+370+303.05),2)</f>
        <v>2082417.81</v>
      </c>
      <c r="G567" s="17">
        <v>0</v>
      </c>
      <c r="H567" s="511">
        <v>0</v>
      </c>
      <c r="I567" s="511">
        <v>0</v>
      </c>
      <c r="J567" s="511"/>
      <c r="K567" s="511"/>
      <c r="L567" s="511">
        <v>0</v>
      </c>
      <c r="M567" s="511">
        <v>470.9</v>
      </c>
      <c r="N567" s="511">
        <v>122835.57</v>
      </c>
      <c r="O567" s="511">
        <v>0</v>
      </c>
      <c r="P567" s="511">
        <v>0</v>
      </c>
      <c r="Q567" s="511">
        <v>0</v>
      </c>
      <c r="R567" s="511">
        <v>0</v>
      </c>
      <c r="S567" s="511">
        <v>0</v>
      </c>
      <c r="T567" s="511">
        <v>0</v>
      </c>
      <c r="U567" s="511">
        <f>ROUND(904.2*322.91,2)</f>
        <v>291975.21999999997</v>
      </c>
      <c r="V567" s="511">
        <v>0</v>
      </c>
      <c r="X567" s="38">
        <f>'[2]Приложение 1'!T563</f>
        <v>4180</v>
      </c>
      <c r="Y567" s="9" t="e">
        <f t="shared" si="79"/>
        <v>#DIV/0!</v>
      </c>
      <c r="Z567" s="19" t="e">
        <f t="shared" si="80"/>
        <v>#DIV/0!</v>
      </c>
    </row>
    <row r="568" spans="1:26" ht="9" customHeight="1">
      <c r="A568" s="510">
        <v>176</v>
      </c>
      <c r="B568" s="509" t="s">
        <v>824</v>
      </c>
      <c r="C568" s="58" t="s">
        <v>1197</v>
      </c>
      <c r="D568" s="59" t="s">
        <v>110</v>
      </c>
      <c r="E568" s="511">
        <f t="shared" si="100"/>
        <v>1038164.39</v>
      </c>
      <c r="F568" s="511">
        <f>ROUND(375.9*(210+1200+220+370+303.05),2)</f>
        <v>865716.5</v>
      </c>
      <c r="G568" s="17">
        <v>0</v>
      </c>
      <c r="H568" s="511">
        <v>0</v>
      </c>
      <c r="I568" s="511">
        <v>0</v>
      </c>
      <c r="J568" s="511"/>
      <c r="K568" s="511"/>
      <c r="L568" s="511">
        <v>0</v>
      </c>
      <c r="M568" s="511">
        <v>219.3</v>
      </c>
      <c r="N568" s="511">
        <v>51066.02</v>
      </c>
      <c r="O568" s="511">
        <v>0</v>
      </c>
      <c r="P568" s="511">
        <v>0</v>
      </c>
      <c r="Q568" s="511">
        <v>0</v>
      </c>
      <c r="R568" s="511">
        <v>0</v>
      </c>
      <c r="S568" s="511">
        <v>0</v>
      </c>
      <c r="T568" s="511">
        <v>0</v>
      </c>
      <c r="U568" s="511">
        <f>ROUND(375.9*322.91,2)</f>
        <v>121381.87</v>
      </c>
      <c r="V568" s="511">
        <v>0</v>
      </c>
      <c r="X568" s="38">
        <f>'[2]Приложение 1'!T564</f>
        <v>5479.99</v>
      </c>
      <c r="Y568" s="9" t="e">
        <f t="shared" si="79"/>
        <v>#DIV/0!</v>
      </c>
      <c r="Z568" s="19" t="e">
        <f t="shared" si="80"/>
        <v>#DIV/0!</v>
      </c>
    </row>
    <row r="569" spans="1:26" ht="9" customHeight="1">
      <c r="A569" s="510">
        <v>177</v>
      </c>
      <c r="B569" s="509" t="s">
        <v>825</v>
      </c>
      <c r="C569" s="58" t="s">
        <v>1192</v>
      </c>
      <c r="D569" s="59" t="s">
        <v>111</v>
      </c>
      <c r="E569" s="511">
        <f t="shared" si="100"/>
        <v>2506350</v>
      </c>
      <c r="F569" s="511">
        <v>0</v>
      </c>
      <c r="G569" s="17">
        <v>0</v>
      </c>
      <c r="H569" s="511">
        <v>0</v>
      </c>
      <c r="I569" s="511">
        <v>775</v>
      </c>
      <c r="J569" s="511"/>
      <c r="K569" s="511"/>
      <c r="L569" s="511">
        <f>ROUND(3234*I569,2)</f>
        <v>2506350</v>
      </c>
      <c r="M569" s="511">
        <v>0</v>
      </c>
      <c r="N569" s="511">
        <v>0</v>
      </c>
      <c r="O569" s="511">
        <v>0</v>
      </c>
      <c r="P569" s="511">
        <v>0</v>
      </c>
      <c r="Q569" s="511">
        <v>0</v>
      </c>
      <c r="R569" s="511">
        <v>0</v>
      </c>
      <c r="S569" s="511">
        <v>0</v>
      </c>
      <c r="T569" s="511">
        <v>0</v>
      </c>
      <c r="U569" s="511">
        <v>0</v>
      </c>
      <c r="V569" s="511">
        <v>0</v>
      </c>
      <c r="X569" s="38">
        <f>'[2]Приложение 1'!T565</f>
        <v>5479.99</v>
      </c>
      <c r="Y569" s="9">
        <f t="shared" si="79"/>
        <v>3234</v>
      </c>
      <c r="Z569" s="19">
        <f t="shared" si="80"/>
        <v>2245.9899999999998</v>
      </c>
    </row>
    <row r="570" spans="1:26" ht="9" customHeight="1">
      <c r="A570" s="510">
        <v>178</v>
      </c>
      <c r="B570" s="509" t="s">
        <v>826</v>
      </c>
      <c r="C570" s="58" t="s">
        <v>1198</v>
      </c>
      <c r="D570" s="59" t="s">
        <v>111</v>
      </c>
      <c r="E570" s="511">
        <f t="shared" si="100"/>
        <v>1029638.92</v>
      </c>
      <c r="F570" s="511">
        <f>ROUND(392.1*(210+1200+220+370+303.05),2)</f>
        <v>903025.91</v>
      </c>
      <c r="G570" s="17">
        <v>0</v>
      </c>
      <c r="H570" s="511">
        <v>0</v>
      </c>
      <c r="I570" s="511">
        <v>0</v>
      </c>
      <c r="J570" s="511"/>
      <c r="K570" s="511"/>
      <c r="L570" s="511">
        <v>0</v>
      </c>
      <c r="M570" s="511">
        <v>0</v>
      </c>
      <c r="N570" s="511">
        <v>0</v>
      </c>
      <c r="O570" s="511">
        <v>0</v>
      </c>
      <c r="P570" s="511">
        <v>0</v>
      </c>
      <c r="Q570" s="511">
        <v>0</v>
      </c>
      <c r="R570" s="511">
        <v>0</v>
      </c>
      <c r="S570" s="511">
        <v>0</v>
      </c>
      <c r="T570" s="511">
        <v>0</v>
      </c>
      <c r="U570" s="511">
        <f>ROUND(392.1*322.91,2)</f>
        <v>126613.01</v>
      </c>
      <c r="V570" s="511">
        <v>0</v>
      </c>
      <c r="X570" s="38">
        <f>'[2]Приложение 1'!T566</f>
        <v>4503.95</v>
      </c>
      <c r="Y570" s="9" t="e">
        <f t="shared" si="79"/>
        <v>#DIV/0!</v>
      </c>
      <c r="Z570" s="19" t="e">
        <f t="shared" si="80"/>
        <v>#DIV/0!</v>
      </c>
    </row>
    <row r="571" spans="1:26" ht="9" customHeight="1">
      <c r="A571" s="510">
        <v>179</v>
      </c>
      <c r="B571" s="509" t="s">
        <v>827</v>
      </c>
      <c r="C571" s="58" t="s">
        <v>1192</v>
      </c>
      <c r="D571" s="59" t="s">
        <v>110</v>
      </c>
      <c r="E571" s="511">
        <f t="shared" si="100"/>
        <v>1440288</v>
      </c>
      <c r="F571" s="511">
        <v>0</v>
      </c>
      <c r="G571" s="17">
        <v>0</v>
      </c>
      <c r="H571" s="511">
        <v>0</v>
      </c>
      <c r="I571" s="511">
        <v>432</v>
      </c>
      <c r="J571" s="511"/>
      <c r="K571" s="511"/>
      <c r="L571" s="511">
        <f t="shared" ref="L571" si="104">ROUND(3334*I571,2)</f>
        <v>1440288</v>
      </c>
      <c r="M571" s="511">
        <v>0</v>
      </c>
      <c r="N571" s="511">
        <v>0</v>
      </c>
      <c r="O571" s="511">
        <v>0</v>
      </c>
      <c r="P571" s="511">
        <v>0</v>
      </c>
      <c r="Q571" s="511">
        <v>0</v>
      </c>
      <c r="R571" s="511">
        <v>0</v>
      </c>
      <c r="S571" s="511">
        <v>0</v>
      </c>
      <c r="T571" s="511">
        <v>0</v>
      </c>
      <c r="U571" s="511">
        <v>0</v>
      </c>
      <c r="V571" s="511">
        <v>0</v>
      </c>
      <c r="X571" s="38">
        <f>'[2]Приложение 1'!T567</f>
        <v>5307.56</v>
      </c>
      <c r="Y571" s="9">
        <f t="shared" ref="Y571:Y634" si="105">L571/I571</f>
        <v>3334</v>
      </c>
      <c r="Z571" s="19">
        <f t="shared" ref="Z571:Z634" si="106">X571-Y571</f>
        <v>1973.5600000000004</v>
      </c>
    </row>
    <row r="572" spans="1:26">
      <c r="A572" s="886" t="s">
        <v>445</v>
      </c>
      <c r="B572" s="886"/>
      <c r="C572" s="886"/>
      <c r="D572" s="886"/>
      <c r="E572" s="886"/>
      <c r="F572" s="886"/>
      <c r="G572" s="886"/>
      <c r="H572" s="886"/>
      <c r="I572" s="886"/>
      <c r="J572" s="886"/>
      <c r="K572" s="886"/>
      <c r="L572" s="886"/>
      <c r="M572" s="886"/>
      <c r="N572" s="886"/>
      <c r="O572" s="886"/>
      <c r="P572" s="886"/>
      <c r="Q572" s="886"/>
      <c r="R572" s="886"/>
      <c r="S572" s="886"/>
      <c r="T572" s="886"/>
      <c r="U572" s="886"/>
      <c r="V572" s="886"/>
      <c r="X572" s="38">
        <f>'[2]Приложение 1'!T568</f>
        <v>4180</v>
      </c>
      <c r="Y572" s="9" t="e">
        <f t="shared" si="105"/>
        <v>#DIV/0!</v>
      </c>
      <c r="Z572" s="19" t="e">
        <f t="shared" si="106"/>
        <v>#DIV/0!</v>
      </c>
    </row>
    <row r="573" spans="1:26" ht="20.25" customHeight="1">
      <c r="A573" s="900" t="s">
        <v>446</v>
      </c>
      <c r="B573" s="900"/>
      <c r="C573" s="58"/>
      <c r="D573" s="58"/>
      <c r="E573" s="20">
        <f t="shared" ref="E573:V573" si="107">SUM(E574:E575)</f>
        <v>1508098</v>
      </c>
      <c r="F573" s="20">
        <f t="shared" si="107"/>
        <v>107818</v>
      </c>
      <c r="G573" s="33">
        <f t="shared" si="107"/>
        <v>0</v>
      </c>
      <c r="H573" s="20">
        <f t="shared" si="107"/>
        <v>0</v>
      </c>
      <c r="I573" s="20">
        <f>SUM(I574:I575)</f>
        <v>420</v>
      </c>
      <c r="J573" s="20">
        <f t="shared" si="107"/>
        <v>0</v>
      </c>
      <c r="K573" s="20">
        <f t="shared" si="107"/>
        <v>0</v>
      </c>
      <c r="L573" s="20">
        <f t="shared" si="107"/>
        <v>1400280</v>
      </c>
      <c r="M573" s="20">
        <f t="shared" si="107"/>
        <v>0</v>
      </c>
      <c r="N573" s="20">
        <f t="shared" si="107"/>
        <v>0</v>
      </c>
      <c r="O573" s="20">
        <f t="shared" si="107"/>
        <v>0</v>
      </c>
      <c r="P573" s="20">
        <f t="shared" si="107"/>
        <v>0</v>
      </c>
      <c r="Q573" s="20">
        <f t="shared" si="107"/>
        <v>0</v>
      </c>
      <c r="R573" s="20">
        <f t="shared" si="107"/>
        <v>0</v>
      </c>
      <c r="S573" s="20">
        <f t="shared" si="107"/>
        <v>0</v>
      </c>
      <c r="T573" s="20">
        <f t="shared" si="107"/>
        <v>0</v>
      </c>
      <c r="U573" s="20">
        <f t="shared" si="107"/>
        <v>0</v>
      </c>
      <c r="V573" s="20">
        <f t="shared" si="107"/>
        <v>0</v>
      </c>
      <c r="X573" s="38">
        <f>'[2]Приложение 1'!T569</f>
        <v>0</v>
      </c>
      <c r="Y573" s="9">
        <f t="shared" si="105"/>
        <v>3334</v>
      </c>
      <c r="Z573" s="19">
        <f t="shared" si="106"/>
        <v>-3334</v>
      </c>
    </row>
    <row r="574" spans="1:26" ht="9" customHeight="1">
      <c r="A574" s="21">
        <v>180</v>
      </c>
      <c r="B574" s="509" t="s">
        <v>844</v>
      </c>
      <c r="C574" s="58" t="s">
        <v>1008</v>
      </c>
      <c r="D574" s="59" t="s">
        <v>111</v>
      </c>
      <c r="E574" s="511">
        <f t="shared" ref="E574:E575" si="108">F574+H574+L574+N574+P574+R574+S574+T574+U574+V574</f>
        <v>107818</v>
      </c>
      <c r="F574" s="20">
        <f>ROUND(291.4*370,2)</f>
        <v>107818</v>
      </c>
      <c r="G574" s="33">
        <v>0</v>
      </c>
      <c r="H574" s="20">
        <v>0</v>
      </c>
      <c r="I574" s="43">
        <v>0</v>
      </c>
      <c r="J574" s="21"/>
      <c r="K574" s="511"/>
      <c r="L574" s="511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X574" s="38">
        <f>'[2]Приложение 1'!T570</f>
        <v>0</v>
      </c>
      <c r="Y574" s="9" t="e">
        <f t="shared" si="105"/>
        <v>#DIV/0!</v>
      </c>
      <c r="Z574" s="19" t="e">
        <f t="shared" si="106"/>
        <v>#DIV/0!</v>
      </c>
    </row>
    <row r="575" spans="1:26" ht="9" customHeight="1">
      <c r="A575" s="21">
        <v>181</v>
      </c>
      <c r="B575" s="509" t="s">
        <v>845</v>
      </c>
      <c r="C575" s="58" t="s">
        <v>1192</v>
      </c>
      <c r="D575" s="59" t="s">
        <v>110</v>
      </c>
      <c r="E575" s="511">
        <f t="shared" si="108"/>
        <v>1400280</v>
      </c>
      <c r="F575" s="20">
        <v>0</v>
      </c>
      <c r="G575" s="33">
        <v>0</v>
      </c>
      <c r="H575" s="20">
        <v>0</v>
      </c>
      <c r="I575" s="43">
        <v>420</v>
      </c>
      <c r="J575" s="21"/>
      <c r="K575" s="511"/>
      <c r="L575" s="511">
        <f t="shared" ref="L575" si="109">ROUND(3334*I575,2)</f>
        <v>1400280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X575" s="38">
        <f>'[2]Приложение 1'!T571</f>
        <v>4984.6499999999996</v>
      </c>
      <c r="Y575" s="9">
        <f t="shared" si="105"/>
        <v>3334</v>
      </c>
      <c r="Z575" s="19">
        <f t="shared" si="106"/>
        <v>1650.6499999999996</v>
      </c>
    </row>
    <row r="576" spans="1:26" ht="9" customHeight="1">
      <c r="A576" s="886" t="s">
        <v>397</v>
      </c>
      <c r="B576" s="886"/>
      <c r="C576" s="886"/>
      <c r="D576" s="886"/>
      <c r="E576" s="886"/>
      <c r="F576" s="886"/>
      <c r="G576" s="886"/>
      <c r="H576" s="886"/>
      <c r="I576" s="886"/>
      <c r="J576" s="886"/>
      <c r="K576" s="886"/>
      <c r="L576" s="886"/>
      <c r="M576" s="886"/>
      <c r="N576" s="886"/>
      <c r="O576" s="886"/>
      <c r="P576" s="886"/>
      <c r="Q576" s="886"/>
      <c r="R576" s="886"/>
      <c r="S576" s="886"/>
      <c r="T576" s="886"/>
      <c r="U576" s="886"/>
      <c r="V576" s="886"/>
      <c r="X576" s="38">
        <f>'[2]Приложение 1'!T572</f>
        <v>4180</v>
      </c>
      <c r="Y576" s="9" t="e">
        <f t="shared" si="105"/>
        <v>#DIV/0!</v>
      </c>
      <c r="Z576" s="19" t="e">
        <f t="shared" si="106"/>
        <v>#DIV/0!</v>
      </c>
    </row>
    <row r="577" spans="1:26" ht="19.5" customHeight="1">
      <c r="A577" s="902" t="s">
        <v>398</v>
      </c>
      <c r="B577" s="902"/>
      <c r="C577" s="66"/>
      <c r="D577" s="66"/>
      <c r="E577" s="20">
        <f t="shared" ref="E577:V577" si="110">SUM(E578:E579)</f>
        <v>3458700</v>
      </c>
      <c r="F577" s="20">
        <f t="shared" si="110"/>
        <v>0</v>
      </c>
      <c r="G577" s="33">
        <f t="shared" si="110"/>
        <v>0</v>
      </c>
      <c r="H577" s="20">
        <f t="shared" si="110"/>
        <v>0</v>
      </c>
      <c r="I577" s="20">
        <f>SUM(I578:I579)</f>
        <v>1050</v>
      </c>
      <c r="J577" s="20">
        <f t="shared" si="110"/>
        <v>0</v>
      </c>
      <c r="K577" s="20">
        <f t="shared" si="110"/>
        <v>0</v>
      </c>
      <c r="L577" s="20">
        <f t="shared" si="110"/>
        <v>3458700</v>
      </c>
      <c r="M577" s="20">
        <f t="shared" si="110"/>
        <v>0</v>
      </c>
      <c r="N577" s="20">
        <f t="shared" si="110"/>
        <v>0</v>
      </c>
      <c r="O577" s="20">
        <f t="shared" si="110"/>
        <v>0</v>
      </c>
      <c r="P577" s="20">
        <f t="shared" si="110"/>
        <v>0</v>
      </c>
      <c r="Q577" s="20">
        <f t="shared" si="110"/>
        <v>0</v>
      </c>
      <c r="R577" s="20">
        <f t="shared" si="110"/>
        <v>0</v>
      </c>
      <c r="S577" s="20">
        <f t="shared" si="110"/>
        <v>0</v>
      </c>
      <c r="T577" s="20">
        <f t="shared" si="110"/>
        <v>0</v>
      </c>
      <c r="U577" s="20">
        <f t="shared" si="110"/>
        <v>0</v>
      </c>
      <c r="V577" s="20">
        <f t="shared" si="110"/>
        <v>0</v>
      </c>
      <c r="X577" s="38">
        <f>'[2]Приложение 1'!T573</f>
        <v>0</v>
      </c>
      <c r="Y577" s="9">
        <f t="shared" si="105"/>
        <v>3294</v>
      </c>
      <c r="Z577" s="19">
        <f t="shared" si="106"/>
        <v>-3294</v>
      </c>
    </row>
    <row r="578" spans="1:26" ht="9" customHeight="1">
      <c r="A578" s="21">
        <v>182</v>
      </c>
      <c r="B578" s="509" t="s">
        <v>843</v>
      </c>
      <c r="C578" s="58" t="s">
        <v>1192</v>
      </c>
      <c r="D578" s="59" t="s">
        <v>111</v>
      </c>
      <c r="E578" s="511">
        <f t="shared" ref="E578:E579" si="111">F578+H578+L578+N578+P578+R578+S578+T578+U578+V578</f>
        <v>1358280</v>
      </c>
      <c r="F578" s="20">
        <v>0</v>
      </c>
      <c r="G578" s="33">
        <v>0</v>
      </c>
      <c r="H578" s="20">
        <v>0</v>
      </c>
      <c r="I578" s="20">
        <v>420</v>
      </c>
      <c r="J578" s="21"/>
      <c r="K578" s="511"/>
      <c r="L578" s="511">
        <f>ROUND(3234*I578,2)</f>
        <v>1358280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X578" s="38">
        <f>'[2]Приложение 1'!T574</f>
        <v>0</v>
      </c>
      <c r="Y578" s="9">
        <f t="shared" si="105"/>
        <v>3234</v>
      </c>
      <c r="Z578" s="19">
        <f t="shared" si="106"/>
        <v>-3234</v>
      </c>
    </row>
    <row r="579" spans="1:26" ht="9" customHeight="1">
      <c r="A579" s="21">
        <v>183</v>
      </c>
      <c r="B579" s="509" t="s">
        <v>846</v>
      </c>
      <c r="C579" s="58" t="s">
        <v>1192</v>
      </c>
      <c r="D579" s="59" t="s">
        <v>110</v>
      </c>
      <c r="E579" s="511">
        <f t="shared" si="111"/>
        <v>2100420</v>
      </c>
      <c r="F579" s="20">
        <v>0</v>
      </c>
      <c r="G579" s="33">
        <v>0</v>
      </c>
      <c r="H579" s="20">
        <v>0</v>
      </c>
      <c r="I579" s="20">
        <v>630</v>
      </c>
      <c r="J579" s="21"/>
      <c r="K579" s="511"/>
      <c r="L579" s="511">
        <f t="shared" ref="L579" si="112">ROUND(3334*I579,2)</f>
        <v>2100420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X579" s="38">
        <f>'[2]Приложение 1'!T575</f>
        <v>4503.95</v>
      </c>
      <c r="Y579" s="9">
        <f t="shared" si="105"/>
        <v>3334</v>
      </c>
      <c r="Z579" s="19">
        <f t="shared" si="106"/>
        <v>1169.9499999999998</v>
      </c>
    </row>
    <row r="580" spans="1:26" ht="9" customHeight="1">
      <c r="A580" s="882" t="s">
        <v>442</v>
      </c>
      <c r="B580" s="882"/>
      <c r="C580" s="882"/>
      <c r="D580" s="882"/>
      <c r="E580" s="882"/>
      <c r="F580" s="882"/>
      <c r="G580" s="882"/>
      <c r="H580" s="882"/>
      <c r="I580" s="882"/>
      <c r="J580" s="882"/>
      <c r="K580" s="882"/>
      <c r="L580" s="882"/>
      <c r="M580" s="882"/>
      <c r="N580" s="882"/>
      <c r="O580" s="882"/>
      <c r="P580" s="882"/>
      <c r="Q580" s="882"/>
      <c r="R580" s="882"/>
      <c r="S580" s="882"/>
      <c r="T580" s="882"/>
      <c r="U580" s="882"/>
      <c r="V580" s="882"/>
      <c r="X580" s="38">
        <f>'[2]Приложение 1'!T576</f>
        <v>4180</v>
      </c>
      <c r="Y580" s="9" t="e">
        <f t="shared" si="105"/>
        <v>#DIV/0!</v>
      </c>
      <c r="Z580" s="19" t="e">
        <f t="shared" si="106"/>
        <v>#DIV/0!</v>
      </c>
    </row>
    <row r="581" spans="1:26" ht="24" customHeight="1">
      <c r="A581" s="900" t="s">
        <v>443</v>
      </c>
      <c r="B581" s="900"/>
      <c r="C581" s="58"/>
      <c r="D581" s="58"/>
      <c r="E581" s="511">
        <f t="shared" ref="E581:V581" si="113">SUM(E582:E582)</f>
        <v>2911295.58</v>
      </c>
      <c r="F581" s="511">
        <f t="shared" si="113"/>
        <v>2414660</v>
      </c>
      <c r="G581" s="17">
        <f t="shared" si="113"/>
        <v>0</v>
      </c>
      <c r="H581" s="511">
        <f t="shared" si="113"/>
        <v>0</v>
      </c>
      <c r="I581" s="511">
        <f t="shared" si="113"/>
        <v>0</v>
      </c>
      <c r="J581" s="511">
        <f t="shared" si="113"/>
        <v>0</v>
      </c>
      <c r="K581" s="511">
        <f t="shared" si="113"/>
        <v>1807.85</v>
      </c>
      <c r="L581" s="511">
        <f t="shared" si="113"/>
        <v>0</v>
      </c>
      <c r="M581" s="511">
        <f t="shared" si="113"/>
        <v>0</v>
      </c>
      <c r="N581" s="511">
        <f t="shared" si="113"/>
        <v>0</v>
      </c>
      <c r="O581" s="511">
        <f t="shared" si="113"/>
        <v>0</v>
      </c>
      <c r="P581" s="511">
        <f t="shared" si="113"/>
        <v>0</v>
      </c>
      <c r="Q581" s="511">
        <f t="shared" si="113"/>
        <v>0</v>
      </c>
      <c r="R581" s="511">
        <f t="shared" si="113"/>
        <v>0</v>
      </c>
      <c r="S581" s="511">
        <f t="shared" si="113"/>
        <v>0</v>
      </c>
      <c r="T581" s="511">
        <f t="shared" si="113"/>
        <v>0</v>
      </c>
      <c r="U581" s="511">
        <f t="shared" si="113"/>
        <v>496635.58</v>
      </c>
      <c r="V581" s="511">
        <f t="shared" si="113"/>
        <v>0</v>
      </c>
      <c r="X581" s="38">
        <f>'[2]Приложение 1'!T577</f>
        <v>0</v>
      </c>
      <c r="Y581" s="9" t="e">
        <f t="shared" si="105"/>
        <v>#DIV/0!</v>
      </c>
      <c r="Z581" s="19" t="e">
        <f t="shared" si="106"/>
        <v>#DIV/0!</v>
      </c>
    </row>
    <row r="582" spans="1:26" ht="9" customHeight="1">
      <c r="A582" s="510">
        <v>184</v>
      </c>
      <c r="B582" s="509" t="s">
        <v>850</v>
      </c>
      <c r="C582" s="58" t="s">
        <v>1211</v>
      </c>
      <c r="D582" s="59" t="s">
        <v>111</v>
      </c>
      <c r="E582" s="511">
        <f t="shared" ref="E582" si="114">F582+H582+L582+N582+P582+R582+S582+T582+U582+V582</f>
        <v>2911295.58</v>
      </c>
      <c r="F582" s="511">
        <f>ROUND(1538*(370+1200),2)</f>
        <v>2414660</v>
      </c>
      <c r="G582" s="17">
        <v>0</v>
      </c>
      <c r="H582" s="511">
        <v>0</v>
      </c>
      <c r="I582" s="511">
        <v>0</v>
      </c>
      <c r="J582" s="511" t="s">
        <v>290</v>
      </c>
      <c r="K582" s="511">
        <f t="shared" ref="K582" si="115">(190+910+260+200+170)*1.045</f>
        <v>1807.85</v>
      </c>
      <c r="L582" s="511">
        <v>0</v>
      </c>
      <c r="M582" s="511">
        <v>0</v>
      </c>
      <c r="N582" s="511">
        <v>0</v>
      </c>
      <c r="O582" s="511">
        <v>0</v>
      </c>
      <c r="P582" s="511">
        <v>0</v>
      </c>
      <c r="Q582" s="511">
        <v>0</v>
      </c>
      <c r="R582" s="511">
        <v>0</v>
      </c>
      <c r="S582" s="511">
        <v>0</v>
      </c>
      <c r="T582" s="511">
        <v>0</v>
      </c>
      <c r="U582" s="511">
        <f>ROUND(1538*322.91,2)</f>
        <v>496635.58</v>
      </c>
      <c r="V582" s="511">
        <v>0</v>
      </c>
      <c r="X582" s="38">
        <f>'[2]Приложение 1'!T578</f>
        <v>0</v>
      </c>
      <c r="Y582" s="9" t="e">
        <f t="shared" si="105"/>
        <v>#DIV/0!</v>
      </c>
      <c r="Z582" s="19" t="e">
        <f t="shared" si="106"/>
        <v>#DIV/0!</v>
      </c>
    </row>
    <row r="583" spans="1:26" ht="9" customHeight="1">
      <c r="A583" s="882" t="s">
        <v>447</v>
      </c>
      <c r="B583" s="882"/>
      <c r="C583" s="882"/>
      <c r="D583" s="882"/>
      <c r="E583" s="882"/>
      <c r="F583" s="882"/>
      <c r="G583" s="882"/>
      <c r="H583" s="882"/>
      <c r="I583" s="882"/>
      <c r="J583" s="882"/>
      <c r="K583" s="882"/>
      <c r="L583" s="882"/>
      <c r="M583" s="882"/>
      <c r="N583" s="882"/>
      <c r="O583" s="882"/>
      <c r="P583" s="882"/>
      <c r="Q583" s="882"/>
      <c r="R583" s="882"/>
      <c r="S583" s="882"/>
      <c r="T583" s="882"/>
      <c r="U583" s="882"/>
      <c r="V583" s="882"/>
      <c r="X583" s="38">
        <f>'[2]Приложение 1'!T579</f>
        <v>5307.5599999999995</v>
      </c>
      <c r="Y583" s="9" t="e">
        <f t="shared" si="105"/>
        <v>#DIV/0!</v>
      </c>
      <c r="Z583" s="19" t="e">
        <f t="shared" si="106"/>
        <v>#DIV/0!</v>
      </c>
    </row>
    <row r="584" spans="1:26" ht="32.25" customHeight="1">
      <c r="A584" s="900" t="s">
        <v>448</v>
      </c>
      <c r="B584" s="900"/>
      <c r="C584" s="58"/>
      <c r="D584" s="58"/>
      <c r="E584" s="511">
        <f t="shared" ref="E584:V584" si="116">SUM(E585:E585)</f>
        <v>1856316</v>
      </c>
      <c r="F584" s="511">
        <f t="shared" si="116"/>
        <v>0</v>
      </c>
      <c r="G584" s="17">
        <f t="shared" si="116"/>
        <v>0</v>
      </c>
      <c r="H584" s="511">
        <f t="shared" si="116"/>
        <v>0</v>
      </c>
      <c r="I584" s="511">
        <f t="shared" si="116"/>
        <v>574</v>
      </c>
      <c r="J584" s="511">
        <f t="shared" si="116"/>
        <v>0</v>
      </c>
      <c r="K584" s="511">
        <f t="shared" si="116"/>
        <v>0</v>
      </c>
      <c r="L584" s="511">
        <f t="shared" si="116"/>
        <v>1856316</v>
      </c>
      <c r="M584" s="511">
        <f t="shared" si="116"/>
        <v>0</v>
      </c>
      <c r="N584" s="511">
        <f t="shared" si="116"/>
        <v>0</v>
      </c>
      <c r="O584" s="511">
        <f t="shared" si="116"/>
        <v>0</v>
      </c>
      <c r="P584" s="511">
        <f t="shared" si="116"/>
        <v>0</v>
      </c>
      <c r="Q584" s="511">
        <f t="shared" si="116"/>
        <v>0</v>
      </c>
      <c r="R584" s="511">
        <f t="shared" si="116"/>
        <v>0</v>
      </c>
      <c r="S584" s="511">
        <f t="shared" si="116"/>
        <v>0</v>
      </c>
      <c r="T584" s="511">
        <f t="shared" si="116"/>
        <v>0</v>
      </c>
      <c r="U584" s="511">
        <f t="shared" si="116"/>
        <v>0</v>
      </c>
      <c r="V584" s="511">
        <f t="shared" si="116"/>
        <v>0</v>
      </c>
      <c r="X584" s="38">
        <f>'[2]Приложение 1'!T580</f>
        <v>0</v>
      </c>
      <c r="Y584" s="9">
        <f t="shared" si="105"/>
        <v>3234</v>
      </c>
      <c r="Z584" s="19">
        <f t="shared" si="106"/>
        <v>-3234</v>
      </c>
    </row>
    <row r="585" spans="1:26" ht="9" customHeight="1">
      <c r="A585" s="510">
        <v>185</v>
      </c>
      <c r="B585" s="509" t="s">
        <v>857</v>
      </c>
      <c r="C585" s="58" t="s">
        <v>1192</v>
      </c>
      <c r="D585" s="58" t="s">
        <v>111</v>
      </c>
      <c r="E585" s="511">
        <f t="shared" ref="E585" si="117">F585+H585+L585+N585+P585+R585+S585+T585+U585+V585</f>
        <v>1856316</v>
      </c>
      <c r="F585" s="511">
        <v>0</v>
      </c>
      <c r="G585" s="17">
        <v>0</v>
      </c>
      <c r="H585" s="511">
        <v>0</v>
      </c>
      <c r="I585" s="511">
        <v>574</v>
      </c>
      <c r="J585" s="511"/>
      <c r="K585" s="511"/>
      <c r="L585" s="511">
        <f>ROUND(3234*I585,2)</f>
        <v>1856316</v>
      </c>
      <c r="M585" s="511">
        <v>0</v>
      </c>
      <c r="N585" s="511">
        <v>0</v>
      </c>
      <c r="O585" s="511">
        <v>0</v>
      </c>
      <c r="P585" s="511">
        <v>0</v>
      </c>
      <c r="Q585" s="511">
        <v>0</v>
      </c>
      <c r="R585" s="511">
        <v>0</v>
      </c>
      <c r="S585" s="511">
        <v>0</v>
      </c>
      <c r="T585" s="511">
        <v>0</v>
      </c>
      <c r="U585" s="511">
        <v>0</v>
      </c>
      <c r="V585" s="511">
        <v>0</v>
      </c>
      <c r="X585" s="38">
        <f>'[2]Приложение 1'!T581</f>
        <v>0</v>
      </c>
      <c r="Y585" s="9">
        <f t="shared" si="105"/>
        <v>3234</v>
      </c>
      <c r="Z585" s="19">
        <f t="shared" si="106"/>
        <v>-3234</v>
      </c>
    </row>
    <row r="586" spans="1:26" ht="9" customHeight="1">
      <c r="A586" s="882" t="s">
        <v>861</v>
      </c>
      <c r="B586" s="882"/>
      <c r="C586" s="882"/>
      <c r="D586" s="882"/>
      <c r="E586" s="882"/>
      <c r="F586" s="882"/>
      <c r="G586" s="882"/>
      <c r="H586" s="882"/>
      <c r="I586" s="882"/>
      <c r="J586" s="882"/>
      <c r="K586" s="882"/>
      <c r="L586" s="882"/>
      <c r="M586" s="882"/>
      <c r="N586" s="882"/>
      <c r="O586" s="882"/>
      <c r="P586" s="882"/>
      <c r="Q586" s="882"/>
      <c r="R586" s="882"/>
      <c r="S586" s="882"/>
      <c r="T586" s="882"/>
      <c r="U586" s="882"/>
      <c r="V586" s="882"/>
      <c r="X586" s="38">
        <f>'[2]Приложение 1'!T582</f>
        <v>4503.95</v>
      </c>
      <c r="Y586" s="9" t="e">
        <f t="shared" si="105"/>
        <v>#DIV/0!</v>
      </c>
      <c r="Z586" s="19" t="e">
        <f t="shared" si="106"/>
        <v>#DIV/0!</v>
      </c>
    </row>
    <row r="587" spans="1:26" ht="25.5" customHeight="1">
      <c r="A587" s="900" t="s">
        <v>1014</v>
      </c>
      <c r="B587" s="900"/>
      <c r="C587" s="58"/>
      <c r="D587" s="58"/>
      <c r="E587" s="511">
        <f>SUM(E588)</f>
        <v>1583650</v>
      </c>
      <c r="F587" s="511">
        <f t="shared" ref="F587:V587" si="118">SUM(F588)</f>
        <v>0</v>
      </c>
      <c r="G587" s="17">
        <f t="shared" si="118"/>
        <v>0</v>
      </c>
      <c r="H587" s="511">
        <f t="shared" si="118"/>
        <v>0</v>
      </c>
      <c r="I587" s="511">
        <f t="shared" si="118"/>
        <v>475</v>
      </c>
      <c r="J587" s="511">
        <f t="shared" si="118"/>
        <v>0</v>
      </c>
      <c r="K587" s="511">
        <f t="shared" si="118"/>
        <v>0</v>
      </c>
      <c r="L587" s="511">
        <f t="shared" si="118"/>
        <v>1583650</v>
      </c>
      <c r="M587" s="511">
        <f t="shared" si="118"/>
        <v>0</v>
      </c>
      <c r="N587" s="511">
        <f t="shared" si="118"/>
        <v>0</v>
      </c>
      <c r="O587" s="511">
        <f t="shared" si="118"/>
        <v>0</v>
      </c>
      <c r="P587" s="511">
        <f t="shared" si="118"/>
        <v>0</v>
      </c>
      <c r="Q587" s="511">
        <f t="shared" si="118"/>
        <v>0</v>
      </c>
      <c r="R587" s="511">
        <f t="shared" si="118"/>
        <v>0</v>
      </c>
      <c r="S587" s="511">
        <f t="shared" si="118"/>
        <v>0</v>
      </c>
      <c r="T587" s="511">
        <f t="shared" si="118"/>
        <v>0</v>
      </c>
      <c r="U587" s="511">
        <f t="shared" si="118"/>
        <v>0</v>
      </c>
      <c r="V587" s="511">
        <f t="shared" si="118"/>
        <v>0</v>
      </c>
      <c r="X587" s="38">
        <f>'[2]Приложение 1'!T583</f>
        <v>0</v>
      </c>
      <c r="Y587" s="9">
        <f t="shared" si="105"/>
        <v>3334</v>
      </c>
      <c r="Z587" s="19">
        <f t="shared" si="106"/>
        <v>-3334</v>
      </c>
    </row>
    <row r="588" spans="1:26" ht="9" customHeight="1">
      <c r="A588" s="735">
        <v>186</v>
      </c>
      <c r="B588" s="509" t="s">
        <v>858</v>
      </c>
      <c r="C588" s="58" t="s">
        <v>1192</v>
      </c>
      <c r="D588" s="58" t="s">
        <v>110</v>
      </c>
      <c r="E588" s="511">
        <f t="shared" ref="E588" si="119">F588+H588+L588+N588+P588+R588+S588+T588+U588+V588</f>
        <v>1583650</v>
      </c>
      <c r="F588" s="511">
        <v>0</v>
      </c>
      <c r="G588" s="17">
        <v>0</v>
      </c>
      <c r="H588" s="511">
        <v>0</v>
      </c>
      <c r="I588" s="511">
        <v>475</v>
      </c>
      <c r="J588" s="511"/>
      <c r="K588" s="511"/>
      <c r="L588" s="511">
        <f t="shared" ref="L588" si="120">ROUND(3334*I588,2)</f>
        <v>1583650</v>
      </c>
      <c r="M588" s="511">
        <v>0</v>
      </c>
      <c r="N588" s="511">
        <v>0</v>
      </c>
      <c r="O588" s="511">
        <v>0</v>
      </c>
      <c r="P588" s="511">
        <v>0</v>
      </c>
      <c r="Q588" s="511">
        <v>0</v>
      </c>
      <c r="R588" s="511">
        <v>0</v>
      </c>
      <c r="S588" s="511">
        <v>0</v>
      </c>
      <c r="T588" s="511">
        <v>0</v>
      </c>
      <c r="U588" s="511">
        <v>0</v>
      </c>
      <c r="V588" s="511">
        <v>0</v>
      </c>
      <c r="X588" s="38">
        <f>'[2]Приложение 1'!T584</f>
        <v>0</v>
      </c>
      <c r="Y588" s="9">
        <f t="shared" si="105"/>
        <v>3334</v>
      </c>
      <c r="Z588" s="19">
        <f t="shared" si="106"/>
        <v>-3334</v>
      </c>
    </row>
    <row r="589" spans="1:26">
      <c r="A589" s="882" t="s">
        <v>409</v>
      </c>
      <c r="B589" s="888"/>
      <c r="C589" s="888"/>
      <c r="D589" s="888"/>
      <c r="E589" s="888"/>
      <c r="F589" s="888"/>
      <c r="G589" s="888"/>
      <c r="H589" s="888"/>
      <c r="I589" s="888"/>
      <c r="J589" s="888"/>
      <c r="K589" s="888"/>
      <c r="L589" s="888"/>
      <c r="M589" s="888"/>
      <c r="N589" s="888"/>
      <c r="O589" s="888"/>
      <c r="P589" s="888"/>
      <c r="Q589" s="888"/>
      <c r="R589" s="888"/>
      <c r="S589" s="888"/>
      <c r="T589" s="888"/>
      <c r="U589" s="888"/>
      <c r="V589" s="888"/>
      <c r="X589" s="38">
        <f>'[2]Приложение 1'!T585</f>
        <v>4180</v>
      </c>
      <c r="Y589" s="9" t="e">
        <f t="shared" si="105"/>
        <v>#DIV/0!</v>
      </c>
      <c r="Z589" s="19" t="e">
        <f t="shared" si="106"/>
        <v>#DIV/0!</v>
      </c>
    </row>
    <row r="590" spans="1:26" ht="32.25" customHeight="1">
      <c r="A590" s="900" t="s">
        <v>410</v>
      </c>
      <c r="B590" s="903"/>
      <c r="C590" s="68"/>
      <c r="D590" s="68"/>
      <c r="E590" s="511">
        <f>SUM(E591)</f>
        <v>1667000</v>
      </c>
      <c r="F590" s="511">
        <f t="shared" ref="F590:V590" si="121">SUM(F591)</f>
        <v>0</v>
      </c>
      <c r="G590" s="17">
        <f t="shared" si="121"/>
        <v>0</v>
      </c>
      <c r="H590" s="511">
        <f t="shared" si="121"/>
        <v>0</v>
      </c>
      <c r="I590" s="511">
        <f t="shared" si="121"/>
        <v>500</v>
      </c>
      <c r="J590" s="511">
        <f t="shared" si="121"/>
        <v>0</v>
      </c>
      <c r="K590" s="511">
        <f t="shared" si="121"/>
        <v>0</v>
      </c>
      <c r="L590" s="511">
        <f t="shared" si="121"/>
        <v>1667000</v>
      </c>
      <c r="M590" s="511">
        <f t="shared" si="121"/>
        <v>0</v>
      </c>
      <c r="N590" s="511">
        <f t="shared" si="121"/>
        <v>0</v>
      </c>
      <c r="O590" s="511">
        <f t="shared" si="121"/>
        <v>0</v>
      </c>
      <c r="P590" s="511">
        <f t="shared" si="121"/>
        <v>0</v>
      </c>
      <c r="Q590" s="511">
        <f t="shared" si="121"/>
        <v>0</v>
      </c>
      <c r="R590" s="511">
        <f t="shared" si="121"/>
        <v>0</v>
      </c>
      <c r="S590" s="511">
        <f t="shared" si="121"/>
        <v>0</v>
      </c>
      <c r="T590" s="511">
        <f t="shared" si="121"/>
        <v>0</v>
      </c>
      <c r="U590" s="511">
        <f t="shared" si="121"/>
        <v>0</v>
      </c>
      <c r="V590" s="511">
        <f t="shared" si="121"/>
        <v>0</v>
      </c>
      <c r="X590" s="38">
        <f>'[2]Приложение 1'!T586</f>
        <v>0</v>
      </c>
      <c r="Y590" s="9">
        <f t="shared" si="105"/>
        <v>3334</v>
      </c>
      <c r="Z590" s="19">
        <f t="shared" si="106"/>
        <v>-3334</v>
      </c>
    </row>
    <row r="591" spans="1:26" ht="9" customHeight="1">
      <c r="A591" s="510">
        <v>187</v>
      </c>
      <c r="B591" s="58" t="s">
        <v>886</v>
      </c>
      <c r="C591" s="58" t="s">
        <v>1192</v>
      </c>
      <c r="D591" s="58" t="s">
        <v>110</v>
      </c>
      <c r="E591" s="511">
        <f t="shared" ref="E591" si="122">F591+H591+L591+N591+P591+R591+S591+T591+U591+V591</f>
        <v>1667000</v>
      </c>
      <c r="F591" s="511">
        <v>0</v>
      </c>
      <c r="G591" s="17">
        <v>0</v>
      </c>
      <c r="H591" s="511">
        <v>0</v>
      </c>
      <c r="I591" s="511">
        <v>500</v>
      </c>
      <c r="J591" s="511"/>
      <c r="K591" s="511"/>
      <c r="L591" s="511">
        <f t="shared" ref="L591" si="123">ROUND(3334*I591,2)</f>
        <v>1667000</v>
      </c>
      <c r="M591" s="511">
        <v>0</v>
      </c>
      <c r="N591" s="511">
        <v>0</v>
      </c>
      <c r="O591" s="511">
        <v>0</v>
      </c>
      <c r="P591" s="511">
        <v>0</v>
      </c>
      <c r="Q591" s="511">
        <v>0</v>
      </c>
      <c r="R591" s="511">
        <v>0</v>
      </c>
      <c r="S591" s="511">
        <v>0</v>
      </c>
      <c r="T591" s="511">
        <v>0</v>
      </c>
      <c r="U591" s="511">
        <v>0</v>
      </c>
      <c r="V591" s="511">
        <v>0</v>
      </c>
      <c r="X591" s="38">
        <f>'[2]Приложение 1'!T587</f>
        <v>0</v>
      </c>
      <c r="Y591" s="9">
        <f t="shared" si="105"/>
        <v>3334</v>
      </c>
      <c r="Z591" s="19">
        <f t="shared" si="106"/>
        <v>-3334</v>
      </c>
    </row>
    <row r="592" spans="1:26" ht="9" customHeight="1">
      <c r="A592" s="882" t="s">
        <v>295</v>
      </c>
      <c r="B592" s="888"/>
      <c r="C592" s="888"/>
      <c r="D592" s="888"/>
      <c r="E592" s="888"/>
      <c r="F592" s="888"/>
      <c r="G592" s="888"/>
      <c r="H592" s="888"/>
      <c r="I592" s="888"/>
      <c r="J592" s="888"/>
      <c r="K592" s="888"/>
      <c r="L592" s="888"/>
      <c r="M592" s="888"/>
      <c r="N592" s="888"/>
      <c r="O592" s="888"/>
      <c r="P592" s="888"/>
      <c r="Q592" s="888"/>
      <c r="R592" s="888"/>
      <c r="S592" s="888"/>
      <c r="T592" s="888"/>
      <c r="U592" s="888"/>
      <c r="V592" s="888"/>
      <c r="X592" s="38">
        <f>'[2]Приложение 1'!T588</f>
        <v>4180</v>
      </c>
      <c r="Y592" s="9" t="e">
        <f t="shared" si="105"/>
        <v>#DIV/0!</v>
      </c>
      <c r="Z592" s="19" t="e">
        <f t="shared" si="106"/>
        <v>#DIV/0!</v>
      </c>
    </row>
    <row r="593" spans="1:26" ht="21" customHeight="1">
      <c r="A593" s="900" t="s">
        <v>301</v>
      </c>
      <c r="B593" s="903"/>
      <c r="C593" s="68"/>
      <c r="D593" s="68"/>
      <c r="E593" s="511">
        <f>SUM(E594:E604)</f>
        <v>38180936.390000001</v>
      </c>
      <c r="F593" s="511">
        <f t="shared" ref="F593:V593" si="124">SUM(F594:F604)</f>
        <v>6548926.8600000003</v>
      </c>
      <c r="G593" s="8">
        <f t="shared" si="124"/>
        <v>2</v>
      </c>
      <c r="H593" s="511">
        <f t="shared" si="124"/>
        <v>3927193.6000000001</v>
      </c>
      <c r="I593" s="511">
        <f>SUM(I594:I604)</f>
        <v>8183.1</v>
      </c>
      <c r="J593" s="511">
        <f t="shared" si="124"/>
        <v>0</v>
      </c>
      <c r="K593" s="511">
        <f t="shared" si="124"/>
        <v>0</v>
      </c>
      <c r="L593" s="511">
        <f t="shared" si="124"/>
        <v>26882945.399999999</v>
      </c>
      <c r="M593" s="511">
        <f t="shared" si="124"/>
        <v>0</v>
      </c>
      <c r="N593" s="511">
        <f t="shared" si="124"/>
        <v>0</v>
      </c>
      <c r="O593" s="511">
        <f t="shared" si="124"/>
        <v>0</v>
      </c>
      <c r="P593" s="511">
        <f t="shared" si="124"/>
        <v>0</v>
      </c>
      <c r="Q593" s="511">
        <f t="shared" si="124"/>
        <v>0</v>
      </c>
      <c r="R593" s="511">
        <f t="shared" si="124"/>
        <v>0</v>
      </c>
      <c r="S593" s="511">
        <f t="shared" si="124"/>
        <v>0</v>
      </c>
      <c r="T593" s="511">
        <f t="shared" si="124"/>
        <v>0</v>
      </c>
      <c r="U593" s="511">
        <f t="shared" si="124"/>
        <v>821870.53</v>
      </c>
      <c r="V593" s="511">
        <f t="shared" si="124"/>
        <v>0</v>
      </c>
      <c r="X593" s="38">
        <f>'[2]Приложение 1'!T589</f>
        <v>0</v>
      </c>
      <c r="Y593" s="9">
        <f t="shared" si="105"/>
        <v>3285.1786486783735</v>
      </c>
      <c r="Z593" s="19">
        <f t="shared" si="106"/>
        <v>-3285.1786486783735</v>
      </c>
    </row>
    <row r="594" spans="1:26" ht="9" customHeight="1">
      <c r="A594" s="510">
        <v>188</v>
      </c>
      <c r="B594" s="509" t="s">
        <v>862</v>
      </c>
      <c r="C594" s="58" t="s">
        <v>1192</v>
      </c>
      <c r="D594" s="58" t="s">
        <v>110</v>
      </c>
      <c r="E594" s="511">
        <f t="shared" ref="E594:E604" si="125">F594+H594+L594+N594+P594+R594+S594+T594+U594+V594</f>
        <v>5166033</v>
      </c>
      <c r="F594" s="511">
        <v>0</v>
      </c>
      <c r="G594" s="17">
        <v>0</v>
      </c>
      <c r="H594" s="511">
        <v>0</v>
      </c>
      <c r="I594" s="511">
        <v>1549.5</v>
      </c>
      <c r="J594" s="511"/>
      <c r="K594" s="511"/>
      <c r="L594" s="511">
        <f t="shared" ref="L594:L595" si="126">ROUND(3334*I594,2)</f>
        <v>5166033</v>
      </c>
      <c r="M594" s="511">
        <v>0</v>
      </c>
      <c r="N594" s="511">
        <v>0</v>
      </c>
      <c r="O594" s="511">
        <v>0</v>
      </c>
      <c r="P594" s="511">
        <v>0</v>
      </c>
      <c r="Q594" s="511">
        <v>0</v>
      </c>
      <c r="R594" s="511">
        <v>0</v>
      </c>
      <c r="S594" s="511">
        <v>0</v>
      </c>
      <c r="T594" s="511">
        <v>0</v>
      </c>
      <c r="U594" s="511">
        <v>0</v>
      </c>
      <c r="V594" s="511">
        <v>0</v>
      </c>
      <c r="X594" s="38">
        <f>'[2]Приложение 1'!T590</f>
        <v>0</v>
      </c>
      <c r="Y594" s="9">
        <f t="shared" si="105"/>
        <v>3334</v>
      </c>
      <c r="Z594" s="19">
        <f t="shared" si="106"/>
        <v>-3334</v>
      </c>
    </row>
    <row r="595" spans="1:26" ht="9" customHeight="1">
      <c r="A595" s="510">
        <v>189</v>
      </c>
      <c r="B595" s="509" t="s">
        <v>863</v>
      </c>
      <c r="C595" s="58" t="s">
        <v>1192</v>
      </c>
      <c r="D595" s="58" t="s">
        <v>110</v>
      </c>
      <c r="E595" s="511">
        <f t="shared" si="125"/>
        <v>5652130.2000000002</v>
      </c>
      <c r="F595" s="511">
        <v>0</v>
      </c>
      <c r="G595" s="17">
        <v>0</v>
      </c>
      <c r="H595" s="511">
        <v>0</v>
      </c>
      <c r="I595" s="511">
        <v>1695.3</v>
      </c>
      <c r="J595" s="511"/>
      <c r="K595" s="511"/>
      <c r="L595" s="511">
        <f t="shared" si="126"/>
        <v>5652130.2000000002</v>
      </c>
      <c r="M595" s="511">
        <v>0</v>
      </c>
      <c r="N595" s="511">
        <v>0</v>
      </c>
      <c r="O595" s="511">
        <v>0</v>
      </c>
      <c r="P595" s="511">
        <v>0</v>
      </c>
      <c r="Q595" s="511">
        <v>0</v>
      </c>
      <c r="R595" s="511">
        <v>0</v>
      </c>
      <c r="S595" s="511">
        <v>0</v>
      </c>
      <c r="T595" s="511">
        <v>0</v>
      </c>
      <c r="U595" s="511">
        <v>0</v>
      </c>
      <c r="V595" s="511">
        <v>0</v>
      </c>
      <c r="X595" s="38">
        <f>'[2]Приложение 1'!T591</f>
        <v>4180</v>
      </c>
      <c r="Y595" s="9">
        <f t="shared" si="105"/>
        <v>3334</v>
      </c>
      <c r="Z595" s="19">
        <f t="shared" si="106"/>
        <v>846</v>
      </c>
    </row>
    <row r="596" spans="1:26" ht="9" customHeight="1">
      <c r="A596" s="510">
        <v>190</v>
      </c>
      <c r="B596" s="509" t="s">
        <v>864</v>
      </c>
      <c r="C596" s="58" t="s">
        <v>1192</v>
      </c>
      <c r="D596" s="58" t="s">
        <v>111</v>
      </c>
      <c r="E596" s="511">
        <f t="shared" si="125"/>
        <v>3084589.2</v>
      </c>
      <c r="F596" s="511">
        <v>0</v>
      </c>
      <c r="G596" s="17">
        <v>0</v>
      </c>
      <c r="H596" s="511">
        <v>0</v>
      </c>
      <c r="I596" s="511">
        <v>953.8</v>
      </c>
      <c r="J596" s="511"/>
      <c r="K596" s="511"/>
      <c r="L596" s="511">
        <f>ROUND(3234*I596,2)</f>
        <v>3084589.2</v>
      </c>
      <c r="M596" s="511">
        <v>0</v>
      </c>
      <c r="N596" s="511">
        <v>0</v>
      </c>
      <c r="O596" s="511">
        <v>0</v>
      </c>
      <c r="P596" s="511">
        <v>0</v>
      </c>
      <c r="Q596" s="511">
        <v>0</v>
      </c>
      <c r="R596" s="511">
        <v>0</v>
      </c>
      <c r="S596" s="511">
        <v>0</v>
      </c>
      <c r="T596" s="511">
        <v>0</v>
      </c>
      <c r="U596" s="511">
        <v>0</v>
      </c>
      <c r="V596" s="511">
        <v>0</v>
      </c>
      <c r="X596" s="38">
        <f>'[2]Приложение 1'!T592</f>
        <v>4180</v>
      </c>
      <c r="Y596" s="9">
        <f t="shared" si="105"/>
        <v>3234.0000000000005</v>
      </c>
      <c r="Z596" s="19">
        <f t="shared" si="106"/>
        <v>945.99999999999955</v>
      </c>
    </row>
    <row r="597" spans="1:26" ht="9" customHeight="1">
      <c r="A597" s="510">
        <v>191</v>
      </c>
      <c r="B597" s="509" t="s">
        <v>865</v>
      </c>
      <c r="C597" s="58" t="s">
        <v>1192</v>
      </c>
      <c r="D597" s="58" t="s">
        <v>111</v>
      </c>
      <c r="E597" s="511">
        <f t="shared" si="125"/>
        <v>2120210.4</v>
      </c>
      <c r="F597" s="511">
        <v>0</v>
      </c>
      <c r="G597" s="17">
        <v>0</v>
      </c>
      <c r="H597" s="511">
        <v>0</v>
      </c>
      <c r="I597" s="511">
        <v>655.6</v>
      </c>
      <c r="J597" s="511"/>
      <c r="K597" s="511"/>
      <c r="L597" s="511">
        <f>ROUND(3234*I597,2)</f>
        <v>2120210.4</v>
      </c>
      <c r="M597" s="511">
        <v>0</v>
      </c>
      <c r="N597" s="511">
        <v>0</v>
      </c>
      <c r="O597" s="511">
        <v>0</v>
      </c>
      <c r="P597" s="511">
        <v>0</v>
      </c>
      <c r="Q597" s="511">
        <v>0</v>
      </c>
      <c r="R597" s="511">
        <v>0</v>
      </c>
      <c r="S597" s="511">
        <v>0</v>
      </c>
      <c r="T597" s="511">
        <v>0</v>
      </c>
      <c r="U597" s="511">
        <v>0</v>
      </c>
      <c r="V597" s="511">
        <v>0</v>
      </c>
      <c r="X597" s="38">
        <f>'[2]Приложение 1'!T593</f>
        <v>4503.95</v>
      </c>
      <c r="Y597" s="9">
        <f t="shared" si="105"/>
        <v>3233.9999999999995</v>
      </c>
      <c r="Z597" s="19">
        <f t="shared" si="106"/>
        <v>1269.9500000000003</v>
      </c>
    </row>
    <row r="598" spans="1:26" ht="9" customHeight="1">
      <c r="A598" s="510">
        <v>192</v>
      </c>
      <c r="B598" s="509" t="s">
        <v>866</v>
      </c>
      <c r="C598" s="58" t="s">
        <v>1192</v>
      </c>
      <c r="D598" s="58" t="s">
        <v>111</v>
      </c>
      <c r="E598" s="511">
        <f t="shared" si="125"/>
        <v>1963038</v>
      </c>
      <c r="F598" s="511">
        <v>0</v>
      </c>
      <c r="G598" s="17">
        <v>0</v>
      </c>
      <c r="H598" s="511">
        <v>0</v>
      </c>
      <c r="I598" s="511">
        <v>607</v>
      </c>
      <c r="J598" s="511"/>
      <c r="K598" s="511"/>
      <c r="L598" s="511">
        <f>ROUND(3234*I598,2)</f>
        <v>1963038</v>
      </c>
      <c r="M598" s="511">
        <v>0</v>
      </c>
      <c r="N598" s="511">
        <v>0</v>
      </c>
      <c r="O598" s="511">
        <v>0</v>
      </c>
      <c r="P598" s="511">
        <v>0</v>
      </c>
      <c r="Q598" s="511">
        <v>0</v>
      </c>
      <c r="R598" s="511">
        <v>0</v>
      </c>
      <c r="S598" s="511">
        <v>0</v>
      </c>
      <c r="T598" s="511">
        <v>0</v>
      </c>
      <c r="U598" s="511">
        <v>0</v>
      </c>
      <c r="V598" s="511">
        <v>0</v>
      </c>
      <c r="X598" s="38">
        <f>'[2]Приложение 1'!T594</f>
        <v>4503.95</v>
      </c>
      <c r="Y598" s="9">
        <f t="shared" si="105"/>
        <v>3234</v>
      </c>
      <c r="Z598" s="19">
        <f t="shared" si="106"/>
        <v>1269.9499999999998</v>
      </c>
    </row>
    <row r="599" spans="1:26" ht="9" customHeight="1">
      <c r="A599" s="510">
        <v>193</v>
      </c>
      <c r="B599" s="509" t="s">
        <v>867</v>
      </c>
      <c r="C599" s="58" t="s">
        <v>1192</v>
      </c>
      <c r="D599" s="58" t="s">
        <v>111</v>
      </c>
      <c r="E599" s="511">
        <f t="shared" si="125"/>
        <v>4482970.8</v>
      </c>
      <c r="F599" s="511">
        <v>0</v>
      </c>
      <c r="G599" s="17">
        <v>0</v>
      </c>
      <c r="H599" s="511">
        <v>0</v>
      </c>
      <c r="I599" s="511">
        <v>1386.2</v>
      </c>
      <c r="J599" s="511"/>
      <c r="K599" s="511"/>
      <c r="L599" s="511">
        <f>ROUND(3234*I599,2)</f>
        <v>4482970.8</v>
      </c>
      <c r="M599" s="511">
        <v>0</v>
      </c>
      <c r="N599" s="511">
        <v>0</v>
      </c>
      <c r="O599" s="511">
        <v>0</v>
      </c>
      <c r="P599" s="511">
        <v>0</v>
      </c>
      <c r="Q599" s="511">
        <v>0</v>
      </c>
      <c r="R599" s="511">
        <v>0</v>
      </c>
      <c r="S599" s="511">
        <v>0</v>
      </c>
      <c r="T599" s="511">
        <v>0</v>
      </c>
      <c r="U599" s="511">
        <v>0</v>
      </c>
      <c r="V599" s="511">
        <v>0</v>
      </c>
      <c r="X599" s="38">
        <f>'[2]Приложение 1'!T595</f>
        <v>4503.95</v>
      </c>
      <c r="Y599" s="9">
        <f t="shared" si="105"/>
        <v>3233.9999999999995</v>
      </c>
      <c r="Z599" s="19">
        <f t="shared" si="106"/>
        <v>1269.9500000000003</v>
      </c>
    </row>
    <row r="600" spans="1:26" ht="9" customHeight="1">
      <c r="A600" s="510">
        <v>194</v>
      </c>
      <c r="B600" s="509" t="s">
        <v>868</v>
      </c>
      <c r="C600" s="58" t="s">
        <v>1198</v>
      </c>
      <c r="D600" s="58" t="s">
        <v>110</v>
      </c>
      <c r="E600" s="511">
        <f t="shared" si="125"/>
        <v>7370797.3900000006</v>
      </c>
      <c r="F600" s="511">
        <f>ROUND(2545.2*(370+1200+210+270+220+303.05),2)</f>
        <v>6548926.8600000003</v>
      </c>
      <c r="G600" s="17">
        <v>0</v>
      </c>
      <c r="H600" s="511">
        <v>0</v>
      </c>
      <c r="I600" s="511">
        <v>0</v>
      </c>
      <c r="J600" s="511"/>
      <c r="K600" s="511"/>
      <c r="L600" s="511">
        <f>ROUND(3234*I600,2)</f>
        <v>0</v>
      </c>
      <c r="M600" s="511">
        <v>0</v>
      </c>
      <c r="N600" s="511">
        <v>0</v>
      </c>
      <c r="O600" s="511">
        <v>0</v>
      </c>
      <c r="P600" s="511">
        <v>0</v>
      </c>
      <c r="Q600" s="511">
        <v>0</v>
      </c>
      <c r="R600" s="511">
        <v>0</v>
      </c>
      <c r="S600" s="511">
        <v>0</v>
      </c>
      <c r="T600" s="511">
        <v>0</v>
      </c>
      <c r="U600" s="511">
        <f>ROUND(2545.2*322.91,2)</f>
        <v>821870.53</v>
      </c>
      <c r="V600" s="511">
        <v>0</v>
      </c>
      <c r="X600" s="38">
        <f>'[2]Приложение 1'!T596</f>
        <v>4503.95</v>
      </c>
      <c r="Y600" s="9" t="e">
        <f t="shared" si="105"/>
        <v>#DIV/0!</v>
      </c>
      <c r="Z600" s="19" t="e">
        <f t="shared" si="106"/>
        <v>#DIV/0!</v>
      </c>
    </row>
    <row r="601" spans="1:26" ht="9" customHeight="1">
      <c r="A601" s="510">
        <v>195</v>
      </c>
      <c r="B601" s="509" t="s">
        <v>869</v>
      </c>
      <c r="C601" s="58" t="s">
        <v>1192</v>
      </c>
      <c r="D601" s="58" t="s">
        <v>110</v>
      </c>
      <c r="E601" s="511">
        <f t="shared" si="125"/>
        <v>980196</v>
      </c>
      <c r="F601" s="511">
        <v>0</v>
      </c>
      <c r="G601" s="17">
        <v>0</v>
      </c>
      <c r="H601" s="511">
        <v>0</v>
      </c>
      <c r="I601" s="511">
        <v>294</v>
      </c>
      <c r="J601" s="511"/>
      <c r="K601" s="511"/>
      <c r="L601" s="511">
        <f t="shared" ref="L601:L602" si="127">ROUND(3334*I601,2)</f>
        <v>980196</v>
      </c>
      <c r="M601" s="511">
        <v>0</v>
      </c>
      <c r="N601" s="511">
        <v>0</v>
      </c>
      <c r="O601" s="511">
        <v>0</v>
      </c>
      <c r="P601" s="511">
        <v>0</v>
      </c>
      <c r="Q601" s="511">
        <v>0</v>
      </c>
      <c r="R601" s="511">
        <v>0</v>
      </c>
      <c r="S601" s="511">
        <v>0</v>
      </c>
      <c r="T601" s="511">
        <v>0</v>
      </c>
      <c r="U601" s="511">
        <v>0</v>
      </c>
      <c r="V601" s="511">
        <v>0</v>
      </c>
      <c r="X601" s="38">
        <f>'[2]Приложение 1'!T597</f>
        <v>5307.56</v>
      </c>
      <c r="Y601" s="9">
        <f t="shared" si="105"/>
        <v>3334</v>
      </c>
      <c r="Z601" s="19">
        <f t="shared" si="106"/>
        <v>1973.5600000000004</v>
      </c>
    </row>
    <row r="602" spans="1:26" ht="9" customHeight="1">
      <c r="A602" s="510">
        <v>196</v>
      </c>
      <c r="B602" s="509" t="s">
        <v>870</v>
      </c>
      <c r="C602" s="58" t="s">
        <v>1192</v>
      </c>
      <c r="D602" s="58" t="s">
        <v>110</v>
      </c>
      <c r="E602" s="511">
        <f t="shared" si="125"/>
        <v>2164432.7999999998</v>
      </c>
      <c r="F602" s="511">
        <v>0</v>
      </c>
      <c r="G602" s="17">
        <v>0</v>
      </c>
      <c r="H602" s="511">
        <v>0</v>
      </c>
      <c r="I602" s="511">
        <v>649.20000000000005</v>
      </c>
      <c r="J602" s="511"/>
      <c r="K602" s="511"/>
      <c r="L602" s="511">
        <f t="shared" si="127"/>
        <v>2164432.7999999998</v>
      </c>
      <c r="M602" s="511">
        <v>0</v>
      </c>
      <c r="N602" s="511">
        <v>0</v>
      </c>
      <c r="O602" s="511">
        <v>0</v>
      </c>
      <c r="P602" s="511">
        <v>0</v>
      </c>
      <c r="Q602" s="511">
        <v>0</v>
      </c>
      <c r="R602" s="511">
        <v>0</v>
      </c>
      <c r="S602" s="511">
        <v>0</v>
      </c>
      <c r="T602" s="511">
        <v>0</v>
      </c>
      <c r="U602" s="511">
        <v>0</v>
      </c>
      <c r="V602" s="511">
        <v>0</v>
      </c>
      <c r="X602" s="38">
        <f>'[2]Приложение 1'!T598</f>
        <v>4180</v>
      </c>
      <c r="Y602" s="9">
        <f t="shared" si="105"/>
        <v>3333.9999999999995</v>
      </c>
      <c r="Z602" s="19">
        <f t="shared" si="106"/>
        <v>846.00000000000045</v>
      </c>
    </row>
    <row r="603" spans="1:26" ht="9" customHeight="1">
      <c r="A603" s="510">
        <v>197</v>
      </c>
      <c r="B603" s="509" t="s">
        <v>871</v>
      </c>
      <c r="C603" s="58" t="s">
        <v>1192</v>
      </c>
      <c r="D603" s="58" t="s">
        <v>111</v>
      </c>
      <c r="E603" s="511">
        <f t="shared" si="125"/>
        <v>1269345</v>
      </c>
      <c r="F603" s="511">
        <v>0</v>
      </c>
      <c r="G603" s="17">
        <v>0</v>
      </c>
      <c r="H603" s="511">
        <v>0</v>
      </c>
      <c r="I603" s="511">
        <v>392.5</v>
      </c>
      <c r="J603" s="511"/>
      <c r="K603" s="511"/>
      <c r="L603" s="511">
        <f>ROUND(3234*I603,2)</f>
        <v>1269345</v>
      </c>
      <c r="M603" s="511">
        <v>0</v>
      </c>
      <c r="N603" s="511">
        <v>0</v>
      </c>
      <c r="O603" s="511">
        <v>0</v>
      </c>
      <c r="P603" s="511">
        <v>0</v>
      </c>
      <c r="Q603" s="511">
        <v>0</v>
      </c>
      <c r="R603" s="511">
        <v>0</v>
      </c>
      <c r="S603" s="511">
        <v>0</v>
      </c>
      <c r="T603" s="511">
        <v>0</v>
      </c>
      <c r="U603" s="511">
        <v>0</v>
      </c>
      <c r="V603" s="511">
        <v>0</v>
      </c>
      <c r="X603" s="38">
        <f>'[2]Приложение 1'!T599</f>
        <v>4180</v>
      </c>
      <c r="Y603" s="9">
        <f t="shared" si="105"/>
        <v>3234</v>
      </c>
      <c r="Z603" s="19">
        <f t="shared" si="106"/>
        <v>946</v>
      </c>
    </row>
    <row r="604" spans="1:26" ht="9" customHeight="1">
      <c r="A604" s="510">
        <v>198</v>
      </c>
      <c r="B604" s="509" t="s">
        <v>1081</v>
      </c>
      <c r="C604" s="58"/>
      <c r="D604" s="58"/>
      <c r="E604" s="511">
        <f t="shared" si="125"/>
        <v>3927193.6000000001</v>
      </c>
      <c r="F604" s="511">
        <v>0</v>
      </c>
      <c r="G604" s="17">
        <v>2</v>
      </c>
      <c r="H604" s="511">
        <f>G604*1963596.8</f>
        <v>3927193.6000000001</v>
      </c>
      <c r="I604" s="511">
        <v>0</v>
      </c>
      <c r="J604" s="511"/>
      <c r="K604" s="511"/>
      <c r="L604" s="511">
        <f>ROUND(3234*I604,2)</f>
        <v>0</v>
      </c>
      <c r="M604" s="511">
        <v>0</v>
      </c>
      <c r="N604" s="511">
        <v>0</v>
      </c>
      <c r="O604" s="511">
        <v>0</v>
      </c>
      <c r="P604" s="511">
        <v>0</v>
      </c>
      <c r="Q604" s="511">
        <v>0</v>
      </c>
      <c r="R604" s="511">
        <v>0</v>
      </c>
      <c r="S604" s="511">
        <v>0</v>
      </c>
      <c r="T604" s="511">
        <v>0</v>
      </c>
      <c r="U604" s="511">
        <v>0</v>
      </c>
      <c r="V604" s="511">
        <v>0</v>
      </c>
      <c r="X604" s="38">
        <f>'[2]Приложение 1'!T600</f>
        <v>4503.95</v>
      </c>
      <c r="Y604" s="9" t="e">
        <f t="shared" si="105"/>
        <v>#DIV/0!</v>
      </c>
      <c r="Z604" s="19" t="e">
        <f t="shared" si="106"/>
        <v>#DIV/0!</v>
      </c>
    </row>
    <row r="605" spans="1:26" ht="9" customHeight="1">
      <c r="A605" s="882" t="s">
        <v>296</v>
      </c>
      <c r="B605" s="888"/>
      <c r="C605" s="888"/>
      <c r="D605" s="888"/>
      <c r="E605" s="888"/>
      <c r="F605" s="888"/>
      <c r="G605" s="888"/>
      <c r="H605" s="888"/>
      <c r="I605" s="888"/>
      <c r="J605" s="888"/>
      <c r="K605" s="888"/>
      <c r="L605" s="888"/>
      <c r="M605" s="888"/>
      <c r="N605" s="888"/>
      <c r="O605" s="888"/>
      <c r="P605" s="888"/>
      <c r="Q605" s="888"/>
      <c r="R605" s="888"/>
      <c r="S605" s="888"/>
      <c r="T605" s="888"/>
      <c r="U605" s="888"/>
      <c r="V605" s="888"/>
      <c r="X605" s="38">
        <f>'[2]Приложение 1'!T601</f>
        <v>1610.3494137266143</v>
      </c>
      <c r="Y605" s="9" t="e">
        <f t="shared" si="105"/>
        <v>#DIV/0!</v>
      </c>
      <c r="Z605" s="19" t="e">
        <f t="shared" si="106"/>
        <v>#DIV/0!</v>
      </c>
    </row>
    <row r="606" spans="1:26" ht="21" customHeight="1">
      <c r="A606" s="900" t="s">
        <v>302</v>
      </c>
      <c r="B606" s="903"/>
      <c r="C606" s="68"/>
      <c r="D606" s="68"/>
      <c r="E606" s="511">
        <f>SUM(E607)</f>
        <v>3113956</v>
      </c>
      <c r="F606" s="511">
        <f t="shared" ref="F606:V606" si="128">SUM(F607)</f>
        <v>0</v>
      </c>
      <c r="G606" s="17">
        <f t="shared" si="128"/>
        <v>0</v>
      </c>
      <c r="H606" s="511">
        <f t="shared" si="128"/>
        <v>0</v>
      </c>
      <c r="I606" s="511">
        <f t="shared" si="128"/>
        <v>934</v>
      </c>
      <c r="J606" s="511">
        <f t="shared" si="128"/>
        <v>0</v>
      </c>
      <c r="K606" s="511">
        <f t="shared" si="128"/>
        <v>0</v>
      </c>
      <c r="L606" s="511">
        <f t="shared" si="128"/>
        <v>3113956</v>
      </c>
      <c r="M606" s="511">
        <f t="shared" si="128"/>
        <v>0</v>
      </c>
      <c r="N606" s="511">
        <f t="shared" si="128"/>
        <v>0</v>
      </c>
      <c r="O606" s="511">
        <f t="shared" si="128"/>
        <v>0</v>
      </c>
      <c r="P606" s="511">
        <f t="shared" si="128"/>
        <v>0</v>
      </c>
      <c r="Q606" s="511">
        <f t="shared" si="128"/>
        <v>0</v>
      </c>
      <c r="R606" s="511">
        <f t="shared" si="128"/>
        <v>0</v>
      </c>
      <c r="S606" s="511">
        <f t="shared" si="128"/>
        <v>0</v>
      </c>
      <c r="T606" s="511">
        <f t="shared" si="128"/>
        <v>0</v>
      </c>
      <c r="U606" s="511">
        <f t="shared" si="128"/>
        <v>0</v>
      </c>
      <c r="V606" s="511">
        <f t="shared" si="128"/>
        <v>0</v>
      </c>
      <c r="X606" s="38">
        <f>'[2]Приложение 1'!T602</f>
        <v>0</v>
      </c>
      <c r="Y606" s="9">
        <f t="shared" si="105"/>
        <v>3334</v>
      </c>
      <c r="Z606" s="19">
        <f t="shared" si="106"/>
        <v>-3334</v>
      </c>
    </row>
    <row r="607" spans="1:26" ht="9" customHeight="1">
      <c r="A607" s="510">
        <v>199</v>
      </c>
      <c r="B607" s="509" t="s">
        <v>884</v>
      </c>
      <c r="C607" s="58" t="s">
        <v>1192</v>
      </c>
      <c r="D607" s="58" t="s">
        <v>110</v>
      </c>
      <c r="E607" s="511">
        <f t="shared" ref="E607" si="129">F607+H607+L607+N607+P607+R607+S607+T607+U607+V607</f>
        <v>3113956</v>
      </c>
      <c r="F607" s="511">
        <v>0</v>
      </c>
      <c r="G607" s="17">
        <v>0</v>
      </c>
      <c r="H607" s="511">
        <v>0</v>
      </c>
      <c r="I607" s="511">
        <v>934</v>
      </c>
      <c r="J607" s="511"/>
      <c r="K607" s="511"/>
      <c r="L607" s="511">
        <f t="shared" ref="L607" si="130">ROUND(3334*I607,2)</f>
        <v>3113956</v>
      </c>
      <c r="M607" s="511">
        <v>0</v>
      </c>
      <c r="N607" s="511">
        <v>0</v>
      </c>
      <c r="O607" s="511">
        <v>0</v>
      </c>
      <c r="P607" s="511">
        <v>0</v>
      </c>
      <c r="Q607" s="511">
        <v>0</v>
      </c>
      <c r="R607" s="511">
        <v>0</v>
      </c>
      <c r="S607" s="511">
        <v>0</v>
      </c>
      <c r="T607" s="511">
        <v>0</v>
      </c>
      <c r="U607" s="511">
        <v>0</v>
      </c>
      <c r="V607" s="511">
        <v>0</v>
      </c>
      <c r="X607" s="38">
        <f>'[2]Приложение 1'!T603</f>
        <v>0</v>
      </c>
      <c r="Y607" s="9">
        <f t="shared" si="105"/>
        <v>3334</v>
      </c>
      <c r="Z607" s="19">
        <f t="shared" si="106"/>
        <v>-3334</v>
      </c>
    </row>
    <row r="608" spans="1:26" ht="9" customHeight="1">
      <c r="A608" s="882" t="s">
        <v>298</v>
      </c>
      <c r="B608" s="888"/>
      <c r="C608" s="888"/>
      <c r="D608" s="888"/>
      <c r="E608" s="888"/>
      <c r="F608" s="888"/>
      <c r="G608" s="888"/>
      <c r="H608" s="888"/>
      <c r="I608" s="888"/>
      <c r="J608" s="888"/>
      <c r="K608" s="888"/>
      <c r="L608" s="888"/>
      <c r="M608" s="888"/>
      <c r="N608" s="888"/>
      <c r="O608" s="888"/>
      <c r="P608" s="888"/>
      <c r="Q608" s="888"/>
      <c r="R608" s="888"/>
      <c r="S608" s="888"/>
      <c r="T608" s="888"/>
      <c r="U608" s="888"/>
      <c r="V608" s="888"/>
      <c r="X608" s="38">
        <f>'[2]Приложение 1'!T604</f>
        <v>4180</v>
      </c>
      <c r="Y608" s="9" t="e">
        <f t="shared" si="105"/>
        <v>#DIV/0!</v>
      </c>
      <c r="Z608" s="19" t="e">
        <f t="shared" si="106"/>
        <v>#DIV/0!</v>
      </c>
    </row>
    <row r="609" spans="1:26" ht="23.25" customHeight="1">
      <c r="A609" s="900" t="s">
        <v>304</v>
      </c>
      <c r="B609" s="903"/>
      <c r="C609" s="68"/>
      <c r="D609" s="68"/>
      <c r="E609" s="511">
        <f>SUM(E610)</f>
        <v>2757884.8</v>
      </c>
      <c r="F609" s="511">
        <f t="shared" ref="F609:V609" si="131">SUM(F610)</f>
        <v>0</v>
      </c>
      <c r="G609" s="17">
        <f t="shared" si="131"/>
        <v>0</v>
      </c>
      <c r="H609" s="511">
        <f t="shared" si="131"/>
        <v>0</v>
      </c>
      <c r="I609" s="511">
        <f t="shared" si="131"/>
        <v>827.2</v>
      </c>
      <c r="J609" s="511">
        <f t="shared" si="131"/>
        <v>0</v>
      </c>
      <c r="K609" s="511">
        <f t="shared" si="131"/>
        <v>0</v>
      </c>
      <c r="L609" s="511">
        <f t="shared" si="131"/>
        <v>2757884.8</v>
      </c>
      <c r="M609" s="511">
        <f t="shared" si="131"/>
        <v>0</v>
      </c>
      <c r="N609" s="511">
        <f t="shared" si="131"/>
        <v>0</v>
      </c>
      <c r="O609" s="511">
        <f t="shared" si="131"/>
        <v>0</v>
      </c>
      <c r="P609" s="511">
        <f t="shared" si="131"/>
        <v>0</v>
      </c>
      <c r="Q609" s="511">
        <f t="shared" si="131"/>
        <v>0</v>
      </c>
      <c r="R609" s="511">
        <f t="shared" si="131"/>
        <v>0</v>
      </c>
      <c r="S609" s="511">
        <f t="shared" si="131"/>
        <v>0</v>
      </c>
      <c r="T609" s="511">
        <f t="shared" si="131"/>
        <v>0</v>
      </c>
      <c r="U609" s="511">
        <f t="shared" si="131"/>
        <v>0</v>
      </c>
      <c r="V609" s="511">
        <f t="shared" si="131"/>
        <v>0</v>
      </c>
      <c r="X609" s="38">
        <f>'[2]Приложение 1'!T605</f>
        <v>0</v>
      </c>
      <c r="Y609" s="9">
        <f t="shared" si="105"/>
        <v>3333.9999999999995</v>
      </c>
      <c r="Z609" s="19">
        <f t="shared" si="106"/>
        <v>-3333.9999999999995</v>
      </c>
    </row>
    <row r="610" spans="1:26" ht="9" customHeight="1">
      <c r="A610" s="510">
        <v>200</v>
      </c>
      <c r="B610" s="509" t="s">
        <v>882</v>
      </c>
      <c r="C610" s="58" t="s">
        <v>1192</v>
      </c>
      <c r="D610" s="58" t="s">
        <v>110</v>
      </c>
      <c r="E610" s="511">
        <f t="shared" ref="E610" si="132">F610+H610+L610+N610+P610+R610+S610+T610+U610+V610</f>
        <v>2757884.8</v>
      </c>
      <c r="F610" s="511">
        <v>0</v>
      </c>
      <c r="G610" s="17">
        <v>0</v>
      </c>
      <c r="H610" s="511">
        <v>0</v>
      </c>
      <c r="I610" s="511">
        <v>827.2</v>
      </c>
      <c r="J610" s="511"/>
      <c r="K610" s="511"/>
      <c r="L610" s="511">
        <f t="shared" ref="L610" si="133">ROUND(3334*I610,2)</f>
        <v>2757884.8</v>
      </c>
      <c r="M610" s="511">
        <v>0</v>
      </c>
      <c r="N610" s="511">
        <v>0</v>
      </c>
      <c r="O610" s="511">
        <v>0</v>
      </c>
      <c r="P610" s="511">
        <v>0</v>
      </c>
      <c r="Q610" s="511">
        <v>0</v>
      </c>
      <c r="R610" s="511">
        <v>0</v>
      </c>
      <c r="S610" s="511">
        <v>0</v>
      </c>
      <c r="T610" s="511">
        <v>0</v>
      </c>
      <c r="U610" s="511">
        <v>0</v>
      </c>
      <c r="V610" s="511">
        <v>0</v>
      </c>
      <c r="X610" s="38">
        <f>'[2]Приложение 1'!T606</f>
        <v>0</v>
      </c>
      <c r="Y610" s="9">
        <f t="shared" si="105"/>
        <v>3333.9999999999995</v>
      </c>
      <c r="Z610" s="19">
        <f t="shared" si="106"/>
        <v>-3333.9999999999995</v>
      </c>
    </row>
    <row r="611" spans="1:26" ht="9" customHeight="1">
      <c r="A611" s="890" t="s">
        <v>330</v>
      </c>
      <c r="B611" s="890"/>
      <c r="C611" s="890"/>
      <c r="D611" s="890"/>
      <c r="E611" s="890"/>
      <c r="F611" s="890"/>
      <c r="G611" s="890"/>
      <c r="H611" s="890"/>
      <c r="I611" s="890"/>
      <c r="J611" s="890"/>
      <c r="K611" s="890"/>
      <c r="L611" s="890"/>
      <c r="M611" s="890"/>
      <c r="N611" s="890"/>
      <c r="O611" s="890"/>
      <c r="P611" s="890"/>
      <c r="Q611" s="890"/>
      <c r="R611" s="890"/>
      <c r="S611" s="890"/>
      <c r="T611" s="890"/>
      <c r="U611" s="890"/>
      <c r="V611" s="890"/>
      <c r="X611" s="38">
        <f>'[2]Приложение 1'!T607</f>
        <v>4180</v>
      </c>
      <c r="Y611" s="9" t="e">
        <f t="shared" si="105"/>
        <v>#DIV/0!</v>
      </c>
      <c r="Z611" s="19" t="e">
        <f t="shared" si="106"/>
        <v>#DIV/0!</v>
      </c>
    </row>
    <row r="612" spans="1:26" ht="21.75" customHeight="1">
      <c r="A612" s="904" t="s">
        <v>331</v>
      </c>
      <c r="B612" s="904"/>
      <c r="C612" s="60"/>
      <c r="D612" s="60"/>
      <c r="E612" s="23">
        <f t="shared" ref="E612:H612" si="134">SUM(E613:E616)</f>
        <v>14919650</v>
      </c>
      <c r="F612" s="23">
        <f t="shared" si="134"/>
        <v>0</v>
      </c>
      <c r="G612" s="35">
        <f t="shared" si="134"/>
        <v>0</v>
      </c>
      <c r="H612" s="23">
        <f t="shared" si="134"/>
        <v>0</v>
      </c>
      <c r="I612" s="23">
        <f>SUM(I613:I616)</f>
        <v>4475</v>
      </c>
      <c r="J612" s="23">
        <f t="shared" ref="J612:V616" si="135">SUM(J613:J616)</f>
        <v>0</v>
      </c>
      <c r="K612" s="23">
        <f t="shared" si="135"/>
        <v>0</v>
      </c>
      <c r="L612" s="23">
        <f t="shared" si="135"/>
        <v>14919650</v>
      </c>
      <c r="M612" s="23">
        <f t="shared" si="135"/>
        <v>0</v>
      </c>
      <c r="N612" s="23">
        <f t="shared" si="135"/>
        <v>0</v>
      </c>
      <c r="O612" s="23">
        <f t="shared" si="135"/>
        <v>0</v>
      </c>
      <c r="P612" s="23">
        <f t="shared" si="135"/>
        <v>0</v>
      </c>
      <c r="Q612" s="23">
        <f t="shared" si="135"/>
        <v>0</v>
      </c>
      <c r="R612" s="23">
        <f t="shared" si="135"/>
        <v>0</v>
      </c>
      <c r="S612" s="23">
        <f t="shared" si="135"/>
        <v>0</v>
      </c>
      <c r="T612" s="23">
        <f t="shared" si="135"/>
        <v>0</v>
      </c>
      <c r="U612" s="23">
        <f t="shared" si="135"/>
        <v>0</v>
      </c>
      <c r="V612" s="23">
        <f t="shared" si="135"/>
        <v>0</v>
      </c>
      <c r="X612" s="38">
        <f>'[2]Приложение 1'!T608</f>
        <v>0</v>
      </c>
      <c r="Y612" s="9">
        <f t="shared" si="105"/>
        <v>3334</v>
      </c>
      <c r="Z612" s="19">
        <f t="shared" si="106"/>
        <v>-3334</v>
      </c>
    </row>
    <row r="613" spans="1:26" ht="9" customHeight="1">
      <c r="A613" s="736">
        <v>201</v>
      </c>
      <c r="B613" s="509" t="s">
        <v>889</v>
      </c>
      <c r="C613" s="58" t="s">
        <v>1192</v>
      </c>
      <c r="D613" s="58" t="s">
        <v>110</v>
      </c>
      <c r="E613" s="511">
        <f t="shared" ref="E613:E616" si="136">F613+H613+L613+N613+P613+R613+S613+T613+U613+V613</f>
        <v>3904114</v>
      </c>
      <c r="F613" s="23">
        <v>0</v>
      </c>
      <c r="G613" s="35">
        <v>0</v>
      </c>
      <c r="H613" s="23">
        <v>0</v>
      </c>
      <c r="I613" s="23">
        <v>1171</v>
      </c>
      <c r="J613" s="21"/>
      <c r="K613" s="511"/>
      <c r="L613" s="511">
        <f t="shared" ref="L613:L616" si="137">ROUND(3334*I613,2)</f>
        <v>3904114</v>
      </c>
      <c r="M613" s="23">
        <f t="shared" si="135"/>
        <v>0</v>
      </c>
      <c r="N613" s="23">
        <f t="shared" si="135"/>
        <v>0</v>
      </c>
      <c r="O613" s="23">
        <f t="shared" si="135"/>
        <v>0</v>
      </c>
      <c r="P613" s="23">
        <f t="shared" si="135"/>
        <v>0</v>
      </c>
      <c r="Q613" s="23">
        <f t="shared" si="135"/>
        <v>0</v>
      </c>
      <c r="R613" s="23">
        <f t="shared" si="135"/>
        <v>0</v>
      </c>
      <c r="S613" s="23">
        <f t="shared" si="135"/>
        <v>0</v>
      </c>
      <c r="T613" s="23">
        <f t="shared" si="135"/>
        <v>0</v>
      </c>
      <c r="U613" s="23">
        <f t="shared" si="135"/>
        <v>0</v>
      </c>
      <c r="V613" s="23">
        <f t="shared" si="135"/>
        <v>0</v>
      </c>
      <c r="X613" s="38">
        <f>'[2]Приложение 1'!T609</f>
        <v>0</v>
      </c>
      <c r="Y613" s="9">
        <f t="shared" si="105"/>
        <v>3334</v>
      </c>
      <c r="Z613" s="19">
        <f t="shared" si="106"/>
        <v>-3334</v>
      </c>
    </row>
    <row r="614" spans="1:26" ht="9" customHeight="1">
      <c r="A614" s="736">
        <v>202</v>
      </c>
      <c r="B614" s="509" t="s">
        <v>890</v>
      </c>
      <c r="C614" s="58" t="s">
        <v>1192</v>
      </c>
      <c r="D614" s="58" t="s">
        <v>110</v>
      </c>
      <c r="E614" s="511">
        <f t="shared" si="136"/>
        <v>3273988</v>
      </c>
      <c r="F614" s="23">
        <v>0</v>
      </c>
      <c r="G614" s="35">
        <v>0</v>
      </c>
      <c r="H614" s="23">
        <v>0</v>
      </c>
      <c r="I614" s="23">
        <v>982</v>
      </c>
      <c r="J614" s="21"/>
      <c r="K614" s="511"/>
      <c r="L614" s="511">
        <f t="shared" si="137"/>
        <v>3273988</v>
      </c>
      <c r="M614" s="23">
        <f t="shared" si="135"/>
        <v>0</v>
      </c>
      <c r="N614" s="23">
        <f t="shared" si="135"/>
        <v>0</v>
      </c>
      <c r="O614" s="23">
        <f t="shared" si="135"/>
        <v>0</v>
      </c>
      <c r="P614" s="23">
        <f t="shared" si="135"/>
        <v>0</v>
      </c>
      <c r="Q614" s="23">
        <f t="shared" si="135"/>
        <v>0</v>
      </c>
      <c r="R614" s="23">
        <f t="shared" si="135"/>
        <v>0</v>
      </c>
      <c r="S614" s="23">
        <f t="shared" si="135"/>
        <v>0</v>
      </c>
      <c r="T614" s="23">
        <f t="shared" si="135"/>
        <v>0</v>
      </c>
      <c r="U614" s="23">
        <f t="shared" si="135"/>
        <v>0</v>
      </c>
      <c r="V614" s="23">
        <f t="shared" si="135"/>
        <v>0</v>
      </c>
      <c r="X614" s="38">
        <f>'[2]Приложение 1'!T610</f>
        <v>4180</v>
      </c>
      <c r="Y614" s="9">
        <f t="shared" si="105"/>
        <v>3334</v>
      </c>
      <c r="Z614" s="19">
        <f t="shared" si="106"/>
        <v>846</v>
      </c>
    </row>
    <row r="615" spans="1:26" ht="9" customHeight="1">
      <c r="A615" s="736">
        <v>203</v>
      </c>
      <c r="B615" s="509" t="s">
        <v>891</v>
      </c>
      <c r="C615" s="58" t="s">
        <v>1192</v>
      </c>
      <c r="D615" s="58" t="s">
        <v>110</v>
      </c>
      <c r="E615" s="511">
        <f t="shared" si="136"/>
        <v>3974128</v>
      </c>
      <c r="F615" s="23">
        <v>0</v>
      </c>
      <c r="G615" s="35">
        <v>0</v>
      </c>
      <c r="H615" s="23">
        <v>0</v>
      </c>
      <c r="I615" s="23">
        <v>1192</v>
      </c>
      <c r="J615" s="21"/>
      <c r="K615" s="511"/>
      <c r="L615" s="511">
        <f t="shared" si="137"/>
        <v>3974128</v>
      </c>
      <c r="M615" s="23">
        <f t="shared" si="135"/>
        <v>0</v>
      </c>
      <c r="N615" s="23">
        <f t="shared" si="135"/>
        <v>0</v>
      </c>
      <c r="O615" s="23">
        <f t="shared" si="135"/>
        <v>0</v>
      </c>
      <c r="P615" s="23">
        <f t="shared" si="135"/>
        <v>0</v>
      </c>
      <c r="Q615" s="23">
        <f t="shared" si="135"/>
        <v>0</v>
      </c>
      <c r="R615" s="23">
        <f t="shared" si="135"/>
        <v>0</v>
      </c>
      <c r="S615" s="23">
        <f t="shared" si="135"/>
        <v>0</v>
      </c>
      <c r="T615" s="23">
        <f t="shared" si="135"/>
        <v>0</v>
      </c>
      <c r="U615" s="23">
        <f t="shared" si="135"/>
        <v>0</v>
      </c>
      <c r="V615" s="23">
        <f t="shared" si="135"/>
        <v>0</v>
      </c>
      <c r="X615" s="38">
        <f>'[2]Приложение 1'!T611</f>
        <v>4180</v>
      </c>
      <c r="Y615" s="9">
        <f t="shared" si="105"/>
        <v>3334</v>
      </c>
      <c r="Z615" s="19">
        <f t="shared" si="106"/>
        <v>846</v>
      </c>
    </row>
    <row r="616" spans="1:26" ht="9" customHeight="1">
      <c r="A616" s="736">
        <v>204</v>
      </c>
      <c r="B616" s="509" t="s">
        <v>892</v>
      </c>
      <c r="C616" s="58" t="s">
        <v>1192</v>
      </c>
      <c r="D616" s="58" t="s">
        <v>110</v>
      </c>
      <c r="E616" s="511">
        <f t="shared" si="136"/>
        <v>3767420</v>
      </c>
      <c r="F616" s="23">
        <v>0</v>
      </c>
      <c r="G616" s="35">
        <v>0</v>
      </c>
      <c r="H616" s="23">
        <v>0</v>
      </c>
      <c r="I616" s="23">
        <v>1130</v>
      </c>
      <c r="J616" s="21"/>
      <c r="K616" s="511"/>
      <c r="L616" s="511">
        <f t="shared" si="137"/>
        <v>3767420</v>
      </c>
      <c r="M616" s="23">
        <f t="shared" si="135"/>
        <v>0</v>
      </c>
      <c r="N616" s="23">
        <f t="shared" si="135"/>
        <v>0</v>
      </c>
      <c r="O616" s="23">
        <f t="shared" si="135"/>
        <v>0</v>
      </c>
      <c r="P616" s="23">
        <f t="shared" si="135"/>
        <v>0</v>
      </c>
      <c r="Q616" s="23">
        <f t="shared" si="135"/>
        <v>0</v>
      </c>
      <c r="R616" s="23">
        <f t="shared" si="135"/>
        <v>0</v>
      </c>
      <c r="S616" s="23">
        <f t="shared" si="135"/>
        <v>0</v>
      </c>
      <c r="T616" s="23">
        <f t="shared" si="135"/>
        <v>0</v>
      </c>
      <c r="U616" s="23">
        <f t="shared" si="135"/>
        <v>0</v>
      </c>
      <c r="V616" s="23">
        <f t="shared" si="135"/>
        <v>0</v>
      </c>
      <c r="X616" s="38">
        <f>'[2]Приложение 1'!T612</f>
        <v>4180</v>
      </c>
      <c r="Y616" s="9">
        <f t="shared" si="105"/>
        <v>3334</v>
      </c>
      <c r="Z616" s="19">
        <f t="shared" si="106"/>
        <v>846</v>
      </c>
    </row>
    <row r="617" spans="1:26" ht="9" customHeight="1">
      <c r="A617" s="905" t="s">
        <v>902</v>
      </c>
      <c r="B617" s="905"/>
      <c r="C617" s="905"/>
      <c r="D617" s="905"/>
      <c r="E617" s="905"/>
      <c r="F617" s="905"/>
      <c r="G617" s="905"/>
      <c r="H617" s="905"/>
      <c r="I617" s="905"/>
      <c r="J617" s="905"/>
      <c r="K617" s="905"/>
      <c r="L617" s="905"/>
      <c r="M617" s="905"/>
      <c r="N617" s="905"/>
      <c r="O617" s="905"/>
      <c r="P617" s="905"/>
      <c r="Q617" s="905"/>
      <c r="R617" s="905"/>
      <c r="S617" s="905"/>
      <c r="T617" s="905"/>
      <c r="U617" s="905"/>
      <c r="V617" s="905"/>
      <c r="X617" s="38">
        <f>'[2]Приложение 1'!T613</f>
        <v>4180</v>
      </c>
      <c r="Y617" s="9" t="e">
        <f t="shared" si="105"/>
        <v>#DIV/0!</v>
      </c>
      <c r="Z617" s="19" t="e">
        <f t="shared" si="106"/>
        <v>#DIV/0!</v>
      </c>
    </row>
    <row r="618" spans="1:26" ht="25.5" customHeight="1">
      <c r="A618" s="906" t="s">
        <v>904</v>
      </c>
      <c r="B618" s="906"/>
      <c r="C618" s="69"/>
      <c r="D618" s="69"/>
      <c r="E618" s="511">
        <f>SUM(E619)</f>
        <v>986370</v>
      </c>
      <c r="F618" s="511">
        <f t="shared" ref="F618:V618" si="138">SUM(F619)</f>
        <v>0</v>
      </c>
      <c r="G618" s="17">
        <f t="shared" si="138"/>
        <v>0</v>
      </c>
      <c r="H618" s="511">
        <f t="shared" si="138"/>
        <v>0</v>
      </c>
      <c r="I618" s="511">
        <f t="shared" si="138"/>
        <v>305</v>
      </c>
      <c r="J618" s="511">
        <f t="shared" si="138"/>
        <v>0</v>
      </c>
      <c r="K618" s="511">
        <f t="shared" si="138"/>
        <v>0</v>
      </c>
      <c r="L618" s="511">
        <f t="shared" si="138"/>
        <v>986370</v>
      </c>
      <c r="M618" s="511">
        <f t="shared" si="138"/>
        <v>0</v>
      </c>
      <c r="N618" s="511">
        <f t="shared" si="138"/>
        <v>0</v>
      </c>
      <c r="O618" s="511">
        <f t="shared" si="138"/>
        <v>0</v>
      </c>
      <c r="P618" s="511">
        <f t="shared" si="138"/>
        <v>0</v>
      </c>
      <c r="Q618" s="511">
        <f t="shared" si="138"/>
        <v>0</v>
      </c>
      <c r="R618" s="511">
        <f t="shared" si="138"/>
        <v>0</v>
      </c>
      <c r="S618" s="511">
        <f t="shared" si="138"/>
        <v>0</v>
      </c>
      <c r="T618" s="511">
        <f t="shared" si="138"/>
        <v>0</v>
      </c>
      <c r="U618" s="511">
        <f t="shared" si="138"/>
        <v>0</v>
      </c>
      <c r="V618" s="511">
        <f t="shared" si="138"/>
        <v>0</v>
      </c>
      <c r="X618" s="38">
        <f>'[2]Приложение 1'!T614</f>
        <v>0</v>
      </c>
      <c r="Y618" s="9">
        <f t="shared" si="105"/>
        <v>3234</v>
      </c>
      <c r="Z618" s="19">
        <f t="shared" si="106"/>
        <v>-3234</v>
      </c>
    </row>
    <row r="619" spans="1:26" ht="9" customHeight="1">
      <c r="A619" s="736">
        <v>205</v>
      </c>
      <c r="B619" s="509" t="s">
        <v>903</v>
      </c>
      <c r="C619" s="58" t="s">
        <v>1192</v>
      </c>
      <c r="D619" s="58" t="s">
        <v>111</v>
      </c>
      <c r="E619" s="511">
        <f t="shared" ref="E619" si="139">F619+H619+L619+N619+P619+R619+S619+T619+U619+V619</f>
        <v>986370</v>
      </c>
      <c r="F619" s="23">
        <v>0</v>
      </c>
      <c r="G619" s="35">
        <v>0</v>
      </c>
      <c r="H619" s="23">
        <v>0</v>
      </c>
      <c r="I619" s="23">
        <v>305</v>
      </c>
      <c r="J619" s="21"/>
      <c r="K619" s="511"/>
      <c r="L619" s="511">
        <f>ROUND(3234*I619,2)</f>
        <v>986370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X619" s="38">
        <f>'[2]Приложение 1'!T615</f>
        <v>0</v>
      </c>
      <c r="Y619" s="9">
        <f t="shared" si="105"/>
        <v>3234</v>
      </c>
      <c r="Z619" s="19">
        <f t="shared" si="106"/>
        <v>-3234</v>
      </c>
    </row>
    <row r="620" spans="1:26" ht="9" customHeight="1">
      <c r="A620" s="890" t="s">
        <v>427</v>
      </c>
      <c r="B620" s="890"/>
      <c r="C620" s="890"/>
      <c r="D620" s="890"/>
      <c r="E620" s="890"/>
      <c r="F620" s="890"/>
      <c r="G620" s="890"/>
      <c r="H620" s="890"/>
      <c r="I620" s="890"/>
      <c r="J620" s="890"/>
      <c r="K620" s="890"/>
      <c r="L620" s="890"/>
      <c r="M620" s="890"/>
      <c r="N620" s="890"/>
      <c r="O620" s="890"/>
      <c r="P620" s="890"/>
      <c r="Q620" s="890"/>
      <c r="R620" s="890"/>
      <c r="S620" s="890"/>
      <c r="T620" s="890"/>
      <c r="U620" s="890"/>
      <c r="V620" s="890"/>
      <c r="X620" s="38">
        <f>'[2]Приложение 1'!T616</f>
        <v>4503.95</v>
      </c>
      <c r="Y620" s="9" t="e">
        <f t="shared" si="105"/>
        <v>#DIV/0!</v>
      </c>
      <c r="Z620" s="19" t="e">
        <f t="shared" si="106"/>
        <v>#DIV/0!</v>
      </c>
    </row>
    <row r="621" spans="1:26" ht="23.25" customHeight="1">
      <c r="A621" s="900" t="s">
        <v>428</v>
      </c>
      <c r="B621" s="900"/>
      <c r="C621" s="58"/>
      <c r="D621" s="58"/>
      <c r="E621" s="511">
        <f>SUM(E622:E627)</f>
        <v>8109125.6399999997</v>
      </c>
      <c r="F621" s="511">
        <f t="shared" ref="F621:V621" si="140">SUM(F622:F627)</f>
        <v>0</v>
      </c>
      <c r="G621" s="17">
        <f t="shared" si="140"/>
        <v>0</v>
      </c>
      <c r="H621" s="511">
        <f t="shared" si="140"/>
        <v>0</v>
      </c>
      <c r="I621" s="511">
        <f>SUM(I622:I627)</f>
        <v>2507.46</v>
      </c>
      <c r="J621" s="511">
        <f t="shared" si="140"/>
        <v>0</v>
      </c>
      <c r="K621" s="511">
        <f t="shared" si="140"/>
        <v>0</v>
      </c>
      <c r="L621" s="511">
        <f t="shared" si="140"/>
        <v>8109125.6399999997</v>
      </c>
      <c r="M621" s="511">
        <f t="shared" si="140"/>
        <v>0</v>
      </c>
      <c r="N621" s="511">
        <f t="shared" si="140"/>
        <v>0</v>
      </c>
      <c r="O621" s="511">
        <f t="shared" si="140"/>
        <v>0</v>
      </c>
      <c r="P621" s="511">
        <f t="shared" si="140"/>
        <v>0</v>
      </c>
      <c r="Q621" s="511">
        <f t="shared" si="140"/>
        <v>0</v>
      </c>
      <c r="R621" s="511">
        <f t="shared" si="140"/>
        <v>0</v>
      </c>
      <c r="S621" s="511">
        <f t="shared" si="140"/>
        <v>0</v>
      </c>
      <c r="T621" s="511">
        <f t="shared" si="140"/>
        <v>0</v>
      </c>
      <c r="U621" s="511">
        <f t="shared" si="140"/>
        <v>0</v>
      </c>
      <c r="V621" s="511">
        <f t="shared" si="140"/>
        <v>0</v>
      </c>
      <c r="X621" s="38">
        <f>'[2]Приложение 1'!T617</f>
        <v>0</v>
      </c>
      <c r="Y621" s="9">
        <f t="shared" si="105"/>
        <v>3234</v>
      </c>
      <c r="Z621" s="19">
        <f t="shared" si="106"/>
        <v>-3234</v>
      </c>
    </row>
    <row r="622" spans="1:26" ht="9" customHeight="1">
      <c r="A622" s="510">
        <v>206</v>
      </c>
      <c r="B622" s="737" t="s">
        <v>906</v>
      </c>
      <c r="C622" s="58" t="s">
        <v>1192</v>
      </c>
      <c r="D622" s="61" t="s">
        <v>111</v>
      </c>
      <c r="E622" s="511">
        <f t="shared" ref="E622:E627" si="141">F622+H622+L622+N622+P622+R622+S622+T622+U622+V622</f>
        <v>1811040</v>
      </c>
      <c r="F622" s="511">
        <v>0</v>
      </c>
      <c r="G622" s="17">
        <v>0</v>
      </c>
      <c r="H622" s="511">
        <v>0</v>
      </c>
      <c r="I622" s="511">
        <v>560</v>
      </c>
      <c r="J622" s="511"/>
      <c r="K622" s="511"/>
      <c r="L622" s="511">
        <f t="shared" ref="L622:L627" si="142">ROUND(3234*I622,2)</f>
        <v>1811040</v>
      </c>
      <c r="M622" s="511">
        <v>0</v>
      </c>
      <c r="N622" s="511">
        <v>0</v>
      </c>
      <c r="O622" s="511">
        <v>0</v>
      </c>
      <c r="P622" s="511">
        <v>0</v>
      </c>
      <c r="Q622" s="511">
        <v>0</v>
      </c>
      <c r="R622" s="511">
        <v>0</v>
      </c>
      <c r="S622" s="511">
        <v>0</v>
      </c>
      <c r="T622" s="511">
        <v>0</v>
      </c>
      <c r="U622" s="511">
        <v>0</v>
      </c>
      <c r="V622" s="511">
        <v>0</v>
      </c>
      <c r="X622" s="38">
        <f>'[2]Приложение 1'!T618</f>
        <v>0</v>
      </c>
      <c r="Y622" s="9">
        <f t="shared" si="105"/>
        <v>3234</v>
      </c>
      <c r="Z622" s="19">
        <f t="shared" si="106"/>
        <v>-3234</v>
      </c>
    </row>
    <row r="623" spans="1:26" ht="9" customHeight="1">
      <c r="A623" s="510">
        <v>207</v>
      </c>
      <c r="B623" s="737" t="s">
        <v>907</v>
      </c>
      <c r="C623" s="58" t="s">
        <v>1192</v>
      </c>
      <c r="D623" s="61" t="s">
        <v>111</v>
      </c>
      <c r="E623" s="511">
        <f t="shared" si="141"/>
        <v>970200</v>
      </c>
      <c r="F623" s="511">
        <v>0</v>
      </c>
      <c r="G623" s="17">
        <v>0</v>
      </c>
      <c r="H623" s="511">
        <v>0</v>
      </c>
      <c r="I623" s="511">
        <v>300</v>
      </c>
      <c r="J623" s="511"/>
      <c r="K623" s="511"/>
      <c r="L623" s="511">
        <f t="shared" si="142"/>
        <v>970200</v>
      </c>
      <c r="M623" s="511">
        <v>0</v>
      </c>
      <c r="N623" s="511">
        <v>0</v>
      </c>
      <c r="O623" s="511">
        <v>0</v>
      </c>
      <c r="P623" s="511">
        <v>0</v>
      </c>
      <c r="Q623" s="511">
        <v>0</v>
      </c>
      <c r="R623" s="511">
        <v>0</v>
      </c>
      <c r="S623" s="511">
        <v>0</v>
      </c>
      <c r="T623" s="511">
        <v>0</v>
      </c>
      <c r="U623" s="511">
        <v>0</v>
      </c>
      <c r="V623" s="511">
        <v>0</v>
      </c>
      <c r="X623" s="38">
        <f>'[2]Приложение 1'!T619</f>
        <v>4503.95</v>
      </c>
      <c r="Y623" s="9">
        <f t="shared" si="105"/>
        <v>3234</v>
      </c>
      <c r="Z623" s="19">
        <f t="shared" si="106"/>
        <v>1269.9499999999998</v>
      </c>
    </row>
    <row r="624" spans="1:26" ht="9" customHeight="1">
      <c r="A624" s="510">
        <v>208</v>
      </c>
      <c r="B624" s="737" t="s">
        <v>908</v>
      </c>
      <c r="C624" s="58" t="s">
        <v>1192</v>
      </c>
      <c r="D624" s="61" t="s">
        <v>111</v>
      </c>
      <c r="E624" s="511">
        <f t="shared" si="141"/>
        <v>1688148</v>
      </c>
      <c r="F624" s="511">
        <v>0</v>
      </c>
      <c r="G624" s="17">
        <v>0</v>
      </c>
      <c r="H624" s="511">
        <v>0</v>
      </c>
      <c r="I624" s="511">
        <v>522</v>
      </c>
      <c r="J624" s="511"/>
      <c r="K624" s="511"/>
      <c r="L624" s="511">
        <f t="shared" si="142"/>
        <v>1688148</v>
      </c>
      <c r="M624" s="511">
        <v>0</v>
      </c>
      <c r="N624" s="511">
        <v>0</v>
      </c>
      <c r="O624" s="511">
        <v>0</v>
      </c>
      <c r="P624" s="511">
        <v>0</v>
      </c>
      <c r="Q624" s="511">
        <v>0</v>
      </c>
      <c r="R624" s="511">
        <v>0</v>
      </c>
      <c r="S624" s="511">
        <v>0</v>
      </c>
      <c r="T624" s="511">
        <v>0</v>
      </c>
      <c r="U624" s="511">
        <v>0</v>
      </c>
      <c r="V624" s="511">
        <v>0</v>
      </c>
      <c r="X624" s="38">
        <f>'[2]Приложение 1'!T620</f>
        <v>4503.95</v>
      </c>
      <c r="Y624" s="9">
        <f t="shared" si="105"/>
        <v>3234</v>
      </c>
      <c r="Z624" s="19">
        <f t="shared" si="106"/>
        <v>1269.9499999999998</v>
      </c>
    </row>
    <row r="625" spans="1:26" ht="9" customHeight="1">
      <c r="A625" s="510">
        <v>209</v>
      </c>
      <c r="B625" s="737" t="s">
        <v>909</v>
      </c>
      <c r="C625" s="58" t="s">
        <v>1192</v>
      </c>
      <c r="D625" s="61" t="s">
        <v>111</v>
      </c>
      <c r="E625" s="511">
        <f t="shared" si="141"/>
        <v>1519980</v>
      </c>
      <c r="F625" s="511">
        <v>0</v>
      </c>
      <c r="G625" s="17">
        <v>0</v>
      </c>
      <c r="H625" s="511">
        <v>0</v>
      </c>
      <c r="I625" s="511">
        <v>470</v>
      </c>
      <c r="J625" s="511"/>
      <c r="K625" s="511"/>
      <c r="L625" s="511">
        <f t="shared" si="142"/>
        <v>1519980</v>
      </c>
      <c r="M625" s="511">
        <v>0</v>
      </c>
      <c r="N625" s="511">
        <v>0</v>
      </c>
      <c r="O625" s="511">
        <v>0</v>
      </c>
      <c r="P625" s="511">
        <v>0</v>
      </c>
      <c r="Q625" s="511">
        <v>0</v>
      </c>
      <c r="R625" s="511">
        <v>0</v>
      </c>
      <c r="S625" s="511">
        <v>0</v>
      </c>
      <c r="T625" s="511">
        <v>0</v>
      </c>
      <c r="U625" s="511">
        <v>0</v>
      </c>
      <c r="V625" s="511">
        <v>0</v>
      </c>
      <c r="X625" s="38">
        <f>'[2]Приложение 1'!T621</f>
        <v>4503.95</v>
      </c>
      <c r="Y625" s="9">
        <f t="shared" si="105"/>
        <v>3234</v>
      </c>
      <c r="Z625" s="19">
        <f t="shared" si="106"/>
        <v>1269.9499999999998</v>
      </c>
    </row>
    <row r="626" spans="1:26" ht="9" customHeight="1">
      <c r="A626" s="510">
        <v>210</v>
      </c>
      <c r="B626" s="737" t="s">
        <v>910</v>
      </c>
      <c r="C626" s="58" t="s">
        <v>1192</v>
      </c>
      <c r="D626" s="61" t="s">
        <v>111</v>
      </c>
      <c r="E626" s="511">
        <f t="shared" si="141"/>
        <v>941094</v>
      </c>
      <c r="F626" s="511">
        <v>0</v>
      </c>
      <c r="G626" s="17">
        <v>0</v>
      </c>
      <c r="H626" s="511">
        <v>0</v>
      </c>
      <c r="I626" s="511">
        <v>291</v>
      </c>
      <c r="J626" s="511"/>
      <c r="K626" s="511"/>
      <c r="L626" s="511">
        <f t="shared" si="142"/>
        <v>941094</v>
      </c>
      <c r="M626" s="511">
        <v>0</v>
      </c>
      <c r="N626" s="511">
        <v>0</v>
      </c>
      <c r="O626" s="511">
        <v>0</v>
      </c>
      <c r="P626" s="511">
        <v>0</v>
      </c>
      <c r="Q626" s="511">
        <v>0</v>
      </c>
      <c r="R626" s="511">
        <v>0</v>
      </c>
      <c r="S626" s="511">
        <v>0</v>
      </c>
      <c r="T626" s="511">
        <v>0</v>
      </c>
      <c r="U626" s="511">
        <v>0</v>
      </c>
      <c r="V626" s="511">
        <v>0</v>
      </c>
      <c r="X626" s="38">
        <f>'[2]Приложение 1'!T622</f>
        <v>4503.95</v>
      </c>
      <c r="Y626" s="9">
        <f t="shared" si="105"/>
        <v>3234</v>
      </c>
      <c r="Z626" s="19">
        <f t="shared" si="106"/>
        <v>1269.9499999999998</v>
      </c>
    </row>
    <row r="627" spans="1:26" ht="9" customHeight="1">
      <c r="A627" s="510">
        <v>211</v>
      </c>
      <c r="B627" s="737" t="s">
        <v>911</v>
      </c>
      <c r="C627" s="58" t="s">
        <v>1192</v>
      </c>
      <c r="D627" s="61" t="s">
        <v>111</v>
      </c>
      <c r="E627" s="511">
        <f t="shared" si="141"/>
        <v>1178663.6399999999</v>
      </c>
      <c r="F627" s="511">
        <v>0</v>
      </c>
      <c r="G627" s="17">
        <v>0</v>
      </c>
      <c r="H627" s="511">
        <v>0</v>
      </c>
      <c r="I627" s="511">
        <v>364.46</v>
      </c>
      <c r="J627" s="511"/>
      <c r="K627" s="511"/>
      <c r="L627" s="511">
        <f t="shared" si="142"/>
        <v>1178663.6399999999</v>
      </c>
      <c r="M627" s="511">
        <v>0</v>
      </c>
      <c r="N627" s="511">
        <v>0</v>
      </c>
      <c r="O627" s="511">
        <v>0</v>
      </c>
      <c r="P627" s="511">
        <v>0</v>
      </c>
      <c r="Q627" s="511">
        <v>0</v>
      </c>
      <c r="R627" s="511">
        <v>0</v>
      </c>
      <c r="S627" s="511">
        <v>0</v>
      </c>
      <c r="T627" s="511">
        <v>0</v>
      </c>
      <c r="U627" s="511">
        <v>0</v>
      </c>
      <c r="V627" s="511">
        <v>0</v>
      </c>
      <c r="X627" s="38">
        <f>'[2]Приложение 1'!T623</f>
        <v>4503.95</v>
      </c>
      <c r="Y627" s="9">
        <f t="shared" si="105"/>
        <v>3234</v>
      </c>
      <c r="Z627" s="19">
        <f t="shared" si="106"/>
        <v>1269.9499999999998</v>
      </c>
    </row>
    <row r="628" spans="1:26" ht="9" customHeight="1">
      <c r="A628" s="882" t="s">
        <v>1015</v>
      </c>
      <c r="B628" s="882"/>
      <c r="C628" s="882"/>
      <c r="D628" s="882"/>
      <c r="E628" s="882"/>
      <c r="F628" s="882"/>
      <c r="G628" s="882"/>
      <c r="H628" s="882"/>
      <c r="I628" s="882"/>
      <c r="J628" s="882"/>
      <c r="K628" s="882"/>
      <c r="L628" s="882"/>
      <c r="M628" s="882"/>
      <c r="N628" s="882"/>
      <c r="O628" s="882"/>
      <c r="P628" s="882"/>
      <c r="Q628" s="882"/>
      <c r="R628" s="882"/>
      <c r="S628" s="882"/>
      <c r="T628" s="882"/>
      <c r="U628" s="882"/>
      <c r="V628" s="882"/>
      <c r="X628" s="38">
        <f>'[2]Приложение 1'!T624</f>
        <v>4503.95</v>
      </c>
      <c r="Y628" s="9" t="e">
        <f t="shared" si="105"/>
        <v>#DIV/0!</v>
      </c>
      <c r="Z628" s="19" t="e">
        <f t="shared" si="106"/>
        <v>#DIV/0!</v>
      </c>
    </row>
    <row r="629" spans="1:26" ht="31.5" customHeight="1">
      <c r="A629" s="900" t="s">
        <v>346</v>
      </c>
      <c r="B629" s="900"/>
      <c r="C629" s="58"/>
      <c r="D629" s="58"/>
      <c r="E629" s="511">
        <f>SUM(E630:E632)</f>
        <v>6133960.1399999997</v>
      </c>
      <c r="F629" s="511">
        <f t="shared" ref="F629:V629" si="143">SUM(F630:F632)</f>
        <v>0</v>
      </c>
      <c r="G629" s="17">
        <f t="shared" si="143"/>
        <v>0</v>
      </c>
      <c r="H629" s="511">
        <f t="shared" si="143"/>
        <v>0</v>
      </c>
      <c r="I629" s="511">
        <f>SUM(I630:I632)</f>
        <v>1896.71</v>
      </c>
      <c r="J629" s="511">
        <f t="shared" si="143"/>
        <v>0</v>
      </c>
      <c r="K629" s="511">
        <f t="shared" si="143"/>
        <v>0</v>
      </c>
      <c r="L629" s="511">
        <f t="shared" si="143"/>
        <v>6133960.1399999997</v>
      </c>
      <c r="M629" s="511">
        <f t="shared" si="143"/>
        <v>0</v>
      </c>
      <c r="N629" s="511">
        <f t="shared" si="143"/>
        <v>0</v>
      </c>
      <c r="O629" s="511">
        <f t="shared" si="143"/>
        <v>0</v>
      </c>
      <c r="P629" s="511">
        <f t="shared" si="143"/>
        <v>0</v>
      </c>
      <c r="Q629" s="511">
        <f t="shared" si="143"/>
        <v>0</v>
      </c>
      <c r="R629" s="511">
        <f t="shared" si="143"/>
        <v>0</v>
      </c>
      <c r="S629" s="511">
        <f t="shared" si="143"/>
        <v>0</v>
      </c>
      <c r="T629" s="511">
        <f t="shared" si="143"/>
        <v>0</v>
      </c>
      <c r="U629" s="511">
        <f t="shared" si="143"/>
        <v>0</v>
      </c>
      <c r="V629" s="511">
        <f t="shared" si="143"/>
        <v>0</v>
      </c>
      <c r="X629" s="38">
        <f>'[2]Приложение 1'!T625</f>
        <v>0</v>
      </c>
      <c r="Y629" s="9">
        <f t="shared" si="105"/>
        <v>3233.9999999999995</v>
      </c>
      <c r="Z629" s="19">
        <f t="shared" si="106"/>
        <v>-3233.9999999999995</v>
      </c>
    </row>
    <row r="630" spans="1:26" ht="9" customHeight="1">
      <c r="A630" s="510">
        <v>212</v>
      </c>
      <c r="B630" s="737" t="s">
        <v>918</v>
      </c>
      <c r="C630" s="58" t="s">
        <v>1192</v>
      </c>
      <c r="D630" s="61" t="s">
        <v>111</v>
      </c>
      <c r="E630" s="511">
        <f t="shared" ref="E630:E632" si="144">F630+H630+L630+N630+P630+R630+S630+T630+U630+V630</f>
        <v>2734282.32</v>
      </c>
      <c r="F630" s="511">
        <v>0</v>
      </c>
      <c r="G630" s="17">
        <v>0</v>
      </c>
      <c r="H630" s="511">
        <v>0</v>
      </c>
      <c r="I630" s="511">
        <v>845.48</v>
      </c>
      <c r="J630" s="511"/>
      <c r="K630" s="511"/>
      <c r="L630" s="511">
        <f>ROUND(3234*I630,2)</f>
        <v>2734282.32</v>
      </c>
      <c r="M630" s="511">
        <v>0</v>
      </c>
      <c r="N630" s="511">
        <v>0</v>
      </c>
      <c r="O630" s="511">
        <v>0</v>
      </c>
      <c r="P630" s="511">
        <v>0</v>
      </c>
      <c r="Q630" s="511">
        <v>0</v>
      </c>
      <c r="R630" s="511">
        <v>0</v>
      </c>
      <c r="S630" s="511">
        <v>0</v>
      </c>
      <c r="T630" s="511">
        <v>0</v>
      </c>
      <c r="U630" s="511">
        <v>0</v>
      </c>
      <c r="V630" s="511">
        <v>0</v>
      </c>
      <c r="X630" s="38">
        <f>'[2]Приложение 1'!T626</f>
        <v>0</v>
      </c>
      <c r="Y630" s="9">
        <f t="shared" si="105"/>
        <v>3233.9999999999995</v>
      </c>
      <c r="Z630" s="19">
        <f t="shared" si="106"/>
        <v>-3233.9999999999995</v>
      </c>
    </row>
    <row r="631" spans="1:26" ht="9" customHeight="1">
      <c r="A631" s="510">
        <v>213</v>
      </c>
      <c r="B631" s="737" t="s">
        <v>919</v>
      </c>
      <c r="C631" s="58" t="s">
        <v>1192</v>
      </c>
      <c r="D631" s="61" t="s">
        <v>111</v>
      </c>
      <c r="E631" s="511">
        <f t="shared" si="144"/>
        <v>1488771.9</v>
      </c>
      <c r="F631" s="511">
        <v>0</v>
      </c>
      <c r="G631" s="17">
        <v>0</v>
      </c>
      <c r="H631" s="511">
        <v>0</v>
      </c>
      <c r="I631" s="511">
        <v>460.35</v>
      </c>
      <c r="J631" s="511"/>
      <c r="K631" s="511"/>
      <c r="L631" s="511">
        <f>ROUND(3234*I631,2)</f>
        <v>1488771.9</v>
      </c>
      <c r="M631" s="511">
        <v>0</v>
      </c>
      <c r="N631" s="511">
        <v>0</v>
      </c>
      <c r="O631" s="511">
        <v>0</v>
      </c>
      <c r="P631" s="511">
        <v>0</v>
      </c>
      <c r="Q631" s="511">
        <v>0</v>
      </c>
      <c r="R631" s="511">
        <v>0</v>
      </c>
      <c r="S631" s="511">
        <v>0</v>
      </c>
      <c r="T631" s="511">
        <v>0</v>
      </c>
      <c r="U631" s="511">
        <v>0</v>
      </c>
      <c r="V631" s="511">
        <v>0</v>
      </c>
      <c r="X631" s="38">
        <f>'[2]Приложение 1'!T627</f>
        <v>4503.95</v>
      </c>
      <c r="Y631" s="9">
        <f t="shared" si="105"/>
        <v>3233.9999999999995</v>
      </c>
      <c r="Z631" s="19">
        <f t="shared" si="106"/>
        <v>1269.9500000000003</v>
      </c>
    </row>
    <row r="632" spans="1:26" ht="9" customHeight="1">
      <c r="A632" s="510">
        <v>214</v>
      </c>
      <c r="B632" s="737" t="s">
        <v>920</v>
      </c>
      <c r="C632" s="58" t="s">
        <v>1192</v>
      </c>
      <c r="D632" s="61" t="s">
        <v>111</v>
      </c>
      <c r="E632" s="511">
        <f t="shared" si="144"/>
        <v>1910905.92</v>
      </c>
      <c r="F632" s="511">
        <v>0</v>
      </c>
      <c r="G632" s="17">
        <v>0</v>
      </c>
      <c r="H632" s="511">
        <v>0</v>
      </c>
      <c r="I632" s="511">
        <v>590.88</v>
      </c>
      <c r="J632" s="511"/>
      <c r="K632" s="511"/>
      <c r="L632" s="511">
        <f>ROUND(3234*I632,2)</f>
        <v>1910905.92</v>
      </c>
      <c r="M632" s="511">
        <v>0</v>
      </c>
      <c r="N632" s="511">
        <v>0</v>
      </c>
      <c r="O632" s="511">
        <v>0</v>
      </c>
      <c r="P632" s="511">
        <v>0</v>
      </c>
      <c r="Q632" s="511">
        <v>0</v>
      </c>
      <c r="R632" s="511">
        <v>0</v>
      </c>
      <c r="S632" s="511">
        <v>0</v>
      </c>
      <c r="T632" s="511">
        <v>0</v>
      </c>
      <c r="U632" s="511">
        <v>0</v>
      </c>
      <c r="V632" s="511">
        <v>0</v>
      </c>
      <c r="X632" s="38">
        <f>'[2]Приложение 1'!T628</f>
        <v>4503.95</v>
      </c>
      <c r="Y632" s="9">
        <f t="shared" si="105"/>
        <v>3234</v>
      </c>
      <c r="Z632" s="19">
        <f t="shared" si="106"/>
        <v>1269.9499999999998</v>
      </c>
    </row>
    <row r="633" spans="1:26" ht="9" customHeight="1">
      <c r="A633" s="882" t="s">
        <v>423</v>
      </c>
      <c r="B633" s="882"/>
      <c r="C633" s="882"/>
      <c r="D633" s="882"/>
      <c r="E633" s="882"/>
      <c r="F633" s="882"/>
      <c r="G633" s="882"/>
      <c r="H633" s="882"/>
      <c r="I633" s="882"/>
      <c r="J633" s="882"/>
      <c r="K633" s="882"/>
      <c r="L633" s="882"/>
      <c r="M633" s="882"/>
      <c r="N633" s="882"/>
      <c r="O633" s="882"/>
      <c r="P633" s="882"/>
      <c r="Q633" s="882"/>
      <c r="R633" s="882"/>
      <c r="S633" s="882"/>
      <c r="T633" s="882"/>
      <c r="U633" s="882"/>
      <c r="V633" s="882"/>
      <c r="X633" s="38">
        <f>'[2]Приложение 1'!T629</f>
        <v>4503.95</v>
      </c>
      <c r="Y633" s="9" t="e">
        <f t="shared" si="105"/>
        <v>#DIV/0!</v>
      </c>
      <c r="Z633" s="19" t="e">
        <f t="shared" si="106"/>
        <v>#DIV/0!</v>
      </c>
    </row>
    <row r="634" spans="1:26" ht="21" customHeight="1">
      <c r="A634" s="900" t="s">
        <v>424</v>
      </c>
      <c r="B634" s="900"/>
      <c r="C634" s="58"/>
      <c r="D634" s="58"/>
      <c r="E634" s="511">
        <f>SUM(E635)</f>
        <v>1300068</v>
      </c>
      <c r="F634" s="511">
        <f t="shared" ref="F634:V634" si="145">SUM(F635)</f>
        <v>0</v>
      </c>
      <c r="G634" s="17">
        <f t="shared" si="145"/>
        <v>0</v>
      </c>
      <c r="H634" s="511">
        <f t="shared" si="145"/>
        <v>0</v>
      </c>
      <c r="I634" s="511">
        <f t="shared" si="145"/>
        <v>402</v>
      </c>
      <c r="J634" s="511">
        <f t="shared" si="145"/>
        <v>0</v>
      </c>
      <c r="K634" s="511">
        <f t="shared" si="145"/>
        <v>0</v>
      </c>
      <c r="L634" s="511">
        <f t="shared" si="145"/>
        <v>1300068</v>
      </c>
      <c r="M634" s="511">
        <f t="shared" si="145"/>
        <v>0</v>
      </c>
      <c r="N634" s="511">
        <f t="shared" si="145"/>
        <v>0</v>
      </c>
      <c r="O634" s="511">
        <f t="shared" si="145"/>
        <v>0</v>
      </c>
      <c r="P634" s="511">
        <f t="shared" si="145"/>
        <v>0</v>
      </c>
      <c r="Q634" s="511">
        <f t="shared" si="145"/>
        <v>0</v>
      </c>
      <c r="R634" s="511">
        <f t="shared" si="145"/>
        <v>0</v>
      </c>
      <c r="S634" s="511">
        <f t="shared" si="145"/>
        <v>0</v>
      </c>
      <c r="T634" s="511">
        <f t="shared" si="145"/>
        <v>0</v>
      </c>
      <c r="U634" s="511">
        <f t="shared" si="145"/>
        <v>0</v>
      </c>
      <c r="V634" s="511">
        <f t="shared" si="145"/>
        <v>0</v>
      </c>
      <c r="X634" s="38">
        <f>'[2]Приложение 1'!T630</f>
        <v>0</v>
      </c>
      <c r="Y634" s="9">
        <f t="shared" si="105"/>
        <v>3234</v>
      </c>
      <c r="Z634" s="19">
        <f t="shared" si="106"/>
        <v>-3234</v>
      </c>
    </row>
    <row r="635" spans="1:26" ht="9" customHeight="1">
      <c r="A635" s="510">
        <v>215</v>
      </c>
      <c r="B635" s="737" t="s">
        <v>923</v>
      </c>
      <c r="C635" s="58" t="s">
        <v>1192</v>
      </c>
      <c r="D635" s="61" t="s">
        <v>111</v>
      </c>
      <c r="E635" s="511">
        <f t="shared" ref="E635" si="146">F635+H635+L635+N635+P635+R635+S635+T635+U635+V635</f>
        <v>1300068</v>
      </c>
      <c r="F635" s="511">
        <v>0</v>
      </c>
      <c r="G635" s="17">
        <v>0</v>
      </c>
      <c r="H635" s="511">
        <v>0</v>
      </c>
      <c r="I635" s="511">
        <v>402</v>
      </c>
      <c r="J635" s="511"/>
      <c r="K635" s="511"/>
      <c r="L635" s="511">
        <f>ROUND(3234*I635,2)</f>
        <v>1300068</v>
      </c>
      <c r="M635" s="511">
        <v>0</v>
      </c>
      <c r="N635" s="511">
        <v>0</v>
      </c>
      <c r="O635" s="511">
        <v>0</v>
      </c>
      <c r="P635" s="511">
        <v>0</v>
      </c>
      <c r="Q635" s="511">
        <v>0</v>
      </c>
      <c r="R635" s="511">
        <v>0</v>
      </c>
      <c r="S635" s="511">
        <v>0</v>
      </c>
      <c r="T635" s="511">
        <v>0</v>
      </c>
      <c r="U635" s="511">
        <v>0</v>
      </c>
      <c r="V635" s="511">
        <v>0</v>
      </c>
      <c r="X635" s="38">
        <f>'[2]Приложение 1'!T631</f>
        <v>0</v>
      </c>
      <c r="Y635" s="9">
        <f t="shared" ref="Y635:Y698" si="147">L635/I635</f>
        <v>3234</v>
      </c>
      <c r="Z635" s="19">
        <f t="shared" ref="Z635:Z698" si="148">X635-Y635</f>
        <v>-3234</v>
      </c>
    </row>
    <row r="636" spans="1:26" ht="9" customHeight="1">
      <c r="A636" s="882" t="s">
        <v>352</v>
      </c>
      <c r="B636" s="882"/>
      <c r="C636" s="882"/>
      <c r="D636" s="882"/>
      <c r="E636" s="882"/>
      <c r="F636" s="882"/>
      <c r="G636" s="882"/>
      <c r="H636" s="882"/>
      <c r="I636" s="882"/>
      <c r="J636" s="882"/>
      <c r="K636" s="882"/>
      <c r="L636" s="882"/>
      <c r="M636" s="882"/>
      <c r="N636" s="882"/>
      <c r="O636" s="882"/>
      <c r="P636" s="882"/>
      <c r="Q636" s="882"/>
      <c r="R636" s="882"/>
      <c r="S636" s="882"/>
      <c r="T636" s="882"/>
      <c r="U636" s="882"/>
      <c r="V636" s="882"/>
      <c r="X636" s="38">
        <f>'[2]Приложение 1'!T632</f>
        <v>4503.95</v>
      </c>
      <c r="Y636" s="9" t="e">
        <f t="shared" si="147"/>
        <v>#DIV/0!</v>
      </c>
      <c r="Z636" s="19" t="e">
        <f t="shared" si="148"/>
        <v>#DIV/0!</v>
      </c>
    </row>
    <row r="637" spans="1:26" ht="20.25" customHeight="1">
      <c r="A637" s="900" t="s">
        <v>351</v>
      </c>
      <c r="B637" s="900"/>
      <c r="C637" s="58"/>
      <c r="D637" s="58"/>
      <c r="E637" s="511">
        <f>SUM(E638)</f>
        <v>1827210</v>
      </c>
      <c r="F637" s="511">
        <f t="shared" ref="F637:V637" si="149">SUM(F638)</f>
        <v>0</v>
      </c>
      <c r="G637" s="17">
        <f t="shared" si="149"/>
        <v>0</v>
      </c>
      <c r="H637" s="511">
        <f t="shared" si="149"/>
        <v>0</v>
      </c>
      <c r="I637" s="511">
        <f t="shared" si="149"/>
        <v>565</v>
      </c>
      <c r="J637" s="511">
        <f t="shared" si="149"/>
        <v>0</v>
      </c>
      <c r="K637" s="511">
        <f t="shared" si="149"/>
        <v>0</v>
      </c>
      <c r="L637" s="511">
        <f t="shared" si="149"/>
        <v>1827210</v>
      </c>
      <c r="M637" s="511">
        <f t="shared" si="149"/>
        <v>0</v>
      </c>
      <c r="N637" s="511">
        <f t="shared" si="149"/>
        <v>0</v>
      </c>
      <c r="O637" s="511">
        <f t="shared" si="149"/>
        <v>0</v>
      </c>
      <c r="P637" s="511">
        <f t="shared" si="149"/>
        <v>0</v>
      </c>
      <c r="Q637" s="511">
        <f t="shared" si="149"/>
        <v>0</v>
      </c>
      <c r="R637" s="511">
        <f t="shared" si="149"/>
        <v>0</v>
      </c>
      <c r="S637" s="511">
        <f t="shared" si="149"/>
        <v>0</v>
      </c>
      <c r="T637" s="511">
        <f t="shared" si="149"/>
        <v>0</v>
      </c>
      <c r="U637" s="511">
        <f t="shared" si="149"/>
        <v>0</v>
      </c>
      <c r="V637" s="511">
        <f t="shared" si="149"/>
        <v>0</v>
      </c>
      <c r="X637" s="38">
        <f>'[2]Приложение 1'!T633</f>
        <v>0</v>
      </c>
      <c r="Y637" s="9">
        <f t="shared" si="147"/>
        <v>3234</v>
      </c>
      <c r="Z637" s="19">
        <f t="shared" si="148"/>
        <v>-3234</v>
      </c>
    </row>
    <row r="638" spans="1:26" ht="9" customHeight="1">
      <c r="A638" s="510">
        <v>216</v>
      </c>
      <c r="B638" s="737" t="s">
        <v>925</v>
      </c>
      <c r="C638" s="58" t="s">
        <v>1192</v>
      </c>
      <c r="D638" s="61" t="s">
        <v>111</v>
      </c>
      <c r="E638" s="511">
        <f t="shared" ref="E638" si="150">F638+H638+L638+N638+P638+R638+S638+T638+U638+V638</f>
        <v>1827210</v>
      </c>
      <c r="F638" s="511">
        <v>0</v>
      </c>
      <c r="G638" s="17">
        <v>0</v>
      </c>
      <c r="H638" s="511">
        <v>0</v>
      </c>
      <c r="I638" s="511">
        <v>565</v>
      </c>
      <c r="J638" s="511"/>
      <c r="K638" s="511"/>
      <c r="L638" s="511">
        <f>ROUND(3234*I638,2)</f>
        <v>1827210</v>
      </c>
      <c r="M638" s="511">
        <v>0</v>
      </c>
      <c r="N638" s="511">
        <v>0</v>
      </c>
      <c r="O638" s="511">
        <v>0</v>
      </c>
      <c r="P638" s="511">
        <v>0</v>
      </c>
      <c r="Q638" s="511">
        <v>0</v>
      </c>
      <c r="R638" s="511">
        <v>0</v>
      </c>
      <c r="S638" s="511">
        <v>0</v>
      </c>
      <c r="T638" s="511">
        <v>0</v>
      </c>
      <c r="U638" s="511">
        <v>0</v>
      </c>
      <c r="V638" s="511">
        <v>0</v>
      </c>
      <c r="X638" s="38">
        <f>'[2]Приложение 1'!T634</f>
        <v>0</v>
      </c>
      <c r="Y638" s="9">
        <f t="shared" si="147"/>
        <v>3234</v>
      </c>
      <c r="Z638" s="19">
        <f t="shared" si="148"/>
        <v>-3234</v>
      </c>
    </row>
    <row r="639" spans="1:26" ht="9" customHeight="1">
      <c r="A639" s="882" t="s">
        <v>433</v>
      </c>
      <c r="B639" s="882"/>
      <c r="C639" s="882"/>
      <c r="D639" s="882"/>
      <c r="E639" s="882"/>
      <c r="F639" s="882"/>
      <c r="G639" s="882"/>
      <c r="H639" s="882"/>
      <c r="I639" s="882"/>
      <c r="J639" s="882"/>
      <c r="K639" s="882"/>
      <c r="L639" s="882"/>
      <c r="M639" s="882"/>
      <c r="N639" s="882"/>
      <c r="O639" s="882"/>
      <c r="P639" s="882"/>
      <c r="Q639" s="882"/>
      <c r="R639" s="882"/>
      <c r="S639" s="882"/>
      <c r="T639" s="882"/>
      <c r="U639" s="882"/>
      <c r="V639" s="882"/>
      <c r="X639" s="38">
        <f>'[2]Приложение 1'!T635</f>
        <v>4503.95</v>
      </c>
      <c r="Y639" s="9" t="e">
        <f t="shared" si="147"/>
        <v>#DIV/0!</v>
      </c>
      <c r="Z639" s="19" t="e">
        <f t="shared" si="148"/>
        <v>#DIV/0!</v>
      </c>
    </row>
    <row r="640" spans="1:26" ht="25.5" customHeight="1">
      <c r="A640" s="907" t="s">
        <v>449</v>
      </c>
      <c r="B640" s="907"/>
      <c r="C640" s="70"/>
      <c r="D640" s="70"/>
      <c r="E640" s="25">
        <f>SUM(E641:E645)</f>
        <v>906489.5</v>
      </c>
      <c r="F640" s="25">
        <f t="shared" ref="F640:V640" si="151">SUM(F641:F645)</f>
        <v>672476.62</v>
      </c>
      <c r="G640" s="36">
        <f t="shared" si="151"/>
        <v>0</v>
      </c>
      <c r="H640" s="25">
        <f t="shared" si="151"/>
        <v>0</v>
      </c>
      <c r="I640" s="25">
        <f t="shared" si="151"/>
        <v>0</v>
      </c>
      <c r="J640" s="25">
        <f t="shared" si="151"/>
        <v>0</v>
      </c>
      <c r="K640" s="25">
        <f t="shared" si="151"/>
        <v>0</v>
      </c>
      <c r="L640" s="25">
        <f t="shared" si="151"/>
        <v>0</v>
      </c>
      <c r="M640" s="25">
        <f t="shared" si="151"/>
        <v>0</v>
      </c>
      <c r="N640" s="25">
        <f t="shared" si="151"/>
        <v>0</v>
      </c>
      <c r="O640" s="25">
        <f t="shared" si="151"/>
        <v>0</v>
      </c>
      <c r="P640" s="25">
        <f t="shared" si="151"/>
        <v>0</v>
      </c>
      <c r="Q640" s="25">
        <f t="shared" si="151"/>
        <v>0</v>
      </c>
      <c r="R640" s="25">
        <f t="shared" si="151"/>
        <v>0</v>
      </c>
      <c r="S640" s="25">
        <f t="shared" si="151"/>
        <v>0</v>
      </c>
      <c r="T640" s="25">
        <f t="shared" si="151"/>
        <v>0</v>
      </c>
      <c r="U640" s="25">
        <f t="shared" si="151"/>
        <v>234012.88</v>
      </c>
      <c r="V640" s="25">
        <f t="shared" si="151"/>
        <v>0</v>
      </c>
      <c r="X640" s="38">
        <f>'[2]Приложение 1'!T636</f>
        <v>0</v>
      </c>
      <c r="Y640" s="9" t="e">
        <f t="shared" si="147"/>
        <v>#DIV/0!</v>
      </c>
      <c r="Z640" s="19" t="e">
        <f t="shared" si="148"/>
        <v>#DIV/0!</v>
      </c>
    </row>
    <row r="641" spans="1:26" ht="9" customHeight="1">
      <c r="A641" s="738">
        <v>217</v>
      </c>
      <c r="B641" s="739" t="s">
        <v>931</v>
      </c>
      <c r="C641" s="740" t="s">
        <v>1008</v>
      </c>
      <c r="D641" s="740" t="s">
        <v>111</v>
      </c>
      <c r="E641" s="511">
        <f t="shared" ref="E641:E645" si="152">F641+H641+L641+N641+P641+R641+S641+T641+U641+V641</f>
        <v>279775.76</v>
      </c>
      <c r="F641" s="511">
        <f>ROUND(923.2*303.05,2)</f>
        <v>279775.76</v>
      </c>
      <c r="G641" s="36">
        <v>0</v>
      </c>
      <c r="H641" s="25">
        <v>0</v>
      </c>
      <c r="I641" s="25">
        <v>0</v>
      </c>
      <c r="J641" s="25"/>
      <c r="K641" s="25"/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X641" s="38">
        <f>'[2]Приложение 1'!T637</f>
        <v>0</v>
      </c>
      <c r="Y641" s="9" t="e">
        <f t="shared" si="147"/>
        <v>#DIV/0!</v>
      </c>
      <c r="Z641" s="19" t="e">
        <f t="shared" si="148"/>
        <v>#DIV/0!</v>
      </c>
    </row>
    <row r="642" spans="1:26" ht="9" customHeight="1">
      <c r="A642" s="738">
        <v>218</v>
      </c>
      <c r="B642" s="739" t="s">
        <v>932</v>
      </c>
      <c r="C642" s="740" t="s">
        <v>1008</v>
      </c>
      <c r="D642" s="740" t="s">
        <v>111</v>
      </c>
      <c r="E642" s="511">
        <f t="shared" si="152"/>
        <v>278345.36</v>
      </c>
      <c r="F642" s="511">
        <f>ROUND(918.48*303.05,2)</f>
        <v>278345.36</v>
      </c>
      <c r="G642" s="17">
        <v>0</v>
      </c>
      <c r="H642" s="511">
        <v>0</v>
      </c>
      <c r="I642" s="511">
        <v>0</v>
      </c>
      <c r="J642" s="511"/>
      <c r="K642" s="511"/>
      <c r="L642" s="511">
        <v>0</v>
      </c>
      <c r="M642" s="511">
        <v>0</v>
      </c>
      <c r="N642" s="511">
        <v>0</v>
      </c>
      <c r="O642" s="511">
        <v>0</v>
      </c>
      <c r="P642" s="511">
        <v>0</v>
      </c>
      <c r="Q642" s="511">
        <v>0</v>
      </c>
      <c r="R642" s="511">
        <v>0</v>
      </c>
      <c r="S642" s="511">
        <v>0</v>
      </c>
      <c r="T642" s="511">
        <v>0</v>
      </c>
      <c r="U642" s="511">
        <v>0</v>
      </c>
      <c r="V642" s="511">
        <v>0</v>
      </c>
      <c r="X642" s="38">
        <f>'[2]Приложение 1'!T638</f>
        <v>4984.6499999999996</v>
      </c>
      <c r="Y642" s="9" t="e">
        <f t="shared" si="147"/>
        <v>#DIV/0!</v>
      </c>
      <c r="Z642" s="19" t="e">
        <f t="shared" si="148"/>
        <v>#DIV/0!</v>
      </c>
    </row>
    <row r="643" spans="1:26" ht="9" customHeight="1">
      <c r="A643" s="738">
        <v>219</v>
      </c>
      <c r="B643" s="739" t="s">
        <v>933</v>
      </c>
      <c r="C643" s="740" t="s">
        <v>1008</v>
      </c>
      <c r="D643" s="740" t="s">
        <v>111</v>
      </c>
      <c r="E643" s="511">
        <f t="shared" si="152"/>
        <v>56748.3</v>
      </c>
      <c r="F643" s="511">
        <f>ROUND(270.23*210,2)</f>
        <v>56748.3</v>
      </c>
      <c r="G643" s="17">
        <v>0</v>
      </c>
      <c r="H643" s="511">
        <v>0</v>
      </c>
      <c r="I643" s="511">
        <v>0</v>
      </c>
      <c r="J643" s="511"/>
      <c r="K643" s="511"/>
      <c r="L643" s="511">
        <v>0</v>
      </c>
      <c r="M643" s="511">
        <v>0</v>
      </c>
      <c r="N643" s="511">
        <v>0</v>
      </c>
      <c r="O643" s="511">
        <v>0</v>
      </c>
      <c r="P643" s="511">
        <v>0</v>
      </c>
      <c r="Q643" s="511">
        <v>0</v>
      </c>
      <c r="R643" s="511">
        <v>0</v>
      </c>
      <c r="S643" s="511">
        <v>0</v>
      </c>
      <c r="T643" s="511">
        <v>0</v>
      </c>
      <c r="U643" s="511">
        <v>0</v>
      </c>
      <c r="V643" s="511">
        <v>0</v>
      </c>
      <c r="X643" s="38">
        <f>'[2]Приложение 1'!T639</f>
        <v>4984.6499999999996</v>
      </c>
      <c r="Y643" s="9" t="e">
        <f t="shared" si="147"/>
        <v>#DIV/0!</v>
      </c>
      <c r="Z643" s="19" t="e">
        <f t="shared" si="148"/>
        <v>#DIV/0!</v>
      </c>
    </row>
    <row r="644" spans="1:26" ht="9" customHeight="1">
      <c r="A644" s="738">
        <v>220</v>
      </c>
      <c r="B644" s="739" t="s">
        <v>934</v>
      </c>
      <c r="C644" s="740" t="s">
        <v>1200</v>
      </c>
      <c r="D644" s="740" t="s">
        <v>111</v>
      </c>
      <c r="E644" s="511">
        <f t="shared" si="152"/>
        <v>234012.88</v>
      </c>
      <c r="F644" s="511">
        <v>0</v>
      </c>
      <c r="G644" s="17">
        <v>0</v>
      </c>
      <c r="H644" s="511">
        <v>0</v>
      </c>
      <c r="I644" s="511">
        <v>0</v>
      </c>
      <c r="J644" s="511"/>
      <c r="K644" s="511"/>
      <c r="L644" s="511">
        <v>0</v>
      </c>
      <c r="M644" s="511">
        <v>0</v>
      </c>
      <c r="N644" s="511">
        <v>0</v>
      </c>
      <c r="O644" s="511">
        <v>0</v>
      </c>
      <c r="P644" s="511">
        <v>0</v>
      </c>
      <c r="Q644" s="511">
        <v>0</v>
      </c>
      <c r="R644" s="511">
        <v>0</v>
      </c>
      <c r="S644" s="511">
        <v>0</v>
      </c>
      <c r="T644" s="511">
        <v>0</v>
      </c>
      <c r="U644" s="511">
        <f>ROUND(724.7*322.91,2)</f>
        <v>234012.88</v>
      </c>
      <c r="V644" s="511">
        <v>0</v>
      </c>
      <c r="X644" s="38">
        <f>'[2]Приложение 1'!T640</f>
        <v>4984.6499999999996</v>
      </c>
      <c r="Y644" s="9" t="e">
        <f t="shared" si="147"/>
        <v>#DIV/0!</v>
      </c>
      <c r="Z644" s="19" t="e">
        <f t="shared" si="148"/>
        <v>#DIV/0!</v>
      </c>
    </row>
    <row r="645" spans="1:26" ht="9" customHeight="1">
      <c r="A645" s="738">
        <v>221</v>
      </c>
      <c r="B645" s="739" t="s">
        <v>935</v>
      </c>
      <c r="C645" s="740" t="s">
        <v>1008</v>
      </c>
      <c r="D645" s="740" t="s">
        <v>111</v>
      </c>
      <c r="E645" s="511">
        <f t="shared" si="152"/>
        <v>57607.199999999997</v>
      </c>
      <c r="F645" s="511">
        <f>ROUND(274.32*210,2)</f>
        <v>57607.199999999997</v>
      </c>
      <c r="G645" s="17">
        <v>0</v>
      </c>
      <c r="H645" s="511">
        <v>0</v>
      </c>
      <c r="I645" s="511">
        <v>0</v>
      </c>
      <c r="J645" s="511"/>
      <c r="K645" s="511"/>
      <c r="L645" s="511">
        <v>0</v>
      </c>
      <c r="M645" s="511">
        <v>0</v>
      </c>
      <c r="N645" s="511">
        <v>0</v>
      </c>
      <c r="O645" s="511">
        <v>0</v>
      </c>
      <c r="P645" s="511">
        <v>0</v>
      </c>
      <c r="Q645" s="511">
        <v>0</v>
      </c>
      <c r="R645" s="511">
        <v>0</v>
      </c>
      <c r="S645" s="511">
        <v>0</v>
      </c>
      <c r="T645" s="511">
        <v>0</v>
      </c>
      <c r="U645" s="511">
        <v>0</v>
      </c>
      <c r="V645" s="511">
        <v>0</v>
      </c>
      <c r="X645" s="38">
        <f>'[2]Приложение 1'!T641</f>
        <v>322.91000000000003</v>
      </c>
      <c r="Y645" s="9" t="e">
        <f t="shared" si="147"/>
        <v>#DIV/0!</v>
      </c>
      <c r="Z645" s="19" t="e">
        <f t="shared" si="148"/>
        <v>#DIV/0!</v>
      </c>
    </row>
    <row r="646" spans="1:26" ht="9" customHeight="1">
      <c r="A646" s="908" t="s">
        <v>937</v>
      </c>
      <c r="B646" s="908"/>
      <c r="C646" s="908"/>
      <c r="D646" s="908"/>
      <c r="E646" s="908"/>
      <c r="F646" s="908"/>
      <c r="G646" s="908"/>
      <c r="H646" s="908"/>
      <c r="I646" s="908"/>
      <c r="J646" s="908"/>
      <c r="K646" s="908"/>
      <c r="L646" s="908"/>
      <c r="M646" s="908"/>
      <c r="N646" s="908"/>
      <c r="O646" s="908"/>
      <c r="P646" s="908"/>
      <c r="Q646" s="908"/>
      <c r="R646" s="908"/>
      <c r="S646" s="908"/>
      <c r="T646" s="908"/>
      <c r="U646" s="908"/>
      <c r="V646" s="908"/>
      <c r="X646" s="38">
        <f>'[2]Приложение 1'!T642</f>
        <v>4984.6499999999996</v>
      </c>
      <c r="Y646" s="9" t="e">
        <f t="shared" si="147"/>
        <v>#DIV/0!</v>
      </c>
      <c r="Z646" s="19" t="e">
        <f t="shared" si="148"/>
        <v>#DIV/0!</v>
      </c>
    </row>
    <row r="647" spans="1:26" ht="27" customHeight="1">
      <c r="A647" s="909" t="s">
        <v>1212</v>
      </c>
      <c r="B647" s="909"/>
      <c r="C647" s="740"/>
      <c r="D647" s="740"/>
      <c r="E647" s="511">
        <f>SUM(E648)</f>
        <v>1667579.76</v>
      </c>
      <c r="F647" s="511">
        <f t="shared" ref="F647:V647" si="153">SUM(F648)</f>
        <v>0</v>
      </c>
      <c r="G647" s="17">
        <f t="shared" si="153"/>
        <v>0</v>
      </c>
      <c r="H647" s="511">
        <f t="shared" si="153"/>
        <v>0</v>
      </c>
      <c r="I647" s="511">
        <f t="shared" si="153"/>
        <v>515.64</v>
      </c>
      <c r="J647" s="511">
        <f t="shared" si="153"/>
        <v>0</v>
      </c>
      <c r="K647" s="511">
        <f t="shared" si="153"/>
        <v>0</v>
      </c>
      <c r="L647" s="511">
        <f t="shared" si="153"/>
        <v>1667579.76</v>
      </c>
      <c r="M647" s="511">
        <f t="shared" si="153"/>
        <v>0</v>
      </c>
      <c r="N647" s="511">
        <f t="shared" si="153"/>
        <v>0</v>
      </c>
      <c r="O647" s="511">
        <f t="shared" si="153"/>
        <v>0</v>
      </c>
      <c r="P647" s="511">
        <f t="shared" si="153"/>
        <v>0</v>
      </c>
      <c r="Q647" s="511">
        <f t="shared" si="153"/>
        <v>0</v>
      </c>
      <c r="R647" s="511">
        <f t="shared" si="153"/>
        <v>0</v>
      </c>
      <c r="S647" s="511">
        <f t="shared" si="153"/>
        <v>0</v>
      </c>
      <c r="T647" s="511">
        <f t="shared" si="153"/>
        <v>0</v>
      </c>
      <c r="U647" s="511">
        <f t="shared" si="153"/>
        <v>0</v>
      </c>
      <c r="V647" s="511">
        <f t="shared" si="153"/>
        <v>0</v>
      </c>
      <c r="X647" s="38">
        <f>'[2]Приложение 1'!T643</f>
        <v>0</v>
      </c>
      <c r="Y647" s="9">
        <f t="shared" si="147"/>
        <v>3234</v>
      </c>
      <c r="Z647" s="19">
        <f t="shared" si="148"/>
        <v>-3234</v>
      </c>
    </row>
    <row r="648" spans="1:26" ht="9" customHeight="1">
      <c r="A648" s="735">
        <v>222</v>
      </c>
      <c r="B648" s="741" t="s">
        <v>940</v>
      </c>
      <c r="C648" s="65" t="s">
        <v>1192</v>
      </c>
      <c r="D648" s="65" t="s">
        <v>111</v>
      </c>
      <c r="E648" s="511">
        <f t="shared" ref="E648:E652" si="154">F648+H648+L648+N648+P648+R648+S648+T648+U648+V648</f>
        <v>1667579.76</v>
      </c>
      <c r="F648" s="25">
        <v>0</v>
      </c>
      <c r="G648" s="36">
        <v>0</v>
      </c>
      <c r="H648" s="25">
        <v>0</v>
      </c>
      <c r="I648" s="25">
        <v>515.64</v>
      </c>
      <c r="J648" s="511"/>
      <c r="K648" s="511"/>
      <c r="L648" s="511">
        <f>ROUND(3234*I648,2)</f>
        <v>1667579.76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X648" s="38">
        <f>'[2]Приложение 1'!T644</f>
        <v>0</v>
      </c>
      <c r="Y648" s="9">
        <f t="shared" si="147"/>
        <v>3234</v>
      </c>
      <c r="Z648" s="19">
        <f t="shared" si="148"/>
        <v>-3234</v>
      </c>
    </row>
    <row r="649" spans="1:26" ht="12" customHeight="1">
      <c r="A649" s="908" t="s">
        <v>1033</v>
      </c>
      <c r="B649" s="908"/>
      <c r="C649" s="908"/>
      <c r="D649" s="908"/>
      <c r="E649" s="908"/>
      <c r="F649" s="908"/>
      <c r="G649" s="908"/>
      <c r="H649" s="908"/>
      <c r="I649" s="908"/>
      <c r="J649" s="908"/>
      <c r="K649" s="908"/>
      <c r="L649" s="908"/>
      <c r="M649" s="908"/>
      <c r="N649" s="908"/>
      <c r="O649" s="908"/>
      <c r="P649" s="908"/>
      <c r="Q649" s="908"/>
      <c r="R649" s="908"/>
      <c r="S649" s="908"/>
      <c r="T649" s="908"/>
      <c r="U649" s="908"/>
      <c r="V649" s="908"/>
      <c r="X649" s="38">
        <f>'[2]Приложение 1'!T645</f>
        <v>4503.95</v>
      </c>
      <c r="Y649" s="9" t="e">
        <f t="shared" si="147"/>
        <v>#DIV/0!</v>
      </c>
      <c r="Z649" s="19" t="e">
        <f t="shared" si="148"/>
        <v>#DIV/0!</v>
      </c>
    </row>
    <row r="650" spans="1:26" ht="21" customHeight="1">
      <c r="A650" s="909" t="s">
        <v>1213</v>
      </c>
      <c r="B650" s="909"/>
      <c r="C650" s="65"/>
      <c r="D650" s="65"/>
      <c r="E650" s="511">
        <f>SUM(E651:E652)</f>
        <v>5712142.2000000002</v>
      </c>
      <c r="F650" s="511">
        <f>SUM(F651:F652)</f>
        <v>0</v>
      </c>
      <c r="G650" s="8">
        <f>SUM(G651:G652)</f>
        <v>0</v>
      </c>
      <c r="H650" s="511">
        <f>SUM(H651:H652)</f>
        <v>0</v>
      </c>
      <c r="I650" s="511">
        <f>SUM(I651:I652)</f>
        <v>1713.3</v>
      </c>
      <c r="J650" s="511">
        <f t="shared" ref="J650:V650" si="155">SUM(J651:J652)</f>
        <v>0</v>
      </c>
      <c r="K650" s="511">
        <f t="shared" si="155"/>
        <v>0</v>
      </c>
      <c r="L650" s="511">
        <f>SUM(L651:L652)</f>
        <v>5712142.2000000002</v>
      </c>
      <c r="M650" s="511">
        <f>SUM(M651:M652)</f>
        <v>0</v>
      </c>
      <c r="N650" s="511">
        <f t="shared" si="155"/>
        <v>0</v>
      </c>
      <c r="O650" s="511">
        <f t="shared" si="155"/>
        <v>0</v>
      </c>
      <c r="P650" s="511">
        <f t="shared" si="155"/>
        <v>0</v>
      </c>
      <c r="Q650" s="511">
        <f t="shared" si="155"/>
        <v>0</v>
      </c>
      <c r="R650" s="511">
        <f t="shared" si="155"/>
        <v>0</v>
      </c>
      <c r="S650" s="511">
        <f t="shared" si="155"/>
        <v>0</v>
      </c>
      <c r="T650" s="511">
        <f t="shared" si="155"/>
        <v>0</v>
      </c>
      <c r="U650" s="511">
        <f t="shared" si="155"/>
        <v>0</v>
      </c>
      <c r="V650" s="511">
        <f t="shared" si="155"/>
        <v>0</v>
      </c>
      <c r="X650" s="38">
        <f>'[2]Приложение 1'!T646</f>
        <v>0</v>
      </c>
      <c r="Y650" s="9">
        <f>L650/I650</f>
        <v>3334</v>
      </c>
      <c r="Z650" s="19">
        <f t="shared" si="148"/>
        <v>-3334</v>
      </c>
    </row>
    <row r="651" spans="1:26" ht="9" customHeight="1">
      <c r="A651" s="735">
        <v>223</v>
      </c>
      <c r="B651" s="741" t="s">
        <v>941</v>
      </c>
      <c r="C651" s="75" t="s">
        <v>1192</v>
      </c>
      <c r="D651" s="65" t="s">
        <v>111</v>
      </c>
      <c r="E651" s="511">
        <f t="shared" si="154"/>
        <v>3121624.2</v>
      </c>
      <c r="F651" s="25">
        <v>0</v>
      </c>
      <c r="G651" s="36">
        <v>0</v>
      </c>
      <c r="H651" s="25">
        <v>0</v>
      </c>
      <c r="I651" s="25">
        <v>936.3</v>
      </c>
      <c r="J651" s="511"/>
      <c r="K651" s="511"/>
      <c r="L651" s="511">
        <f>ROUND(3334*I651,2)</f>
        <v>3121624.2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X651" s="38">
        <f>'[2]Приложение 1'!T647</f>
        <v>0</v>
      </c>
      <c r="Y651" s="9">
        <f t="shared" si="147"/>
        <v>3334.0000000000005</v>
      </c>
      <c r="Z651" s="19">
        <f t="shared" si="148"/>
        <v>-3334.0000000000005</v>
      </c>
    </row>
    <row r="652" spans="1:26" ht="9" customHeight="1">
      <c r="A652" s="735">
        <v>224</v>
      </c>
      <c r="B652" s="741" t="s">
        <v>1035</v>
      </c>
      <c r="C652" s="75" t="s">
        <v>1192</v>
      </c>
      <c r="D652" s="65" t="s">
        <v>111</v>
      </c>
      <c r="E652" s="511">
        <f t="shared" si="154"/>
        <v>2590518</v>
      </c>
      <c r="F652" s="25">
        <v>0</v>
      </c>
      <c r="G652" s="36">
        <v>0</v>
      </c>
      <c r="H652" s="25">
        <v>0</v>
      </c>
      <c r="I652" s="25">
        <v>777</v>
      </c>
      <c r="J652" s="511"/>
      <c r="K652" s="511"/>
      <c r="L652" s="511">
        <f t="shared" ref="L652" si="156">ROUND(3334*I652,2)</f>
        <v>2590518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X652" s="38">
        <f>'[2]Приложение 1'!T648</f>
        <v>4180</v>
      </c>
      <c r="Y652" s="9">
        <f t="shared" si="147"/>
        <v>3334</v>
      </c>
      <c r="Z652" s="19">
        <f t="shared" si="148"/>
        <v>846</v>
      </c>
    </row>
    <row r="653" spans="1:26" s="27" customFormat="1" ht="9" customHeight="1">
      <c r="A653" s="887" t="s">
        <v>3</v>
      </c>
      <c r="B653" s="887"/>
      <c r="C653" s="887"/>
      <c r="D653" s="887"/>
      <c r="E653" s="887"/>
      <c r="F653" s="887"/>
      <c r="G653" s="887"/>
      <c r="H653" s="887"/>
      <c r="I653" s="887"/>
      <c r="J653" s="887"/>
      <c r="K653" s="887"/>
      <c r="L653" s="887"/>
      <c r="M653" s="887"/>
      <c r="N653" s="887"/>
      <c r="O653" s="887"/>
      <c r="P653" s="887"/>
      <c r="Q653" s="887"/>
      <c r="R653" s="887"/>
      <c r="S653" s="887"/>
      <c r="T653" s="887"/>
      <c r="U653" s="887"/>
      <c r="V653" s="887"/>
      <c r="X653" s="38">
        <f>'[2]Приложение 1'!T649</f>
        <v>4180</v>
      </c>
      <c r="Y653" s="9" t="e">
        <f t="shared" si="147"/>
        <v>#DIV/0!</v>
      </c>
      <c r="Z653" s="19" t="e">
        <f t="shared" si="148"/>
        <v>#DIV/0!</v>
      </c>
    </row>
    <row r="654" spans="1:26" s="27" customFormat="1" ht="21" customHeight="1">
      <c r="A654" s="910" t="s">
        <v>6</v>
      </c>
      <c r="B654" s="910"/>
      <c r="C654" s="71"/>
      <c r="D654" s="71"/>
      <c r="E654" s="49">
        <f>SUM(E655:E656)</f>
        <v>4558646.4000000004</v>
      </c>
      <c r="F654" s="49">
        <f t="shared" ref="F654:V654" si="157">SUM(F655:F656)</f>
        <v>0</v>
      </c>
      <c r="G654" s="50">
        <f t="shared" si="157"/>
        <v>0</v>
      </c>
      <c r="H654" s="49">
        <f t="shared" si="157"/>
        <v>0</v>
      </c>
      <c r="I654" s="49">
        <f>SUM(I655:I656)</f>
        <v>1409.6</v>
      </c>
      <c r="J654" s="49">
        <f t="shared" si="157"/>
        <v>0</v>
      </c>
      <c r="K654" s="49">
        <f t="shared" si="157"/>
        <v>0</v>
      </c>
      <c r="L654" s="49">
        <f t="shared" si="157"/>
        <v>4558646.4000000004</v>
      </c>
      <c r="M654" s="49">
        <f t="shared" si="157"/>
        <v>0</v>
      </c>
      <c r="N654" s="49">
        <f t="shared" si="157"/>
        <v>0</v>
      </c>
      <c r="O654" s="49">
        <f t="shared" si="157"/>
        <v>0</v>
      </c>
      <c r="P654" s="49">
        <f t="shared" si="157"/>
        <v>0</v>
      </c>
      <c r="Q654" s="49">
        <f t="shared" si="157"/>
        <v>0</v>
      </c>
      <c r="R654" s="49">
        <f t="shared" si="157"/>
        <v>0</v>
      </c>
      <c r="S654" s="49">
        <f t="shared" si="157"/>
        <v>0</v>
      </c>
      <c r="T654" s="49">
        <f t="shared" si="157"/>
        <v>0</v>
      </c>
      <c r="U654" s="49">
        <f t="shared" si="157"/>
        <v>0</v>
      </c>
      <c r="V654" s="49">
        <f t="shared" si="157"/>
        <v>0</v>
      </c>
      <c r="X654" s="38">
        <f>'[2]Приложение 1'!T650</f>
        <v>0</v>
      </c>
      <c r="Y654" s="9">
        <f t="shared" si="147"/>
        <v>3234.0000000000005</v>
      </c>
      <c r="Z654" s="19">
        <f t="shared" si="148"/>
        <v>-3234.0000000000005</v>
      </c>
    </row>
    <row r="655" spans="1:26" s="27" customFormat="1" ht="9" customHeight="1">
      <c r="A655" s="742">
        <v>225</v>
      </c>
      <c r="B655" s="743" t="s">
        <v>944</v>
      </c>
      <c r="C655" s="75" t="s">
        <v>1192</v>
      </c>
      <c r="D655" s="744" t="s">
        <v>111</v>
      </c>
      <c r="E655" s="511">
        <f t="shared" ref="E655:E656" si="158">F655+H655+L655+N655+P655+R655+S655+T655+U655+V655</f>
        <v>1699790.4</v>
      </c>
      <c r="F655" s="49">
        <v>0</v>
      </c>
      <c r="G655" s="50">
        <v>0</v>
      </c>
      <c r="H655" s="49">
        <v>0</v>
      </c>
      <c r="I655" s="49">
        <v>525.6</v>
      </c>
      <c r="J655" s="511"/>
      <c r="K655" s="511"/>
      <c r="L655" s="511">
        <f>ROUND(3234*I655,2)</f>
        <v>1699790.4</v>
      </c>
      <c r="M655" s="49">
        <v>0</v>
      </c>
      <c r="N655" s="49">
        <v>0</v>
      </c>
      <c r="O655" s="49">
        <v>0</v>
      </c>
      <c r="P655" s="49">
        <v>0</v>
      </c>
      <c r="Q655" s="49">
        <v>0</v>
      </c>
      <c r="R655" s="49">
        <v>0</v>
      </c>
      <c r="S655" s="49">
        <v>0</v>
      </c>
      <c r="T655" s="49">
        <v>0</v>
      </c>
      <c r="U655" s="49">
        <v>0</v>
      </c>
      <c r="V655" s="49">
        <v>0</v>
      </c>
      <c r="X655" s="38">
        <f>'[2]Приложение 1'!T651</f>
        <v>0</v>
      </c>
      <c r="Y655" s="9">
        <f t="shared" si="147"/>
        <v>3233.9999999999995</v>
      </c>
      <c r="Z655" s="19">
        <f t="shared" si="148"/>
        <v>-3233.9999999999995</v>
      </c>
    </row>
    <row r="656" spans="1:26" s="27" customFormat="1" ht="9" customHeight="1">
      <c r="A656" s="742">
        <v>226</v>
      </c>
      <c r="B656" s="743" t="s">
        <v>945</v>
      </c>
      <c r="C656" s="75" t="s">
        <v>1192</v>
      </c>
      <c r="D656" s="744" t="s">
        <v>111</v>
      </c>
      <c r="E656" s="511">
        <f t="shared" si="158"/>
        <v>2858856</v>
      </c>
      <c r="F656" s="49">
        <v>0</v>
      </c>
      <c r="G656" s="50">
        <v>0</v>
      </c>
      <c r="H656" s="49">
        <v>0</v>
      </c>
      <c r="I656" s="49">
        <v>884</v>
      </c>
      <c r="J656" s="511"/>
      <c r="K656" s="511"/>
      <c r="L656" s="511">
        <f>ROUND(3234*I656,2)</f>
        <v>2858856</v>
      </c>
      <c r="M656" s="49">
        <v>0</v>
      </c>
      <c r="N656" s="49">
        <v>0</v>
      </c>
      <c r="O656" s="49">
        <v>0</v>
      </c>
      <c r="P656" s="49">
        <v>0</v>
      </c>
      <c r="Q656" s="49">
        <v>0</v>
      </c>
      <c r="R656" s="49">
        <v>0</v>
      </c>
      <c r="S656" s="49">
        <v>0</v>
      </c>
      <c r="T656" s="49">
        <v>0</v>
      </c>
      <c r="U656" s="49">
        <v>0</v>
      </c>
      <c r="V656" s="49">
        <v>0</v>
      </c>
      <c r="X656" s="38">
        <f>'[2]Приложение 1'!T652</f>
        <v>4503.95</v>
      </c>
      <c r="Y656" s="9">
        <f t="shared" si="147"/>
        <v>3234</v>
      </c>
      <c r="Z656" s="19">
        <f t="shared" si="148"/>
        <v>1269.9499999999998</v>
      </c>
    </row>
    <row r="657" spans="1:26" s="27" customFormat="1" ht="9" customHeight="1">
      <c r="A657" s="886" t="s">
        <v>9</v>
      </c>
      <c r="B657" s="886"/>
      <c r="C657" s="886"/>
      <c r="D657" s="886"/>
      <c r="E657" s="886"/>
      <c r="F657" s="886"/>
      <c r="G657" s="886"/>
      <c r="H657" s="886"/>
      <c r="I657" s="886"/>
      <c r="J657" s="886"/>
      <c r="K657" s="886"/>
      <c r="L657" s="886"/>
      <c r="M657" s="886"/>
      <c r="N657" s="886"/>
      <c r="O657" s="886"/>
      <c r="P657" s="886"/>
      <c r="Q657" s="886"/>
      <c r="R657" s="886"/>
      <c r="S657" s="886"/>
      <c r="T657" s="886"/>
      <c r="U657" s="886"/>
      <c r="V657" s="886"/>
      <c r="X657" s="38">
        <f>'[2]Приложение 1'!T653</f>
        <v>4503.95</v>
      </c>
      <c r="Y657" s="9" t="e">
        <f t="shared" si="147"/>
        <v>#DIV/0!</v>
      </c>
      <c r="Z657" s="19" t="e">
        <f t="shared" si="148"/>
        <v>#DIV/0!</v>
      </c>
    </row>
    <row r="658" spans="1:26" s="27" customFormat="1" ht="20.25" customHeight="1">
      <c r="A658" s="902" t="s">
        <v>10</v>
      </c>
      <c r="B658" s="902"/>
      <c r="C658" s="66"/>
      <c r="D658" s="66"/>
      <c r="E658" s="20">
        <f>SUM(E659:E660)</f>
        <v>3180056.88</v>
      </c>
      <c r="F658" s="20">
        <f t="shared" ref="F658:V658" si="159">SUM(F659:F660)</f>
        <v>0</v>
      </c>
      <c r="G658" s="33">
        <f t="shared" si="159"/>
        <v>0</v>
      </c>
      <c r="H658" s="20">
        <f t="shared" si="159"/>
        <v>0</v>
      </c>
      <c r="I658" s="20">
        <f>SUM(I659:I660)</f>
        <v>983.31999999999994</v>
      </c>
      <c r="J658" s="20">
        <f t="shared" si="159"/>
        <v>0</v>
      </c>
      <c r="K658" s="20">
        <f t="shared" si="159"/>
        <v>0</v>
      </c>
      <c r="L658" s="20">
        <f t="shared" si="159"/>
        <v>3180056.88</v>
      </c>
      <c r="M658" s="20">
        <f t="shared" si="159"/>
        <v>0</v>
      </c>
      <c r="N658" s="20">
        <f t="shared" si="159"/>
        <v>0</v>
      </c>
      <c r="O658" s="20">
        <f t="shared" si="159"/>
        <v>0</v>
      </c>
      <c r="P658" s="20">
        <f t="shared" si="159"/>
        <v>0</v>
      </c>
      <c r="Q658" s="20">
        <f t="shared" si="159"/>
        <v>0</v>
      </c>
      <c r="R658" s="20">
        <f t="shared" si="159"/>
        <v>0</v>
      </c>
      <c r="S658" s="20">
        <f t="shared" si="159"/>
        <v>0</v>
      </c>
      <c r="T658" s="20">
        <f t="shared" si="159"/>
        <v>0</v>
      </c>
      <c r="U658" s="20">
        <f t="shared" si="159"/>
        <v>0</v>
      </c>
      <c r="V658" s="20">
        <f t="shared" si="159"/>
        <v>0</v>
      </c>
      <c r="X658" s="38">
        <f>'[2]Приложение 1'!T654</f>
        <v>0</v>
      </c>
      <c r="Y658" s="9">
        <f t="shared" si="147"/>
        <v>3234</v>
      </c>
      <c r="Z658" s="19">
        <f t="shared" si="148"/>
        <v>-3234</v>
      </c>
    </row>
    <row r="659" spans="1:26" s="27" customFormat="1" ht="9" customHeight="1">
      <c r="A659" s="21">
        <v>227</v>
      </c>
      <c r="B659" s="745" t="s">
        <v>947</v>
      </c>
      <c r="C659" s="65" t="s">
        <v>1192</v>
      </c>
      <c r="D659" s="746" t="s">
        <v>111</v>
      </c>
      <c r="E659" s="511">
        <f t="shared" ref="E659:E660" si="160">F659+H659+L659+N659+P659+R659+S659+T659+U659+V659</f>
        <v>1512929.88</v>
      </c>
      <c r="F659" s="20">
        <v>0</v>
      </c>
      <c r="G659" s="33">
        <v>0</v>
      </c>
      <c r="H659" s="20">
        <v>0</v>
      </c>
      <c r="I659" s="20">
        <v>467.82</v>
      </c>
      <c r="J659" s="511"/>
      <c r="K659" s="511"/>
      <c r="L659" s="511">
        <f>ROUND(3234*I659,2)</f>
        <v>1512929.88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X659" s="38">
        <f>'[2]Приложение 1'!T655</f>
        <v>0</v>
      </c>
      <c r="Y659" s="9">
        <f t="shared" si="147"/>
        <v>3234</v>
      </c>
      <c r="Z659" s="19">
        <f t="shared" si="148"/>
        <v>-3234</v>
      </c>
    </row>
    <row r="660" spans="1:26" s="27" customFormat="1" ht="9" customHeight="1">
      <c r="A660" s="21">
        <v>228</v>
      </c>
      <c r="B660" s="745" t="s">
        <v>948</v>
      </c>
      <c r="C660" s="65" t="s">
        <v>1192</v>
      </c>
      <c r="D660" s="746" t="s">
        <v>111</v>
      </c>
      <c r="E660" s="511">
        <f t="shared" si="160"/>
        <v>1667127</v>
      </c>
      <c r="F660" s="20">
        <v>0</v>
      </c>
      <c r="G660" s="33">
        <v>0</v>
      </c>
      <c r="H660" s="20">
        <v>0</v>
      </c>
      <c r="I660" s="20">
        <v>515.5</v>
      </c>
      <c r="J660" s="511"/>
      <c r="K660" s="511"/>
      <c r="L660" s="511">
        <f>ROUND(3234*I660,2)</f>
        <v>1667127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X660" s="38">
        <f>'[2]Приложение 1'!T656</f>
        <v>4503.95</v>
      </c>
      <c r="Y660" s="9">
        <f t="shared" si="147"/>
        <v>3234</v>
      </c>
      <c r="Z660" s="19">
        <f t="shared" si="148"/>
        <v>1269.9499999999998</v>
      </c>
    </row>
    <row r="661" spans="1:26" s="27" customFormat="1" ht="9" customHeight="1">
      <c r="A661" s="886" t="s">
        <v>11</v>
      </c>
      <c r="B661" s="886"/>
      <c r="C661" s="886"/>
      <c r="D661" s="886"/>
      <c r="E661" s="886"/>
      <c r="F661" s="886"/>
      <c r="G661" s="886"/>
      <c r="H661" s="886"/>
      <c r="I661" s="886"/>
      <c r="J661" s="886"/>
      <c r="K661" s="886"/>
      <c r="L661" s="886"/>
      <c r="M661" s="886"/>
      <c r="N661" s="886"/>
      <c r="O661" s="886"/>
      <c r="P661" s="886"/>
      <c r="Q661" s="886"/>
      <c r="R661" s="886"/>
      <c r="S661" s="886"/>
      <c r="T661" s="886"/>
      <c r="U661" s="886"/>
      <c r="V661" s="886"/>
      <c r="X661" s="38">
        <f>'[2]Приложение 1'!T657</f>
        <v>4503.95</v>
      </c>
      <c r="Y661" s="9" t="e">
        <f t="shared" si="147"/>
        <v>#DIV/0!</v>
      </c>
      <c r="Z661" s="19" t="e">
        <f t="shared" si="148"/>
        <v>#DIV/0!</v>
      </c>
    </row>
    <row r="662" spans="1:26" s="27" customFormat="1" ht="21" customHeight="1">
      <c r="A662" s="902" t="s">
        <v>12</v>
      </c>
      <c r="B662" s="902"/>
      <c r="C662" s="66"/>
      <c r="D662" s="66"/>
      <c r="E662" s="20">
        <f>SUM(E663:E665)</f>
        <v>3528294</v>
      </c>
      <c r="F662" s="20">
        <f t="shared" ref="F662:V662" si="161">SUM(F663:F665)</f>
        <v>0</v>
      </c>
      <c r="G662" s="33">
        <f t="shared" si="161"/>
        <v>0</v>
      </c>
      <c r="H662" s="20">
        <f t="shared" si="161"/>
        <v>0</v>
      </c>
      <c r="I662" s="20">
        <f>SUM(I663:I665)</f>
        <v>1091</v>
      </c>
      <c r="J662" s="20">
        <f t="shared" si="161"/>
        <v>0</v>
      </c>
      <c r="K662" s="20">
        <f t="shared" si="161"/>
        <v>0</v>
      </c>
      <c r="L662" s="20">
        <f t="shared" si="161"/>
        <v>3528294</v>
      </c>
      <c r="M662" s="20">
        <f t="shared" si="161"/>
        <v>0</v>
      </c>
      <c r="N662" s="20">
        <f t="shared" si="161"/>
        <v>0</v>
      </c>
      <c r="O662" s="20">
        <f t="shared" si="161"/>
        <v>0</v>
      </c>
      <c r="P662" s="20">
        <f t="shared" si="161"/>
        <v>0</v>
      </c>
      <c r="Q662" s="20">
        <f t="shared" si="161"/>
        <v>0</v>
      </c>
      <c r="R662" s="20">
        <f t="shared" si="161"/>
        <v>0</v>
      </c>
      <c r="S662" s="20">
        <f t="shared" si="161"/>
        <v>0</v>
      </c>
      <c r="T662" s="20">
        <f t="shared" si="161"/>
        <v>0</v>
      </c>
      <c r="U662" s="20">
        <f t="shared" si="161"/>
        <v>0</v>
      </c>
      <c r="V662" s="20">
        <f t="shared" si="161"/>
        <v>0</v>
      </c>
      <c r="X662" s="38">
        <f>'[2]Приложение 1'!T658</f>
        <v>0</v>
      </c>
      <c r="Y662" s="9">
        <f t="shared" si="147"/>
        <v>3234</v>
      </c>
      <c r="Z662" s="19">
        <f t="shared" si="148"/>
        <v>-3234</v>
      </c>
    </row>
    <row r="663" spans="1:26" s="27" customFormat="1" ht="9" customHeight="1">
      <c r="A663" s="21">
        <v>229</v>
      </c>
      <c r="B663" s="745" t="s">
        <v>949</v>
      </c>
      <c r="C663" s="65" t="s">
        <v>1192</v>
      </c>
      <c r="D663" s="746" t="s">
        <v>111</v>
      </c>
      <c r="E663" s="511">
        <f t="shared" ref="E663:E665" si="162">F663+H663+L663+N663+P663+R663+S663+T663+U663+V663</f>
        <v>543312</v>
      </c>
      <c r="F663" s="20">
        <v>0</v>
      </c>
      <c r="G663" s="33">
        <v>0</v>
      </c>
      <c r="H663" s="20">
        <v>0</v>
      </c>
      <c r="I663" s="20">
        <v>168</v>
      </c>
      <c r="J663" s="511"/>
      <c r="K663" s="511"/>
      <c r="L663" s="511">
        <f>ROUND(3234*I663,2)</f>
        <v>543312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X663" s="38">
        <f>'[2]Приложение 1'!T659</f>
        <v>0</v>
      </c>
      <c r="Y663" s="9">
        <f t="shared" si="147"/>
        <v>3234</v>
      </c>
      <c r="Z663" s="19">
        <f t="shared" si="148"/>
        <v>-3234</v>
      </c>
    </row>
    <row r="664" spans="1:26" s="27" customFormat="1" ht="9" customHeight="1">
      <c r="A664" s="21">
        <v>230</v>
      </c>
      <c r="B664" s="745" t="s">
        <v>950</v>
      </c>
      <c r="C664" s="65" t="s">
        <v>1192</v>
      </c>
      <c r="D664" s="746" t="s">
        <v>111</v>
      </c>
      <c r="E664" s="511">
        <f t="shared" si="162"/>
        <v>1775466</v>
      </c>
      <c r="F664" s="20">
        <v>0</v>
      </c>
      <c r="G664" s="33">
        <v>0</v>
      </c>
      <c r="H664" s="20">
        <v>0</v>
      </c>
      <c r="I664" s="20">
        <v>549</v>
      </c>
      <c r="J664" s="511"/>
      <c r="K664" s="511"/>
      <c r="L664" s="511">
        <f>ROUND(3234*I664,2)</f>
        <v>1775466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X664" s="38">
        <f>'[2]Приложение 1'!T660</f>
        <v>4503.95</v>
      </c>
      <c r="Y664" s="9">
        <f t="shared" si="147"/>
        <v>3234</v>
      </c>
      <c r="Z664" s="19">
        <f t="shared" si="148"/>
        <v>1269.9499999999998</v>
      </c>
    </row>
    <row r="665" spans="1:26" s="27" customFormat="1" ht="9" customHeight="1">
      <c r="A665" s="21">
        <v>231</v>
      </c>
      <c r="B665" s="745" t="s">
        <v>951</v>
      </c>
      <c r="C665" s="65" t="s">
        <v>1192</v>
      </c>
      <c r="D665" s="746" t="s">
        <v>111</v>
      </c>
      <c r="E665" s="511">
        <f t="shared" si="162"/>
        <v>1209516</v>
      </c>
      <c r="F665" s="20">
        <v>0</v>
      </c>
      <c r="G665" s="33">
        <v>0</v>
      </c>
      <c r="H665" s="20">
        <v>0</v>
      </c>
      <c r="I665" s="20">
        <v>374</v>
      </c>
      <c r="J665" s="511"/>
      <c r="K665" s="511"/>
      <c r="L665" s="511">
        <f>ROUND(3234*I665,2)</f>
        <v>1209516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X665" s="38">
        <f>'[2]Приложение 1'!T661</f>
        <v>4503.95</v>
      </c>
      <c r="Y665" s="9">
        <f t="shared" si="147"/>
        <v>3234</v>
      </c>
      <c r="Z665" s="19">
        <f t="shared" si="148"/>
        <v>1269.9499999999998</v>
      </c>
    </row>
    <row r="666" spans="1:26" s="27" customFormat="1" ht="9" customHeight="1">
      <c r="A666" s="911" t="s">
        <v>1062</v>
      </c>
      <c r="B666" s="912"/>
      <c r="C666" s="912"/>
      <c r="D666" s="912"/>
      <c r="E666" s="912"/>
      <c r="F666" s="912"/>
      <c r="G666" s="912"/>
      <c r="H666" s="912"/>
      <c r="I666" s="912"/>
      <c r="J666" s="912"/>
      <c r="K666" s="912"/>
      <c r="L666" s="912"/>
      <c r="M666" s="912"/>
      <c r="N666" s="912"/>
      <c r="O666" s="912"/>
      <c r="P666" s="912"/>
      <c r="Q666" s="912"/>
      <c r="R666" s="912"/>
      <c r="S666" s="912"/>
      <c r="T666" s="912"/>
      <c r="U666" s="912"/>
      <c r="V666" s="913"/>
      <c r="X666" s="38">
        <f>'[2]Приложение 1'!T662</f>
        <v>4503.95</v>
      </c>
      <c r="Y666" s="9" t="e">
        <f t="shared" si="147"/>
        <v>#DIV/0!</v>
      </c>
      <c r="Z666" s="19" t="e">
        <f t="shared" si="148"/>
        <v>#DIV/0!</v>
      </c>
    </row>
    <row r="667" spans="1:26" s="27" customFormat="1" ht="25.5" customHeight="1">
      <c r="A667" s="914" t="s">
        <v>1063</v>
      </c>
      <c r="B667" s="914"/>
      <c r="C667" s="65"/>
      <c r="D667" s="65"/>
      <c r="E667" s="511">
        <f>SUM(E668)</f>
        <v>2790558</v>
      </c>
      <c r="F667" s="511">
        <f t="shared" ref="F667:V667" si="163">SUM(F668)</f>
        <v>0</v>
      </c>
      <c r="G667" s="17">
        <f t="shared" si="163"/>
        <v>0</v>
      </c>
      <c r="H667" s="511">
        <f t="shared" si="163"/>
        <v>0</v>
      </c>
      <c r="I667" s="511">
        <f>SUM(I668)</f>
        <v>837</v>
      </c>
      <c r="J667" s="511">
        <f t="shared" si="163"/>
        <v>0</v>
      </c>
      <c r="K667" s="511">
        <f t="shared" si="163"/>
        <v>0</v>
      </c>
      <c r="L667" s="511">
        <f t="shared" si="163"/>
        <v>2790558</v>
      </c>
      <c r="M667" s="511">
        <f t="shared" si="163"/>
        <v>0</v>
      </c>
      <c r="N667" s="511">
        <f t="shared" si="163"/>
        <v>0</v>
      </c>
      <c r="O667" s="511">
        <f t="shared" si="163"/>
        <v>0</v>
      </c>
      <c r="P667" s="511">
        <f t="shared" si="163"/>
        <v>0</v>
      </c>
      <c r="Q667" s="511">
        <f t="shared" si="163"/>
        <v>0</v>
      </c>
      <c r="R667" s="511">
        <f t="shared" si="163"/>
        <v>0</v>
      </c>
      <c r="S667" s="511">
        <f t="shared" si="163"/>
        <v>0</v>
      </c>
      <c r="T667" s="511">
        <f t="shared" si="163"/>
        <v>0</v>
      </c>
      <c r="U667" s="511">
        <f t="shared" si="163"/>
        <v>0</v>
      </c>
      <c r="V667" s="511">
        <f t="shared" si="163"/>
        <v>0</v>
      </c>
      <c r="X667" s="38">
        <f>'[2]Приложение 1'!T663</f>
        <v>0</v>
      </c>
      <c r="Y667" s="9">
        <f t="shared" si="147"/>
        <v>3334</v>
      </c>
      <c r="Z667" s="19">
        <f t="shared" si="148"/>
        <v>-3334</v>
      </c>
    </row>
    <row r="668" spans="1:26" s="27" customFormat="1" ht="9" customHeight="1">
      <c r="A668" s="735">
        <v>232</v>
      </c>
      <c r="B668" s="741" t="s">
        <v>958</v>
      </c>
      <c r="C668" s="65" t="s">
        <v>1192</v>
      </c>
      <c r="D668" s="65" t="s">
        <v>110</v>
      </c>
      <c r="E668" s="511">
        <f t="shared" ref="E668" si="164">F668+H668+L668+N668+P668+R668+S668+T668+U668+V668</f>
        <v>2790558</v>
      </c>
      <c r="F668" s="20">
        <v>0</v>
      </c>
      <c r="G668" s="33">
        <v>0</v>
      </c>
      <c r="H668" s="20">
        <v>0</v>
      </c>
      <c r="I668" s="20">
        <v>837</v>
      </c>
      <c r="J668" s="511"/>
      <c r="K668" s="511"/>
      <c r="L668" s="511">
        <f t="shared" ref="L668" si="165">ROUND(3334*I668,2)</f>
        <v>2790558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X668" s="38">
        <f>'[2]Приложение 1'!T664</f>
        <v>0</v>
      </c>
      <c r="Y668" s="9">
        <f t="shared" si="147"/>
        <v>3334</v>
      </c>
      <c r="Z668" s="19">
        <f t="shared" si="148"/>
        <v>-3334</v>
      </c>
    </row>
    <row r="669" spans="1:26" s="27" customFormat="1" ht="9" customHeight="1">
      <c r="A669" s="883" t="s">
        <v>429</v>
      </c>
      <c r="B669" s="883"/>
      <c r="C669" s="883"/>
      <c r="D669" s="883"/>
      <c r="E669" s="883"/>
      <c r="F669" s="883"/>
      <c r="G669" s="883"/>
      <c r="H669" s="883"/>
      <c r="I669" s="883"/>
      <c r="J669" s="883"/>
      <c r="K669" s="883"/>
      <c r="L669" s="883"/>
      <c r="M669" s="883"/>
      <c r="N669" s="883"/>
      <c r="O669" s="883"/>
      <c r="P669" s="883"/>
      <c r="Q669" s="883"/>
      <c r="R669" s="883"/>
      <c r="S669" s="883"/>
      <c r="T669" s="883"/>
      <c r="U669" s="883"/>
      <c r="V669" s="883"/>
      <c r="X669" s="38">
        <f>'[2]Приложение 1'!T665</f>
        <v>4180</v>
      </c>
      <c r="Y669" s="9" t="e">
        <f t="shared" si="147"/>
        <v>#DIV/0!</v>
      </c>
      <c r="Z669" s="19" t="e">
        <f t="shared" si="148"/>
        <v>#DIV/0!</v>
      </c>
    </row>
    <row r="670" spans="1:26" s="27" customFormat="1" ht="21" customHeight="1">
      <c r="A670" s="900" t="s">
        <v>456</v>
      </c>
      <c r="B670" s="900"/>
      <c r="C670" s="58"/>
      <c r="D670" s="58"/>
      <c r="E670" s="511">
        <f>SUM(E671)</f>
        <v>2170014</v>
      </c>
      <c r="F670" s="511">
        <f t="shared" ref="F670:V670" si="166">SUM(F671)</f>
        <v>0</v>
      </c>
      <c r="G670" s="17">
        <f t="shared" si="166"/>
        <v>0</v>
      </c>
      <c r="H670" s="511">
        <f t="shared" si="166"/>
        <v>0</v>
      </c>
      <c r="I670" s="511">
        <f t="shared" si="166"/>
        <v>671</v>
      </c>
      <c r="J670" s="511">
        <f t="shared" si="166"/>
        <v>0</v>
      </c>
      <c r="K670" s="511">
        <f t="shared" si="166"/>
        <v>0</v>
      </c>
      <c r="L670" s="511">
        <f t="shared" si="166"/>
        <v>2170014</v>
      </c>
      <c r="M670" s="511">
        <f t="shared" si="166"/>
        <v>0</v>
      </c>
      <c r="N670" s="511">
        <f t="shared" si="166"/>
        <v>0</v>
      </c>
      <c r="O670" s="511">
        <f t="shared" si="166"/>
        <v>0</v>
      </c>
      <c r="P670" s="511">
        <f t="shared" si="166"/>
        <v>0</v>
      </c>
      <c r="Q670" s="511">
        <f t="shared" si="166"/>
        <v>0</v>
      </c>
      <c r="R670" s="511">
        <f t="shared" si="166"/>
        <v>0</v>
      </c>
      <c r="S670" s="511">
        <f t="shared" si="166"/>
        <v>0</v>
      </c>
      <c r="T670" s="511">
        <f t="shared" si="166"/>
        <v>0</v>
      </c>
      <c r="U670" s="511">
        <f t="shared" si="166"/>
        <v>0</v>
      </c>
      <c r="V670" s="511">
        <f t="shared" si="166"/>
        <v>0</v>
      </c>
      <c r="X670" s="38">
        <f>'[2]Приложение 1'!T666</f>
        <v>0</v>
      </c>
      <c r="Y670" s="9">
        <f t="shared" si="147"/>
        <v>3234</v>
      </c>
      <c r="Z670" s="19">
        <f t="shared" si="148"/>
        <v>-3234</v>
      </c>
    </row>
    <row r="671" spans="1:26" s="27" customFormat="1" ht="9" customHeight="1">
      <c r="A671" s="510">
        <v>233</v>
      </c>
      <c r="B671" s="737" t="s">
        <v>960</v>
      </c>
      <c r="C671" s="58" t="s">
        <v>1192</v>
      </c>
      <c r="D671" s="61" t="s">
        <v>111</v>
      </c>
      <c r="E671" s="511">
        <f t="shared" ref="E671" si="167">F671+H671+L671+N671+P671+R671+S671+T671+U671+V671</f>
        <v>2170014</v>
      </c>
      <c r="F671" s="511">
        <v>0</v>
      </c>
      <c r="G671" s="17">
        <v>0</v>
      </c>
      <c r="H671" s="511">
        <v>0</v>
      </c>
      <c r="I671" s="19">
        <v>671</v>
      </c>
      <c r="J671" s="511"/>
      <c r="K671" s="511"/>
      <c r="L671" s="511">
        <f>ROUND(3234*I671,2)</f>
        <v>2170014</v>
      </c>
      <c r="M671" s="19">
        <v>0</v>
      </c>
      <c r="N671" s="511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X671" s="38">
        <f>'[2]Приложение 1'!T667</f>
        <v>0</v>
      </c>
      <c r="Y671" s="9">
        <f t="shared" si="147"/>
        <v>3234</v>
      </c>
      <c r="Z671" s="19">
        <f t="shared" si="148"/>
        <v>-3234</v>
      </c>
    </row>
    <row r="672" spans="1:26" s="27" customFormat="1" ht="9" customHeight="1">
      <c r="A672" s="915" t="s">
        <v>1083</v>
      </c>
      <c r="B672" s="916"/>
      <c r="C672" s="916"/>
      <c r="D672" s="916"/>
      <c r="E672" s="916"/>
      <c r="F672" s="916"/>
      <c r="G672" s="916"/>
      <c r="H672" s="916"/>
      <c r="I672" s="916"/>
      <c r="J672" s="916"/>
      <c r="K672" s="916"/>
      <c r="L672" s="916"/>
      <c r="M672" s="916"/>
      <c r="N672" s="916"/>
      <c r="O672" s="916"/>
      <c r="P672" s="916"/>
      <c r="Q672" s="916"/>
      <c r="R672" s="916"/>
      <c r="S672" s="916"/>
      <c r="T672" s="916"/>
      <c r="U672" s="916"/>
      <c r="V672" s="917"/>
      <c r="X672" s="38">
        <f>'[2]Приложение 1'!T668</f>
        <v>4503.95</v>
      </c>
      <c r="Y672" s="9" t="e">
        <f t="shared" si="147"/>
        <v>#DIV/0!</v>
      </c>
      <c r="Z672" s="19" t="e">
        <f t="shared" si="148"/>
        <v>#DIV/0!</v>
      </c>
    </row>
    <row r="673" spans="1:26" s="27" customFormat="1" ht="27" customHeight="1">
      <c r="A673" s="900" t="s">
        <v>1084</v>
      </c>
      <c r="B673" s="900"/>
      <c r="C673" s="58"/>
      <c r="D673" s="58"/>
      <c r="E673" s="511">
        <f>SUM(E674)</f>
        <v>1067220</v>
      </c>
      <c r="F673" s="511">
        <f t="shared" ref="F673:V673" si="168">SUM(F674)</f>
        <v>0</v>
      </c>
      <c r="G673" s="17">
        <f t="shared" si="168"/>
        <v>0</v>
      </c>
      <c r="H673" s="511">
        <f t="shared" si="168"/>
        <v>0</v>
      </c>
      <c r="I673" s="511">
        <f t="shared" si="168"/>
        <v>330</v>
      </c>
      <c r="J673" s="511">
        <f t="shared" si="168"/>
        <v>0</v>
      </c>
      <c r="K673" s="511">
        <f t="shared" si="168"/>
        <v>0</v>
      </c>
      <c r="L673" s="511">
        <f t="shared" si="168"/>
        <v>1067220</v>
      </c>
      <c r="M673" s="511">
        <f t="shared" si="168"/>
        <v>0</v>
      </c>
      <c r="N673" s="511">
        <f t="shared" si="168"/>
        <v>0</v>
      </c>
      <c r="O673" s="511">
        <f t="shared" si="168"/>
        <v>0</v>
      </c>
      <c r="P673" s="511">
        <f t="shared" si="168"/>
        <v>0</v>
      </c>
      <c r="Q673" s="511">
        <f t="shared" si="168"/>
        <v>0</v>
      </c>
      <c r="R673" s="511">
        <f t="shared" si="168"/>
        <v>0</v>
      </c>
      <c r="S673" s="511">
        <f t="shared" si="168"/>
        <v>0</v>
      </c>
      <c r="T673" s="511">
        <f t="shared" si="168"/>
        <v>0</v>
      </c>
      <c r="U673" s="511">
        <f t="shared" si="168"/>
        <v>0</v>
      </c>
      <c r="V673" s="511">
        <f t="shared" si="168"/>
        <v>0</v>
      </c>
      <c r="X673" s="38">
        <f>'[2]Приложение 1'!T669</f>
        <v>0</v>
      </c>
      <c r="Y673" s="9">
        <f t="shared" si="147"/>
        <v>3234</v>
      </c>
      <c r="Z673" s="19">
        <f t="shared" si="148"/>
        <v>-3234</v>
      </c>
    </row>
    <row r="674" spans="1:26" s="27" customFormat="1" ht="9" customHeight="1">
      <c r="A674" s="510">
        <v>234</v>
      </c>
      <c r="B674" s="509" t="s">
        <v>962</v>
      </c>
      <c r="C674" s="58" t="s">
        <v>1192</v>
      </c>
      <c r="D674" s="58" t="s">
        <v>111</v>
      </c>
      <c r="E674" s="511">
        <f t="shared" ref="E674" si="169">F674+H674+L674+N674+P674+R674+S674+T674+U674+V674</f>
        <v>1067220</v>
      </c>
      <c r="F674" s="511">
        <v>0</v>
      </c>
      <c r="G674" s="17">
        <v>0</v>
      </c>
      <c r="H674" s="511">
        <v>0</v>
      </c>
      <c r="I674" s="19">
        <v>330</v>
      </c>
      <c r="J674" s="511"/>
      <c r="K674" s="511"/>
      <c r="L674" s="511">
        <f>ROUND(3234*I674,2)</f>
        <v>1067220</v>
      </c>
      <c r="M674" s="19">
        <v>0</v>
      </c>
      <c r="N674" s="511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X674" s="38">
        <f>'[2]Приложение 1'!T670</f>
        <v>0</v>
      </c>
      <c r="Y674" s="9">
        <f t="shared" si="147"/>
        <v>3234</v>
      </c>
      <c r="Z674" s="19">
        <f t="shared" si="148"/>
        <v>-3234</v>
      </c>
    </row>
    <row r="675" spans="1:26" s="27" customFormat="1" ht="9" customHeight="1">
      <c r="A675" s="883" t="s">
        <v>29</v>
      </c>
      <c r="B675" s="883"/>
      <c r="C675" s="883"/>
      <c r="D675" s="883"/>
      <c r="E675" s="883"/>
      <c r="F675" s="883"/>
      <c r="G675" s="883"/>
      <c r="H675" s="883"/>
      <c r="I675" s="883"/>
      <c r="J675" s="883"/>
      <c r="K675" s="883"/>
      <c r="L675" s="883"/>
      <c r="M675" s="883"/>
      <c r="N675" s="883"/>
      <c r="O675" s="883"/>
      <c r="P675" s="883"/>
      <c r="Q675" s="883"/>
      <c r="R675" s="883"/>
      <c r="S675" s="883"/>
      <c r="T675" s="883"/>
      <c r="U675" s="883"/>
      <c r="V675" s="883"/>
      <c r="X675" s="38">
        <f>'[2]Приложение 1'!T671</f>
        <v>4503.95</v>
      </c>
      <c r="Y675" s="9" t="e">
        <f t="shared" si="147"/>
        <v>#DIV/0!</v>
      </c>
      <c r="Z675" s="19" t="e">
        <f t="shared" si="148"/>
        <v>#DIV/0!</v>
      </c>
    </row>
    <row r="676" spans="1:26" s="27" customFormat="1" ht="24.75" customHeight="1">
      <c r="A676" s="900" t="s">
        <v>30</v>
      </c>
      <c r="B676" s="900"/>
      <c r="C676" s="58"/>
      <c r="D676" s="58"/>
      <c r="E676" s="511">
        <f>SUM(E677:E679)</f>
        <v>4699002</v>
      </c>
      <c r="F676" s="511">
        <f t="shared" ref="F676:V676" si="170">SUM(F677:F679)</f>
        <v>0</v>
      </c>
      <c r="G676" s="17">
        <f t="shared" si="170"/>
        <v>0</v>
      </c>
      <c r="H676" s="511">
        <f t="shared" si="170"/>
        <v>0</v>
      </c>
      <c r="I676" s="511">
        <f>SUM(I677:I679)</f>
        <v>1453</v>
      </c>
      <c r="J676" s="511">
        <f t="shared" si="170"/>
        <v>0</v>
      </c>
      <c r="K676" s="511">
        <f t="shared" si="170"/>
        <v>0</v>
      </c>
      <c r="L676" s="511">
        <f t="shared" si="170"/>
        <v>4699002</v>
      </c>
      <c r="M676" s="511">
        <f t="shared" si="170"/>
        <v>0</v>
      </c>
      <c r="N676" s="511">
        <f t="shared" si="170"/>
        <v>0</v>
      </c>
      <c r="O676" s="511">
        <f t="shared" si="170"/>
        <v>0</v>
      </c>
      <c r="P676" s="511">
        <f t="shared" si="170"/>
        <v>0</v>
      </c>
      <c r="Q676" s="511">
        <f t="shared" si="170"/>
        <v>0</v>
      </c>
      <c r="R676" s="511">
        <f t="shared" si="170"/>
        <v>0</v>
      </c>
      <c r="S676" s="511">
        <f t="shared" si="170"/>
        <v>0</v>
      </c>
      <c r="T676" s="511">
        <f t="shared" si="170"/>
        <v>0</v>
      </c>
      <c r="U676" s="511">
        <f t="shared" si="170"/>
        <v>0</v>
      </c>
      <c r="V676" s="511">
        <f t="shared" si="170"/>
        <v>0</v>
      </c>
      <c r="X676" s="38">
        <f>'[2]Приложение 1'!T672</f>
        <v>0</v>
      </c>
      <c r="Y676" s="9">
        <f t="shared" si="147"/>
        <v>3234</v>
      </c>
      <c r="Z676" s="19">
        <f t="shared" si="148"/>
        <v>-3234</v>
      </c>
    </row>
    <row r="677" spans="1:26" s="27" customFormat="1" ht="9" customHeight="1">
      <c r="A677" s="510">
        <v>235</v>
      </c>
      <c r="B677" s="737" t="s">
        <v>963</v>
      </c>
      <c r="C677" s="58" t="s">
        <v>1192</v>
      </c>
      <c r="D677" s="61" t="s">
        <v>111</v>
      </c>
      <c r="E677" s="511">
        <f t="shared" ref="E677:E679" si="171">F677+H677+L677+N677+P677+R677+S677+T677+U677+V677</f>
        <v>2267034</v>
      </c>
      <c r="F677" s="511">
        <v>0</v>
      </c>
      <c r="G677" s="17">
        <v>0</v>
      </c>
      <c r="H677" s="511">
        <v>0</v>
      </c>
      <c r="I677" s="511">
        <v>701</v>
      </c>
      <c r="J677" s="511"/>
      <c r="K677" s="511"/>
      <c r="L677" s="511">
        <f>ROUND(3234*I677,2)</f>
        <v>2267034</v>
      </c>
      <c r="M677" s="511">
        <v>0</v>
      </c>
      <c r="N677" s="511">
        <v>0</v>
      </c>
      <c r="O677" s="511">
        <v>0</v>
      </c>
      <c r="P677" s="511">
        <v>0</v>
      </c>
      <c r="Q677" s="511">
        <v>0</v>
      </c>
      <c r="R677" s="511">
        <v>0</v>
      </c>
      <c r="S677" s="511">
        <v>0</v>
      </c>
      <c r="T677" s="511">
        <v>0</v>
      </c>
      <c r="U677" s="511">
        <v>0</v>
      </c>
      <c r="V677" s="511">
        <v>0</v>
      </c>
      <c r="X677" s="38">
        <f>'[2]Приложение 1'!T673</f>
        <v>0</v>
      </c>
      <c r="Y677" s="9">
        <f t="shared" si="147"/>
        <v>3234</v>
      </c>
      <c r="Z677" s="19">
        <f t="shared" si="148"/>
        <v>-3234</v>
      </c>
    </row>
    <row r="678" spans="1:26" s="27" customFormat="1" ht="9" customHeight="1">
      <c r="A678" s="510">
        <v>236</v>
      </c>
      <c r="B678" s="737" t="s">
        <v>964</v>
      </c>
      <c r="C678" s="58" t="s">
        <v>1192</v>
      </c>
      <c r="D678" s="61" t="s">
        <v>111</v>
      </c>
      <c r="E678" s="511">
        <f t="shared" si="171"/>
        <v>853776</v>
      </c>
      <c r="F678" s="511">
        <v>0</v>
      </c>
      <c r="G678" s="17">
        <v>0</v>
      </c>
      <c r="H678" s="511">
        <v>0</v>
      </c>
      <c r="I678" s="511">
        <v>264</v>
      </c>
      <c r="J678" s="511"/>
      <c r="K678" s="511"/>
      <c r="L678" s="511">
        <f>ROUND(3234*I678,2)</f>
        <v>853776</v>
      </c>
      <c r="M678" s="511">
        <v>0</v>
      </c>
      <c r="N678" s="511">
        <v>0</v>
      </c>
      <c r="O678" s="511">
        <v>0</v>
      </c>
      <c r="P678" s="511">
        <v>0</v>
      </c>
      <c r="Q678" s="511">
        <v>0</v>
      </c>
      <c r="R678" s="511">
        <v>0</v>
      </c>
      <c r="S678" s="511">
        <v>0</v>
      </c>
      <c r="T678" s="511">
        <v>0</v>
      </c>
      <c r="U678" s="511">
        <v>0</v>
      </c>
      <c r="V678" s="511">
        <v>0</v>
      </c>
      <c r="X678" s="38">
        <f>'[2]Приложение 1'!T674</f>
        <v>4503.95</v>
      </c>
      <c r="Y678" s="9">
        <f t="shared" si="147"/>
        <v>3234</v>
      </c>
      <c r="Z678" s="19">
        <f t="shared" si="148"/>
        <v>1269.9499999999998</v>
      </c>
    </row>
    <row r="679" spans="1:26" s="27" customFormat="1" ht="9" customHeight="1">
      <c r="A679" s="510">
        <v>237</v>
      </c>
      <c r="B679" s="737" t="s">
        <v>965</v>
      </c>
      <c r="C679" s="58" t="s">
        <v>1192</v>
      </c>
      <c r="D679" s="61" t="s">
        <v>111</v>
      </c>
      <c r="E679" s="511">
        <f t="shared" si="171"/>
        <v>1578192</v>
      </c>
      <c r="F679" s="511">
        <v>0</v>
      </c>
      <c r="G679" s="17">
        <v>0</v>
      </c>
      <c r="H679" s="511">
        <v>0</v>
      </c>
      <c r="I679" s="511">
        <v>488</v>
      </c>
      <c r="J679" s="511"/>
      <c r="K679" s="511"/>
      <c r="L679" s="511">
        <f>ROUND(3234*I679,2)</f>
        <v>1578192</v>
      </c>
      <c r="M679" s="511">
        <v>0</v>
      </c>
      <c r="N679" s="511">
        <v>0</v>
      </c>
      <c r="O679" s="511">
        <v>0</v>
      </c>
      <c r="P679" s="511">
        <v>0</v>
      </c>
      <c r="Q679" s="511">
        <v>0</v>
      </c>
      <c r="R679" s="511">
        <v>0</v>
      </c>
      <c r="S679" s="511">
        <v>0</v>
      </c>
      <c r="T679" s="511">
        <v>0</v>
      </c>
      <c r="U679" s="511">
        <v>0</v>
      </c>
      <c r="V679" s="511">
        <v>0</v>
      </c>
      <c r="X679" s="38">
        <f>'[2]Приложение 1'!T675</f>
        <v>4503.95</v>
      </c>
      <c r="Y679" s="9">
        <f t="shared" si="147"/>
        <v>3234</v>
      </c>
      <c r="Z679" s="19">
        <f t="shared" si="148"/>
        <v>1269.9499999999998</v>
      </c>
    </row>
    <row r="680" spans="1:26" s="27" customFormat="1" ht="9" customHeight="1">
      <c r="A680" s="882" t="s">
        <v>35</v>
      </c>
      <c r="B680" s="882"/>
      <c r="C680" s="882"/>
      <c r="D680" s="882"/>
      <c r="E680" s="882"/>
      <c r="F680" s="882"/>
      <c r="G680" s="882"/>
      <c r="H680" s="882"/>
      <c r="I680" s="882"/>
      <c r="J680" s="882"/>
      <c r="K680" s="882"/>
      <c r="L680" s="882"/>
      <c r="M680" s="882"/>
      <c r="N680" s="882"/>
      <c r="O680" s="882"/>
      <c r="P680" s="882"/>
      <c r="Q680" s="882"/>
      <c r="R680" s="882"/>
      <c r="S680" s="882"/>
      <c r="T680" s="882"/>
      <c r="U680" s="882"/>
      <c r="V680" s="882"/>
      <c r="X680" s="38">
        <f>'[2]Приложение 1'!T676</f>
        <v>4503.95</v>
      </c>
      <c r="Y680" s="9" t="e">
        <f t="shared" si="147"/>
        <v>#DIV/0!</v>
      </c>
      <c r="Z680" s="19" t="e">
        <f t="shared" si="148"/>
        <v>#DIV/0!</v>
      </c>
    </row>
    <row r="681" spans="1:26" s="27" customFormat="1" ht="21.75" customHeight="1">
      <c r="A681" s="900" t="s">
        <v>36</v>
      </c>
      <c r="B681" s="900"/>
      <c r="C681" s="58"/>
      <c r="D681" s="58"/>
      <c r="E681" s="511">
        <f>SUM(E682:E688)</f>
        <v>7184721.4000000004</v>
      </c>
      <c r="F681" s="511">
        <f t="shared" ref="F681:V681" si="172">SUM(F682:F688)</f>
        <v>0</v>
      </c>
      <c r="G681" s="17">
        <f t="shared" si="172"/>
        <v>0</v>
      </c>
      <c r="H681" s="511">
        <f t="shared" si="172"/>
        <v>0</v>
      </c>
      <c r="I681" s="511">
        <f>SUM(I682:I688)</f>
        <v>2197.1</v>
      </c>
      <c r="J681" s="511">
        <f t="shared" si="172"/>
        <v>0</v>
      </c>
      <c r="K681" s="511">
        <f t="shared" si="172"/>
        <v>0</v>
      </c>
      <c r="L681" s="511">
        <f t="shared" si="172"/>
        <v>7184721.4000000004</v>
      </c>
      <c r="M681" s="511">
        <f t="shared" si="172"/>
        <v>0</v>
      </c>
      <c r="N681" s="511">
        <f t="shared" si="172"/>
        <v>0</v>
      </c>
      <c r="O681" s="511">
        <f t="shared" si="172"/>
        <v>0</v>
      </c>
      <c r="P681" s="511">
        <f t="shared" si="172"/>
        <v>0</v>
      </c>
      <c r="Q681" s="511">
        <f t="shared" si="172"/>
        <v>0</v>
      </c>
      <c r="R681" s="511">
        <f t="shared" si="172"/>
        <v>0</v>
      </c>
      <c r="S681" s="511">
        <f t="shared" si="172"/>
        <v>0</v>
      </c>
      <c r="T681" s="511">
        <f t="shared" si="172"/>
        <v>0</v>
      </c>
      <c r="U681" s="511">
        <f t="shared" si="172"/>
        <v>0</v>
      </c>
      <c r="V681" s="511">
        <f t="shared" si="172"/>
        <v>0</v>
      </c>
      <c r="X681" s="38">
        <f>'[2]Приложение 1'!T677</f>
        <v>0</v>
      </c>
      <c r="Y681" s="9">
        <f t="shared" si="147"/>
        <v>3270.0930317236362</v>
      </c>
      <c r="Z681" s="19">
        <f t="shared" si="148"/>
        <v>-3270.0930317236362</v>
      </c>
    </row>
    <row r="682" spans="1:26" s="27" customFormat="1" ht="9" customHeight="1">
      <c r="A682" s="510">
        <v>238</v>
      </c>
      <c r="B682" s="737" t="s">
        <v>968</v>
      </c>
      <c r="C682" s="58" t="s">
        <v>1192</v>
      </c>
      <c r="D682" s="61" t="s">
        <v>110</v>
      </c>
      <c r="E682" s="511">
        <f t="shared" ref="E682:E688" si="173">F682+H682+L682+N682+P682+R682+S682+T682+U682+V682</f>
        <v>1500300</v>
      </c>
      <c r="F682" s="511">
        <v>0</v>
      </c>
      <c r="G682" s="17">
        <v>0</v>
      </c>
      <c r="H682" s="511">
        <v>0</v>
      </c>
      <c r="I682" s="511">
        <v>450</v>
      </c>
      <c r="J682" s="21"/>
      <c r="K682" s="511"/>
      <c r="L682" s="511">
        <f t="shared" ref="L682:L683" si="174">ROUND(3334*I682,2)</f>
        <v>1500300</v>
      </c>
      <c r="M682" s="511">
        <v>0</v>
      </c>
      <c r="N682" s="511">
        <v>0</v>
      </c>
      <c r="O682" s="511">
        <v>0</v>
      </c>
      <c r="P682" s="511">
        <v>0</v>
      </c>
      <c r="Q682" s="511">
        <v>0</v>
      </c>
      <c r="R682" s="511">
        <v>0</v>
      </c>
      <c r="S682" s="511">
        <v>0</v>
      </c>
      <c r="T682" s="511">
        <v>0</v>
      </c>
      <c r="U682" s="511">
        <v>0</v>
      </c>
      <c r="V682" s="511">
        <v>0</v>
      </c>
      <c r="X682" s="38">
        <f>'[2]Приложение 1'!T678</f>
        <v>0</v>
      </c>
      <c r="Y682" s="9">
        <f t="shared" si="147"/>
        <v>3334</v>
      </c>
      <c r="Z682" s="19">
        <f t="shared" si="148"/>
        <v>-3334</v>
      </c>
    </row>
    <row r="683" spans="1:26" s="27" customFormat="1" ht="9" customHeight="1">
      <c r="A683" s="510">
        <v>239</v>
      </c>
      <c r="B683" s="737" t="s">
        <v>969</v>
      </c>
      <c r="C683" s="58" t="s">
        <v>1192</v>
      </c>
      <c r="D683" s="61" t="s">
        <v>110</v>
      </c>
      <c r="E683" s="511">
        <f t="shared" si="173"/>
        <v>1143562</v>
      </c>
      <c r="F683" s="511">
        <v>0</v>
      </c>
      <c r="G683" s="17">
        <v>0</v>
      </c>
      <c r="H683" s="511">
        <v>0</v>
      </c>
      <c r="I683" s="511">
        <v>343</v>
      </c>
      <c r="J683" s="21"/>
      <c r="K683" s="511"/>
      <c r="L683" s="511">
        <f t="shared" si="174"/>
        <v>1143562</v>
      </c>
      <c r="M683" s="511">
        <v>0</v>
      </c>
      <c r="N683" s="511">
        <v>0</v>
      </c>
      <c r="O683" s="511">
        <v>0</v>
      </c>
      <c r="P683" s="511">
        <v>0</v>
      </c>
      <c r="Q683" s="511">
        <v>0</v>
      </c>
      <c r="R683" s="511">
        <v>0</v>
      </c>
      <c r="S683" s="511">
        <v>0</v>
      </c>
      <c r="T683" s="511">
        <v>0</v>
      </c>
      <c r="U683" s="511">
        <v>0</v>
      </c>
      <c r="V683" s="511">
        <v>0</v>
      </c>
      <c r="X683" s="38">
        <f>'[2]Приложение 1'!T679</f>
        <v>4180</v>
      </c>
      <c r="Y683" s="9">
        <f t="shared" si="147"/>
        <v>3334</v>
      </c>
      <c r="Z683" s="19">
        <f t="shared" si="148"/>
        <v>846</v>
      </c>
    </row>
    <row r="684" spans="1:26" s="27" customFormat="1" ht="9" customHeight="1">
      <c r="A684" s="510">
        <v>240</v>
      </c>
      <c r="B684" s="737" t="s">
        <v>970</v>
      </c>
      <c r="C684" s="58" t="s">
        <v>1192</v>
      </c>
      <c r="D684" s="61" t="s">
        <v>111</v>
      </c>
      <c r="E684" s="511">
        <f t="shared" si="173"/>
        <v>1183644</v>
      </c>
      <c r="F684" s="511">
        <v>0</v>
      </c>
      <c r="G684" s="17">
        <v>0</v>
      </c>
      <c r="H684" s="511">
        <v>0</v>
      </c>
      <c r="I684" s="511">
        <v>366</v>
      </c>
      <c r="J684" s="21"/>
      <c r="K684" s="511"/>
      <c r="L684" s="511">
        <f>ROUND(3234*I684,2)</f>
        <v>1183644</v>
      </c>
      <c r="M684" s="511">
        <v>0</v>
      </c>
      <c r="N684" s="511">
        <v>0</v>
      </c>
      <c r="O684" s="511">
        <v>0</v>
      </c>
      <c r="P684" s="511">
        <v>0</v>
      </c>
      <c r="Q684" s="511">
        <v>0</v>
      </c>
      <c r="R684" s="511">
        <v>0</v>
      </c>
      <c r="S684" s="511">
        <v>0</v>
      </c>
      <c r="T684" s="511">
        <v>0</v>
      </c>
      <c r="U684" s="511">
        <v>0</v>
      </c>
      <c r="V684" s="511">
        <v>0</v>
      </c>
      <c r="X684" s="38">
        <f>'[2]Приложение 1'!T680</f>
        <v>4180</v>
      </c>
      <c r="Y684" s="9">
        <f t="shared" si="147"/>
        <v>3234</v>
      </c>
      <c r="Z684" s="19">
        <f t="shared" si="148"/>
        <v>946</v>
      </c>
    </row>
    <row r="685" spans="1:26" s="27" customFormat="1" ht="9" customHeight="1">
      <c r="A685" s="510">
        <v>241</v>
      </c>
      <c r="B685" s="737" t="s">
        <v>971</v>
      </c>
      <c r="C685" s="58" t="s">
        <v>1192</v>
      </c>
      <c r="D685" s="61" t="s">
        <v>111</v>
      </c>
      <c r="E685" s="511">
        <f t="shared" si="173"/>
        <v>1164563.3999999999</v>
      </c>
      <c r="F685" s="511">
        <v>0</v>
      </c>
      <c r="G685" s="17">
        <v>0</v>
      </c>
      <c r="H685" s="511">
        <v>0</v>
      </c>
      <c r="I685" s="511">
        <v>360.1</v>
      </c>
      <c r="J685" s="21"/>
      <c r="K685" s="511"/>
      <c r="L685" s="511">
        <f>ROUND(3234*I685,2)</f>
        <v>1164563.3999999999</v>
      </c>
      <c r="M685" s="511">
        <v>0</v>
      </c>
      <c r="N685" s="511">
        <v>0</v>
      </c>
      <c r="O685" s="511">
        <v>0</v>
      </c>
      <c r="P685" s="511">
        <v>0</v>
      </c>
      <c r="Q685" s="511">
        <v>0</v>
      </c>
      <c r="R685" s="511">
        <v>0</v>
      </c>
      <c r="S685" s="511">
        <v>0</v>
      </c>
      <c r="T685" s="511">
        <v>0</v>
      </c>
      <c r="U685" s="511">
        <v>0</v>
      </c>
      <c r="V685" s="511">
        <v>0</v>
      </c>
      <c r="X685" s="38">
        <f>'[2]Приложение 1'!T681</f>
        <v>4503.95</v>
      </c>
      <c r="Y685" s="9">
        <f t="shared" si="147"/>
        <v>3233.9999999999995</v>
      </c>
      <c r="Z685" s="19">
        <f t="shared" si="148"/>
        <v>1269.9500000000003</v>
      </c>
    </row>
    <row r="686" spans="1:26" s="27" customFormat="1" ht="9" customHeight="1">
      <c r="A686" s="510">
        <v>242</v>
      </c>
      <c r="B686" s="737" t="s">
        <v>972</v>
      </c>
      <c r="C686" s="58" t="s">
        <v>1192</v>
      </c>
      <c r="D686" s="61" t="s">
        <v>111</v>
      </c>
      <c r="E686" s="511">
        <f t="shared" si="173"/>
        <v>478632</v>
      </c>
      <c r="F686" s="511">
        <v>0</v>
      </c>
      <c r="G686" s="17">
        <v>0</v>
      </c>
      <c r="H686" s="511">
        <v>0</v>
      </c>
      <c r="I686" s="511">
        <v>148</v>
      </c>
      <c r="J686" s="21"/>
      <c r="K686" s="511"/>
      <c r="L686" s="511">
        <f>ROUND(3234*I686,2)</f>
        <v>478632</v>
      </c>
      <c r="M686" s="511">
        <v>0</v>
      </c>
      <c r="N686" s="511">
        <v>0</v>
      </c>
      <c r="O686" s="511">
        <v>0</v>
      </c>
      <c r="P686" s="511">
        <v>0</v>
      </c>
      <c r="Q686" s="511">
        <v>0</v>
      </c>
      <c r="R686" s="511">
        <v>0</v>
      </c>
      <c r="S686" s="511">
        <v>0</v>
      </c>
      <c r="T686" s="511">
        <v>0</v>
      </c>
      <c r="U686" s="511">
        <v>0</v>
      </c>
      <c r="V686" s="511">
        <v>0</v>
      </c>
      <c r="X686" s="38">
        <f>'[2]Приложение 1'!T682</f>
        <v>4503.95</v>
      </c>
      <c r="Y686" s="9">
        <f t="shared" si="147"/>
        <v>3234</v>
      </c>
      <c r="Z686" s="19">
        <f t="shared" si="148"/>
        <v>1269.9499999999998</v>
      </c>
    </row>
    <row r="687" spans="1:26" s="27" customFormat="1" ht="9" customHeight="1">
      <c r="A687" s="510">
        <v>243</v>
      </c>
      <c r="B687" s="737" t="s">
        <v>973</v>
      </c>
      <c r="C687" s="58" t="s">
        <v>1192</v>
      </c>
      <c r="D687" s="61" t="s">
        <v>111</v>
      </c>
      <c r="E687" s="511">
        <f t="shared" si="173"/>
        <v>708246</v>
      </c>
      <c r="F687" s="511">
        <v>0</v>
      </c>
      <c r="G687" s="17">
        <v>0</v>
      </c>
      <c r="H687" s="511">
        <v>0</v>
      </c>
      <c r="I687" s="511">
        <v>219</v>
      </c>
      <c r="J687" s="21"/>
      <c r="K687" s="511"/>
      <c r="L687" s="511">
        <f>ROUND(3234*I687,2)</f>
        <v>708246</v>
      </c>
      <c r="M687" s="511">
        <v>0</v>
      </c>
      <c r="N687" s="511">
        <v>0</v>
      </c>
      <c r="O687" s="511">
        <v>0</v>
      </c>
      <c r="P687" s="511">
        <v>0</v>
      </c>
      <c r="Q687" s="511">
        <v>0</v>
      </c>
      <c r="R687" s="511">
        <v>0</v>
      </c>
      <c r="S687" s="511">
        <v>0</v>
      </c>
      <c r="T687" s="511">
        <v>0</v>
      </c>
      <c r="U687" s="511">
        <v>0</v>
      </c>
      <c r="V687" s="511">
        <v>0</v>
      </c>
      <c r="X687" s="38">
        <f>'[2]Приложение 1'!T683</f>
        <v>4503.95</v>
      </c>
      <c r="Y687" s="9">
        <f t="shared" si="147"/>
        <v>3234</v>
      </c>
      <c r="Z687" s="19">
        <f t="shared" si="148"/>
        <v>1269.9499999999998</v>
      </c>
    </row>
    <row r="688" spans="1:26" s="27" customFormat="1" ht="9" customHeight="1">
      <c r="A688" s="510">
        <v>244</v>
      </c>
      <c r="B688" s="747" t="s">
        <v>974</v>
      </c>
      <c r="C688" s="688" t="s">
        <v>1195</v>
      </c>
      <c r="D688" s="748" t="s">
        <v>111</v>
      </c>
      <c r="E688" s="672">
        <f t="shared" si="173"/>
        <v>1005774</v>
      </c>
      <c r="F688" s="672">
        <v>0</v>
      </c>
      <c r="G688" s="673">
        <v>0</v>
      </c>
      <c r="H688" s="672">
        <v>0</v>
      </c>
      <c r="I688" s="672">
        <v>311</v>
      </c>
      <c r="J688" s="749"/>
      <c r="K688" s="672"/>
      <c r="L688" s="672">
        <f>ROUND(3234*I688,2)</f>
        <v>1005774</v>
      </c>
      <c r="M688" s="672">
        <v>0</v>
      </c>
      <c r="N688" s="672">
        <v>0</v>
      </c>
      <c r="O688" s="672">
        <v>0</v>
      </c>
      <c r="P688" s="672">
        <v>0</v>
      </c>
      <c r="Q688" s="672">
        <v>0</v>
      </c>
      <c r="R688" s="672">
        <v>0</v>
      </c>
      <c r="S688" s="672">
        <v>0</v>
      </c>
      <c r="T688" s="672">
        <v>0</v>
      </c>
      <c r="U688" s="672">
        <v>0</v>
      </c>
      <c r="V688" s="672">
        <v>0</v>
      </c>
      <c r="X688" s="38">
        <f>'[2]Приложение 1'!T684</f>
        <v>4503.95</v>
      </c>
      <c r="Y688" s="9">
        <f t="shared" si="147"/>
        <v>3234</v>
      </c>
      <c r="Z688" s="19">
        <f t="shared" si="148"/>
        <v>1269.9499999999998</v>
      </c>
    </row>
    <row r="689" spans="1:26" s="27" customFormat="1" ht="9" customHeight="1">
      <c r="A689" s="915" t="s">
        <v>40</v>
      </c>
      <c r="B689" s="916"/>
      <c r="C689" s="916"/>
      <c r="D689" s="916"/>
      <c r="E689" s="916"/>
      <c r="F689" s="916"/>
      <c r="G689" s="916"/>
      <c r="H689" s="916"/>
      <c r="I689" s="916"/>
      <c r="J689" s="916"/>
      <c r="K689" s="916"/>
      <c r="L689" s="916"/>
      <c r="M689" s="916"/>
      <c r="N689" s="916"/>
      <c r="O689" s="916"/>
      <c r="P689" s="916"/>
      <c r="Q689" s="916"/>
      <c r="R689" s="916"/>
      <c r="S689" s="916"/>
      <c r="T689" s="916"/>
      <c r="U689" s="916"/>
      <c r="V689" s="917"/>
      <c r="X689" s="38">
        <f>'[2]Приложение 1'!T685</f>
        <v>4503.95</v>
      </c>
      <c r="Y689" s="9" t="e">
        <f t="shared" si="147"/>
        <v>#DIV/0!</v>
      </c>
      <c r="Z689" s="19" t="e">
        <f t="shared" si="148"/>
        <v>#DIV/0!</v>
      </c>
    </row>
    <row r="690" spans="1:26" s="27" customFormat="1" ht="32.25" customHeight="1">
      <c r="A690" s="900" t="s">
        <v>39</v>
      </c>
      <c r="B690" s="900"/>
      <c r="C690" s="58"/>
      <c r="D690" s="58"/>
      <c r="E690" s="511">
        <f t="shared" ref="E690:V690" si="175">SUM(E691:E691)</f>
        <v>1106028</v>
      </c>
      <c r="F690" s="511">
        <f t="shared" si="175"/>
        <v>0</v>
      </c>
      <c r="G690" s="17">
        <f t="shared" si="175"/>
        <v>0</v>
      </c>
      <c r="H690" s="511">
        <f t="shared" si="175"/>
        <v>0</v>
      </c>
      <c r="I690" s="511">
        <f t="shared" si="175"/>
        <v>342</v>
      </c>
      <c r="J690" s="511">
        <f t="shared" si="175"/>
        <v>0</v>
      </c>
      <c r="K690" s="511">
        <f t="shared" si="175"/>
        <v>0</v>
      </c>
      <c r="L690" s="511">
        <f t="shared" si="175"/>
        <v>1106028</v>
      </c>
      <c r="M690" s="511">
        <f t="shared" si="175"/>
        <v>0</v>
      </c>
      <c r="N690" s="511">
        <f t="shared" si="175"/>
        <v>0</v>
      </c>
      <c r="O690" s="511">
        <f t="shared" si="175"/>
        <v>0</v>
      </c>
      <c r="P690" s="511">
        <f t="shared" si="175"/>
        <v>0</v>
      </c>
      <c r="Q690" s="511">
        <f t="shared" si="175"/>
        <v>0</v>
      </c>
      <c r="R690" s="511">
        <f t="shared" si="175"/>
        <v>0</v>
      </c>
      <c r="S690" s="511">
        <f t="shared" si="175"/>
        <v>0</v>
      </c>
      <c r="T690" s="511">
        <f t="shared" si="175"/>
        <v>0</v>
      </c>
      <c r="U690" s="511">
        <f t="shared" si="175"/>
        <v>0</v>
      </c>
      <c r="V690" s="511">
        <f t="shared" si="175"/>
        <v>0</v>
      </c>
      <c r="X690" s="38">
        <f>'[2]Приложение 1'!T686</f>
        <v>0</v>
      </c>
      <c r="Y690" s="9">
        <f t="shared" si="147"/>
        <v>3234</v>
      </c>
      <c r="Z690" s="19">
        <f t="shared" si="148"/>
        <v>-3234</v>
      </c>
    </row>
    <row r="691" spans="1:26" s="27" customFormat="1" ht="9" customHeight="1">
      <c r="A691" s="510">
        <v>245</v>
      </c>
      <c r="B691" s="737" t="s">
        <v>980</v>
      </c>
      <c r="C691" s="58" t="s">
        <v>1192</v>
      </c>
      <c r="D691" s="61" t="s">
        <v>111</v>
      </c>
      <c r="E691" s="511">
        <f t="shared" ref="E691" si="176">F691+H691+L691+N691+P691+R691+S691+T691+U691+V691</f>
        <v>1106028</v>
      </c>
      <c r="F691" s="511">
        <v>0</v>
      </c>
      <c r="G691" s="17">
        <v>0</v>
      </c>
      <c r="H691" s="511">
        <v>0</v>
      </c>
      <c r="I691" s="511">
        <v>342</v>
      </c>
      <c r="J691" s="511"/>
      <c r="K691" s="511"/>
      <c r="L691" s="511">
        <f>ROUND(3234*I691,2)</f>
        <v>1106028</v>
      </c>
      <c r="M691" s="511">
        <v>0</v>
      </c>
      <c r="N691" s="511">
        <v>0</v>
      </c>
      <c r="O691" s="511">
        <v>0</v>
      </c>
      <c r="P691" s="511">
        <v>0</v>
      </c>
      <c r="Q691" s="511">
        <v>0</v>
      </c>
      <c r="R691" s="511">
        <v>0</v>
      </c>
      <c r="S691" s="511">
        <v>0</v>
      </c>
      <c r="T691" s="511">
        <v>0</v>
      </c>
      <c r="U691" s="511">
        <v>0</v>
      </c>
      <c r="V691" s="511">
        <v>0</v>
      </c>
      <c r="W691" s="32"/>
      <c r="X691" s="38">
        <f>'[2]Приложение 1'!T687</f>
        <v>0</v>
      </c>
      <c r="Y691" s="9">
        <f t="shared" si="147"/>
        <v>3234</v>
      </c>
      <c r="Z691" s="19">
        <f t="shared" si="148"/>
        <v>-3234</v>
      </c>
    </row>
    <row r="692" spans="1:26" s="27" customFormat="1" ht="9" customHeight="1">
      <c r="A692" s="882" t="s">
        <v>45</v>
      </c>
      <c r="B692" s="882"/>
      <c r="C692" s="882"/>
      <c r="D692" s="882"/>
      <c r="E692" s="882"/>
      <c r="F692" s="882"/>
      <c r="G692" s="882"/>
      <c r="H692" s="882"/>
      <c r="I692" s="882"/>
      <c r="J692" s="882"/>
      <c r="K692" s="882"/>
      <c r="L692" s="882"/>
      <c r="M692" s="882"/>
      <c r="N692" s="882"/>
      <c r="O692" s="882"/>
      <c r="P692" s="882"/>
      <c r="Q692" s="882"/>
      <c r="R692" s="882"/>
      <c r="S692" s="882"/>
      <c r="T692" s="882"/>
      <c r="U692" s="882"/>
      <c r="V692" s="882"/>
      <c r="X692" s="38">
        <f>'[2]Приложение 1'!T688</f>
        <v>4503.95</v>
      </c>
      <c r="Y692" s="9" t="e">
        <f t="shared" si="147"/>
        <v>#DIV/0!</v>
      </c>
      <c r="Z692" s="19" t="e">
        <f t="shared" si="148"/>
        <v>#DIV/0!</v>
      </c>
    </row>
    <row r="693" spans="1:26" s="27" customFormat="1" ht="23.25" customHeight="1">
      <c r="A693" s="900" t="s">
        <v>44</v>
      </c>
      <c r="B693" s="900"/>
      <c r="C693" s="58"/>
      <c r="D693" s="58"/>
      <c r="E693" s="511">
        <f>SUM(E694:E703)</f>
        <v>17512634.579999998</v>
      </c>
      <c r="F693" s="511">
        <f t="shared" ref="F693:V693" si="177">SUM(F694:F703)</f>
        <v>0</v>
      </c>
      <c r="G693" s="17">
        <f t="shared" si="177"/>
        <v>0</v>
      </c>
      <c r="H693" s="511">
        <f t="shared" si="177"/>
        <v>0</v>
      </c>
      <c r="I693" s="511">
        <f t="shared" si="177"/>
        <v>5351.87</v>
      </c>
      <c r="J693" s="511">
        <f t="shared" si="177"/>
        <v>0</v>
      </c>
      <c r="K693" s="511">
        <f t="shared" si="177"/>
        <v>0</v>
      </c>
      <c r="L693" s="511">
        <f t="shared" si="177"/>
        <v>17512634.579999998</v>
      </c>
      <c r="M693" s="511">
        <f t="shared" si="177"/>
        <v>0</v>
      </c>
      <c r="N693" s="511">
        <f t="shared" si="177"/>
        <v>0</v>
      </c>
      <c r="O693" s="511">
        <f t="shared" si="177"/>
        <v>0</v>
      </c>
      <c r="P693" s="511">
        <f t="shared" si="177"/>
        <v>0</v>
      </c>
      <c r="Q693" s="511">
        <f t="shared" si="177"/>
        <v>0</v>
      </c>
      <c r="R693" s="511">
        <f t="shared" si="177"/>
        <v>0</v>
      </c>
      <c r="S693" s="511">
        <f t="shared" si="177"/>
        <v>0</v>
      </c>
      <c r="T693" s="511">
        <f t="shared" si="177"/>
        <v>0</v>
      </c>
      <c r="U693" s="511">
        <f t="shared" si="177"/>
        <v>0</v>
      </c>
      <c r="V693" s="511">
        <f t="shared" si="177"/>
        <v>0</v>
      </c>
      <c r="X693" s="38">
        <f>'[2]Приложение 1'!T689</f>
        <v>0</v>
      </c>
      <c r="Y693" s="9">
        <f t="shared" si="147"/>
        <v>3272.2458841489047</v>
      </c>
      <c r="Z693" s="19">
        <f t="shared" si="148"/>
        <v>-3272.2458841489047</v>
      </c>
    </row>
    <row r="694" spans="1:26" s="27" customFormat="1" ht="9" customHeight="1">
      <c r="A694" s="510">
        <v>246</v>
      </c>
      <c r="B694" s="737" t="s">
        <v>982</v>
      </c>
      <c r="C694" s="58" t="s">
        <v>1192</v>
      </c>
      <c r="D694" s="61" t="s">
        <v>111</v>
      </c>
      <c r="E694" s="511">
        <f t="shared" ref="E694:E703" si="178">F694+H694+L694+N694+P694+R694+S694+T694+U694+V694</f>
        <v>1487640</v>
      </c>
      <c r="F694" s="511">
        <v>0</v>
      </c>
      <c r="G694" s="17">
        <v>0</v>
      </c>
      <c r="H694" s="511">
        <v>0</v>
      </c>
      <c r="I694" s="511">
        <v>460</v>
      </c>
      <c r="J694" s="48"/>
      <c r="K694" s="48"/>
      <c r="L694" s="511">
        <f>ROUND(3234*I694,2)</f>
        <v>1487640</v>
      </c>
      <c r="M694" s="511">
        <v>0</v>
      </c>
      <c r="N694" s="511">
        <v>0</v>
      </c>
      <c r="O694" s="511">
        <v>0</v>
      </c>
      <c r="P694" s="511">
        <v>0</v>
      </c>
      <c r="Q694" s="511">
        <v>0</v>
      </c>
      <c r="R694" s="511">
        <v>0</v>
      </c>
      <c r="S694" s="511">
        <v>0</v>
      </c>
      <c r="T694" s="511">
        <v>0</v>
      </c>
      <c r="U694" s="511">
        <v>0</v>
      </c>
      <c r="V694" s="511">
        <v>0</v>
      </c>
      <c r="X694" s="38">
        <f>'[2]Приложение 1'!T690</f>
        <v>0</v>
      </c>
      <c r="Y694" s="9">
        <f t="shared" si="147"/>
        <v>3234</v>
      </c>
      <c r="Z694" s="19">
        <f t="shared" si="148"/>
        <v>-3234</v>
      </c>
    </row>
    <row r="695" spans="1:26" s="27" customFormat="1" ht="9" customHeight="1">
      <c r="A695" s="510">
        <v>247</v>
      </c>
      <c r="B695" s="737" t="s">
        <v>983</v>
      </c>
      <c r="C695" s="58" t="s">
        <v>1192</v>
      </c>
      <c r="D695" s="61" t="s">
        <v>110</v>
      </c>
      <c r="E695" s="511">
        <f t="shared" si="178"/>
        <v>2450490</v>
      </c>
      <c r="F695" s="511">
        <v>0</v>
      </c>
      <c r="G695" s="17">
        <v>0</v>
      </c>
      <c r="H695" s="511">
        <v>0</v>
      </c>
      <c r="I695" s="511">
        <v>735</v>
      </c>
      <c r="J695" s="48"/>
      <c r="K695" s="48"/>
      <c r="L695" s="511">
        <f t="shared" ref="L695" si="179">ROUND(3334*I695,2)</f>
        <v>2450490</v>
      </c>
      <c r="M695" s="511">
        <v>0</v>
      </c>
      <c r="N695" s="511">
        <v>0</v>
      </c>
      <c r="O695" s="511">
        <v>0</v>
      </c>
      <c r="P695" s="511">
        <v>0</v>
      </c>
      <c r="Q695" s="511">
        <v>0</v>
      </c>
      <c r="R695" s="511">
        <v>0</v>
      </c>
      <c r="S695" s="511">
        <v>0</v>
      </c>
      <c r="T695" s="511">
        <v>0</v>
      </c>
      <c r="U695" s="511">
        <v>0</v>
      </c>
      <c r="V695" s="511">
        <v>0</v>
      </c>
      <c r="X695" s="38">
        <f>'[2]Приложение 1'!T691</f>
        <v>4503.95</v>
      </c>
      <c r="Y695" s="9">
        <f t="shared" si="147"/>
        <v>3334</v>
      </c>
      <c r="Z695" s="19">
        <f t="shared" si="148"/>
        <v>1169.9499999999998</v>
      </c>
    </row>
    <row r="696" spans="1:26" s="27" customFormat="1" ht="9" customHeight="1">
      <c r="A696" s="510">
        <v>248</v>
      </c>
      <c r="B696" s="737" t="s">
        <v>984</v>
      </c>
      <c r="C696" s="58" t="s">
        <v>1192</v>
      </c>
      <c r="D696" s="61" t="s">
        <v>111</v>
      </c>
      <c r="E696" s="511">
        <f t="shared" si="178"/>
        <v>572418</v>
      </c>
      <c r="F696" s="511">
        <v>0</v>
      </c>
      <c r="G696" s="17">
        <v>0</v>
      </c>
      <c r="H696" s="511">
        <v>0</v>
      </c>
      <c r="I696" s="511">
        <v>177</v>
      </c>
      <c r="J696" s="48"/>
      <c r="K696" s="48"/>
      <c r="L696" s="511">
        <f>ROUND(3234*I696,2)</f>
        <v>572418</v>
      </c>
      <c r="M696" s="511">
        <v>0</v>
      </c>
      <c r="N696" s="511">
        <v>0</v>
      </c>
      <c r="O696" s="511">
        <v>0</v>
      </c>
      <c r="P696" s="511">
        <v>0</v>
      </c>
      <c r="Q696" s="511">
        <v>0</v>
      </c>
      <c r="R696" s="511">
        <v>0</v>
      </c>
      <c r="S696" s="511">
        <v>0</v>
      </c>
      <c r="T696" s="511">
        <v>0</v>
      </c>
      <c r="U696" s="511">
        <v>0</v>
      </c>
      <c r="V696" s="511">
        <v>0</v>
      </c>
      <c r="X696" s="38">
        <f>'[2]Приложение 1'!T692</f>
        <v>4180</v>
      </c>
      <c r="Y696" s="9">
        <f t="shared" si="147"/>
        <v>3234</v>
      </c>
      <c r="Z696" s="19">
        <f t="shared" si="148"/>
        <v>946</v>
      </c>
    </row>
    <row r="697" spans="1:26" s="27" customFormat="1" ht="9" customHeight="1">
      <c r="A697" s="510">
        <v>249</v>
      </c>
      <c r="B697" s="737" t="s">
        <v>985</v>
      </c>
      <c r="C697" s="58" t="s">
        <v>1192</v>
      </c>
      <c r="D697" s="61" t="s">
        <v>110</v>
      </c>
      <c r="E697" s="511">
        <f t="shared" si="178"/>
        <v>746382.58</v>
      </c>
      <c r="F697" s="511">
        <v>0</v>
      </c>
      <c r="G697" s="17">
        <v>0</v>
      </c>
      <c r="H697" s="511">
        <v>0</v>
      </c>
      <c r="I697" s="511">
        <v>223.87</v>
      </c>
      <c r="J697" s="48"/>
      <c r="K697" s="48"/>
      <c r="L697" s="511">
        <f t="shared" ref="L697:L698" si="180">ROUND(3334*I697,2)</f>
        <v>746382.58</v>
      </c>
      <c r="M697" s="511">
        <v>0</v>
      </c>
      <c r="N697" s="511">
        <v>0</v>
      </c>
      <c r="O697" s="511">
        <v>0</v>
      </c>
      <c r="P697" s="511">
        <v>0</v>
      </c>
      <c r="Q697" s="511">
        <v>0</v>
      </c>
      <c r="R697" s="511">
        <v>0</v>
      </c>
      <c r="S697" s="511">
        <v>0</v>
      </c>
      <c r="T697" s="511">
        <v>0</v>
      </c>
      <c r="U697" s="511">
        <v>0</v>
      </c>
      <c r="V697" s="511">
        <v>0</v>
      </c>
      <c r="X697" s="38">
        <f>'[2]Приложение 1'!T693</f>
        <v>4503.95</v>
      </c>
      <c r="Y697" s="9">
        <f t="shared" si="147"/>
        <v>3333.9999999999995</v>
      </c>
      <c r="Z697" s="19">
        <f t="shared" si="148"/>
        <v>1169.9500000000003</v>
      </c>
    </row>
    <row r="698" spans="1:26" s="27" customFormat="1" ht="9" customHeight="1">
      <c r="A698" s="510">
        <v>250</v>
      </c>
      <c r="B698" s="737" t="s">
        <v>986</v>
      </c>
      <c r="C698" s="58" t="s">
        <v>1192</v>
      </c>
      <c r="D698" s="61" t="s">
        <v>110</v>
      </c>
      <c r="E698" s="511">
        <f t="shared" si="178"/>
        <v>1463626</v>
      </c>
      <c r="F698" s="511">
        <v>0</v>
      </c>
      <c r="G698" s="17">
        <v>0</v>
      </c>
      <c r="H698" s="511">
        <v>0</v>
      </c>
      <c r="I698" s="511">
        <v>439</v>
      </c>
      <c r="J698" s="48"/>
      <c r="K698" s="48"/>
      <c r="L698" s="511">
        <f t="shared" si="180"/>
        <v>1463626</v>
      </c>
      <c r="M698" s="511">
        <v>0</v>
      </c>
      <c r="N698" s="511">
        <v>0</v>
      </c>
      <c r="O698" s="511">
        <v>0</v>
      </c>
      <c r="P698" s="511">
        <v>0</v>
      </c>
      <c r="Q698" s="511">
        <v>0</v>
      </c>
      <c r="R698" s="511">
        <v>0</v>
      </c>
      <c r="S698" s="511">
        <v>0</v>
      </c>
      <c r="T698" s="511">
        <v>0</v>
      </c>
      <c r="U698" s="511">
        <v>0</v>
      </c>
      <c r="V698" s="511">
        <v>0</v>
      </c>
      <c r="X698" s="38">
        <f>'[2]Приложение 1'!T694</f>
        <v>4180</v>
      </c>
      <c r="Y698" s="9">
        <f t="shared" si="147"/>
        <v>3334</v>
      </c>
      <c r="Z698" s="19">
        <f t="shared" si="148"/>
        <v>846</v>
      </c>
    </row>
    <row r="699" spans="1:26" s="27" customFormat="1" ht="9" customHeight="1">
      <c r="A699" s="510">
        <v>251</v>
      </c>
      <c r="B699" s="737" t="s">
        <v>987</v>
      </c>
      <c r="C699" s="58" t="s">
        <v>1192</v>
      </c>
      <c r="D699" s="61" t="s">
        <v>111</v>
      </c>
      <c r="E699" s="511">
        <f t="shared" si="178"/>
        <v>2826516</v>
      </c>
      <c r="F699" s="511">
        <v>0</v>
      </c>
      <c r="G699" s="17">
        <v>0</v>
      </c>
      <c r="H699" s="511">
        <v>0</v>
      </c>
      <c r="I699" s="511">
        <v>874</v>
      </c>
      <c r="J699" s="48"/>
      <c r="K699" s="48"/>
      <c r="L699" s="511">
        <f>ROUND(3234*I699,2)</f>
        <v>2826516</v>
      </c>
      <c r="M699" s="511">
        <v>0</v>
      </c>
      <c r="N699" s="511">
        <v>0</v>
      </c>
      <c r="O699" s="511">
        <v>0</v>
      </c>
      <c r="P699" s="511">
        <v>0</v>
      </c>
      <c r="Q699" s="511">
        <v>0</v>
      </c>
      <c r="R699" s="511">
        <v>0</v>
      </c>
      <c r="S699" s="511">
        <v>0</v>
      </c>
      <c r="T699" s="511">
        <v>0</v>
      </c>
      <c r="U699" s="511">
        <v>0</v>
      </c>
      <c r="V699" s="511">
        <v>0</v>
      </c>
      <c r="X699" s="38">
        <f>'[2]Приложение 1'!T695</f>
        <v>4180</v>
      </c>
      <c r="Y699" s="9">
        <f t="shared" ref="Y699:Y762" si="181">L699/I699</f>
        <v>3234</v>
      </c>
      <c r="Z699" s="19">
        <f t="shared" ref="Z699:Z762" si="182">X699-Y699</f>
        <v>946</v>
      </c>
    </row>
    <row r="700" spans="1:26" s="27" customFormat="1" ht="9" customHeight="1">
      <c r="A700" s="510">
        <v>252</v>
      </c>
      <c r="B700" s="737" t="s">
        <v>988</v>
      </c>
      <c r="C700" s="58" t="s">
        <v>1192</v>
      </c>
      <c r="D700" s="61" t="s">
        <v>111</v>
      </c>
      <c r="E700" s="511">
        <f t="shared" si="178"/>
        <v>2373756</v>
      </c>
      <c r="F700" s="511">
        <v>0</v>
      </c>
      <c r="G700" s="17">
        <v>0</v>
      </c>
      <c r="H700" s="511">
        <v>0</v>
      </c>
      <c r="I700" s="511">
        <v>734</v>
      </c>
      <c r="J700" s="750"/>
      <c r="K700" s="750"/>
      <c r="L700" s="511">
        <f>ROUND(3234*I700,2)</f>
        <v>2373756</v>
      </c>
      <c r="M700" s="511">
        <v>0</v>
      </c>
      <c r="N700" s="511">
        <v>0</v>
      </c>
      <c r="O700" s="511">
        <v>0</v>
      </c>
      <c r="P700" s="511">
        <v>0</v>
      </c>
      <c r="Q700" s="511">
        <v>0</v>
      </c>
      <c r="R700" s="511">
        <v>0</v>
      </c>
      <c r="S700" s="511">
        <v>0</v>
      </c>
      <c r="T700" s="511">
        <v>0</v>
      </c>
      <c r="U700" s="511">
        <v>0</v>
      </c>
      <c r="V700" s="511">
        <v>0</v>
      </c>
      <c r="X700" s="38">
        <f>'[2]Приложение 1'!T696</f>
        <v>4503.95</v>
      </c>
      <c r="Y700" s="9">
        <f t="shared" si="181"/>
        <v>3234</v>
      </c>
      <c r="Z700" s="19">
        <f t="shared" si="182"/>
        <v>1269.9499999999998</v>
      </c>
    </row>
    <row r="701" spans="1:26" s="27" customFormat="1" ht="9" customHeight="1">
      <c r="A701" s="510">
        <v>253</v>
      </c>
      <c r="B701" s="737" t="s">
        <v>989</v>
      </c>
      <c r="C701" s="58" t="s">
        <v>1192</v>
      </c>
      <c r="D701" s="61" t="s">
        <v>111</v>
      </c>
      <c r="E701" s="511">
        <f t="shared" si="178"/>
        <v>1791636</v>
      </c>
      <c r="F701" s="511">
        <v>0</v>
      </c>
      <c r="G701" s="17">
        <v>0</v>
      </c>
      <c r="H701" s="511">
        <v>0</v>
      </c>
      <c r="I701" s="511">
        <v>554</v>
      </c>
      <c r="J701" s="750"/>
      <c r="K701" s="750"/>
      <c r="L701" s="511">
        <f>ROUND(3234*I701,2)</f>
        <v>1791636</v>
      </c>
      <c r="M701" s="511">
        <v>0</v>
      </c>
      <c r="N701" s="511">
        <v>0</v>
      </c>
      <c r="O701" s="511">
        <v>0</v>
      </c>
      <c r="P701" s="511">
        <v>0</v>
      </c>
      <c r="Q701" s="511">
        <v>0</v>
      </c>
      <c r="R701" s="511">
        <v>0</v>
      </c>
      <c r="S701" s="511">
        <v>0</v>
      </c>
      <c r="T701" s="511">
        <v>0</v>
      </c>
      <c r="U701" s="511">
        <v>0</v>
      </c>
      <c r="V701" s="511">
        <v>0</v>
      </c>
      <c r="X701" s="38">
        <f>'[2]Приложение 1'!T697</f>
        <v>4503.95</v>
      </c>
      <c r="Y701" s="9">
        <f t="shared" si="181"/>
        <v>3234</v>
      </c>
      <c r="Z701" s="19">
        <f t="shared" si="182"/>
        <v>1269.9499999999998</v>
      </c>
    </row>
    <row r="702" spans="1:26" s="27" customFormat="1" ht="9" customHeight="1">
      <c r="A702" s="510">
        <v>254</v>
      </c>
      <c r="B702" s="737" t="s">
        <v>990</v>
      </c>
      <c r="C702" s="58" t="s">
        <v>1192</v>
      </c>
      <c r="D702" s="61" t="s">
        <v>111</v>
      </c>
      <c r="E702" s="511">
        <f t="shared" si="178"/>
        <v>1636404</v>
      </c>
      <c r="F702" s="511">
        <v>0</v>
      </c>
      <c r="G702" s="17">
        <v>0</v>
      </c>
      <c r="H702" s="511">
        <v>0</v>
      </c>
      <c r="I702" s="511">
        <v>506</v>
      </c>
      <c r="J702" s="48"/>
      <c r="K702" s="48"/>
      <c r="L702" s="511">
        <f>ROUND(3234*I702,2)</f>
        <v>1636404</v>
      </c>
      <c r="M702" s="511">
        <v>0</v>
      </c>
      <c r="N702" s="511">
        <v>0</v>
      </c>
      <c r="O702" s="511">
        <v>0</v>
      </c>
      <c r="P702" s="511">
        <v>0</v>
      </c>
      <c r="Q702" s="511">
        <v>0</v>
      </c>
      <c r="R702" s="511">
        <v>0</v>
      </c>
      <c r="S702" s="511">
        <v>0</v>
      </c>
      <c r="T702" s="511">
        <v>0</v>
      </c>
      <c r="U702" s="511">
        <v>0</v>
      </c>
      <c r="V702" s="511">
        <v>0</v>
      </c>
      <c r="X702" s="38">
        <f>'[2]Приложение 1'!T698</f>
        <v>4503.95</v>
      </c>
      <c r="Y702" s="9">
        <f t="shared" si="181"/>
        <v>3234</v>
      </c>
      <c r="Z702" s="19">
        <f t="shared" si="182"/>
        <v>1269.9499999999998</v>
      </c>
    </row>
    <row r="703" spans="1:26" ht="9" customHeight="1">
      <c r="A703" s="510">
        <v>255</v>
      </c>
      <c r="B703" s="737" t="s">
        <v>1055</v>
      </c>
      <c r="C703" s="68"/>
      <c r="D703" s="68"/>
      <c r="E703" s="511">
        <f t="shared" si="178"/>
        <v>2163766</v>
      </c>
      <c r="F703" s="511">
        <v>0</v>
      </c>
      <c r="G703" s="17">
        <v>0</v>
      </c>
      <c r="H703" s="511">
        <v>0</v>
      </c>
      <c r="I703" s="511">
        <v>649</v>
      </c>
      <c r="J703" s="48"/>
      <c r="K703" s="48"/>
      <c r="L703" s="511">
        <f>ROUND(3334*I703,2)</f>
        <v>2163766</v>
      </c>
      <c r="M703" s="511">
        <v>0</v>
      </c>
      <c r="N703" s="511">
        <v>0</v>
      </c>
      <c r="O703" s="511">
        <v>0</v>
      </c>
      <c r="P703" s="511">
        <v>0</v>
      </c>
      <c r="Q703" s="511">
        <v>0</v>
      </c>
      <c r="R703" s="511">
        <v>0</v>
      </c>
      <c r="S703" s="511">
        <v>0</v>
      </c>
      <c r="T703" s="511">
        <v>0</v>
      </c>
      <c r="U703" s="511">
        <v>0</v>
      </c>
      <c r="V703" s="511">
        <v>0</v>
      </c>
      <c r="X703" s="38">
        <f>'[2]Приложение 1'!T699</f>
        <v>4503.95</v>
      </c>
      <c r="Y703" s="9">
        <f t="shared" si="181"/>
        <v>3334</v>
      </c>
      <c r="Z703" s="19">
        <f t="shared" si="182"/>
        <v>1169.9499999999998</v>
      </c>
    </row>
    <row r="704" spans="1:26" ht="9" customHeight="1">
      <c r="A704" s="918" t="s">
        <v>1029</v>
      </c>
      <c r="B704" s="919"/>
      <c r="C704" s="919"/>
      <c r="D704" s="919"/>
      <c r="E704" s="919"/>
      <c r="F704" s="919"/>
      <c r="G704" s="919"/>
      <c r="H704" s="919"/>
      <c r="I704" s="919"/>
      <c r="J704" s="919"/>
      <c r="K704" s="919"/>
      <c r="L704" s="919"/>
      <c r="M704" s="919"/>
      <c r="N704" s="919"/>
      <c r="O704" s="919"/>
      <c r="P704" s="919"/>
      <c r="Q704" s="919"/>
      <c r="R704" s="919"/>
      <c r="S704" s="919"/>
      <c r="T704" s="919"/>
      <c r="U704" s="919"/>
      <c r="V704" s="920"/>
      <c r="X704" s="38">
        <f>'[2]Приложение 1'!T700</f>
        <v>4180</v>
      </c>
      <c r="Y704" s="9" t="e">
        <f t="shared" si="181"/>
        <v>#DIV/0!</v>
      </c>
      <c r="Z704" s="19" t="e">
        <f t="shared" si="182"/>
        <v>#DIV/0!</v>
      </c>
    </row>
    <row r="705" spans="1:27" ht="9" customHeight="1">
      <c r="A705" s="881" t="s">
        <v>1026</v>
      </c>
      <c r="B705" s="881"/>
      <c r="C705" s="58"/>
      <c r="D705" s="58"/>
      <c r="E705" s="511">
        <f t="shared" ref="E705:V705" si="183">E707+E841+E850+E864+E869+E876+E880+E895+E898+E902+E906+E912+E916+E919+E922+E933+E936+E939+E942+E950++E953+E961+E965+E968+E972+E977+E980+E984+E988+E991+E998+E1004+E1007+E1011+E1018+E1023+E1026+E1036+E1001</f>
        <v>787133574.05000019</v>
      </c>
      <c r="F705" s="511">
        <f t="shared" si="183"/>
        <v>23034617.510000002</v>
      </c>
      <c r="G705" s="8">
        <f t="shared" si="183"/>
        <v>9</v>
      </c>
      <c r="H705" s="511">
        <f t="shared" si="183"/>
        <v>17672371.199999999</v>
      </c>
      <c r="I705" s="511">
        <f t="shared" si="183"/>
        <v>224058.86999999997</v>
      </c>
      <c r="J705" s="511">
        <f t="shared" si="183"/>
        <v>0</v>
      </c>
      <c r="K705" s="511">
        <f t="shared" si="183"/>
        <v>3615.7</v>
      </c>
      <c r="L705" s="511">
        <f t="shared" si="183"/>
        <v>739858623.58000016</v>
      </c>
      <c r="M705" s="511">
        <f t="shared" si="183"/>
        <v>0</v>
      </c>
      <c r="N705" s="511">
        <f t="shared" si="183"/>
        <v>0</v>
      </c>
      <c r="O705" s="511">
        <f t="shared" si="183"/>
        <v>741.6</v>
      </c>
      <c r="P705" s="511">
        <f t="shared" si="183"/>
        <v>1608070.61</v>
      </c>
      <c r="Q705" s="511">
        <f t="shared" si="183"/>
        <v>0</v>
      </c>
      <c r="R705" s="511">
        <f t="shared" si="183"/>
        <v>0</v>
      </c>
      <c r="S705" s="511">
        <f t="shared" si="183"/>
        <v>0</v>
      </c>
      <c r="T705" s="511">
        <f t="shared" si="183"/>
        <v>0</v>
      </c>
      <c r="U705" s="511">
        <f t="shared" si="183"/>
        <v>4959891.1500000004</v>
      </c>
      <c r="V705" s="511">
        <f t="shared" si="183"/>
        <v>0</v>
      </c>
      <c r="X705" s="38">
        <f>'[2]Приложение 1'!T701</f>
        <v>0</v>
      </c>
      <c r="Y705" s="9">
        <f t="shared" si="181"/>
        <v>3302.0724579214393</v>
      </c>
      <c r="Z705" s="19">
        <f t="shared" si="182"/>
        <v>-3302.0724579214393</v>
      </c>
      <c r="AA705" s="38"/>
    </row>
    <row r="706" spans="1:27" ht="9" customHeight="1">
      <c r="A706" s="882" t="s">
        <v>217</v>
      </c>
      <c r="B706" s="882"/>
      <c r="C706" s="882"/>
      <c r="D706" s="882"/>
      <c r="E706" s="882"/>
      <c r="F706" s="882"/>
      <c r="G706" s="882"/>
      <c r="H706" s="882"/>
      <c r="I706" s="882"/>
      <c r="J706" s="882"/>
      <c r="K706" s="882"/>
      <c r="L706" s="882"/>
      <c r="M706" s="882"/>
      <c r="N706" s="882"/>
      <c r="O706" s="882"/>
      <c r="P706" s="882"/>
      <c r="Q706" s="882"/>
      <c r="R706" s="882"/>
      <c r="S706" s="882"/>
      <c r="T706" s="882"/>
      <c r="U706" s="882"/>
      <c r="V706" s="882"/>
      <c r="X706" s="38">
        <f>'[2]Приложение 1'!T702</f>
        <v>0</v>
      </c>
      <c r="Y706" s="9" t="e">
        <f t="shared" si="181"/>
        <v>#DIV/0!</v>
      </c>
      <c r="Z706" s="19" t="e">
        <f t="shared" si="182"/>
        <v>#DIV/0!</v>
      </c>
    </row>
    <row r="707" spans="1:27" ht="21" customHeight="1">
      <c r="A707" s="900" t="s">
        <v>109</v>
      </c>
      <c r="B707" s="900"/>
      <c r="C707" s="58"/>
      <c r="D707" s="58"/>
      <c r="E707" s="511">
        <f t="shared" ref="E707:V707" si="184">SUM(E708:E839)</f>
        <v>521876480.58999997</v>
      </c>
      <c r="F707" s="519">
        <f t="shared" si="184"/>
        <v>17245867.879999999</v>
      </c>
      <c r="G707" s="519">
        <f t="shared" si="184"/>
        <v>9</v>
      </c>
      <c r="H707" s="519">
        <f t="shared" si="184"/>
        <v>17672371.199999999</v>
      </c>
      <c r="I707" s="519">
        <f t="shared" si="184"/>
        <v>146041.90000000002</v>
      </c>
      <c r="J707" s="519">
        <f t="shared" si="184"/>
        <v>0</v>
      </c>
      <c r="K707" s="519">
        <f t="shared" si="184"/>
        <v>0</v>
      </c>
      <c r="L707" s="519">
        <f t="shared" si="184"/>
        <v>483730594.59999996</v>
      </c>
      <c r="M707" s="519">
        <f t="shared" si="184"/>
        <v>0</v>
      </c>
      <c r="N707" s="519">
        <f t="shared" si="184"/>
        <v>0</v>
      </c>
      <c r="O707" s="519">
        <f t="shared" si="184"/>
        <v>0</v>
      </c>
      <c r="P707" s="519">
        <f t="shared" si="184"/>
        <v>0</v>
      </c>
      <c r="Q707" s="519">
        <f t="shared" si="184"/>
        <v>0</v>
      </c>
      <c r="R707" s="519">
        <f t="shared" si="184"/>
        <v>0</v>
      </c>
      <c r="S707" s="519">
        <f t="shared" si="184"/>
        <v>0</v>
      </c>
      <c r="T707" s="519">
        <f t="shared" si="184"/>
        <v>0</v>
      </c>
      <c r="U707" s="519">
        <f t="shared" si="184"/>
        <v>3227646.91</v>
      </c>
      <c r="V707" s="519">
        <f t="shared" si="184"/>
        <v>0</v>
      </c>
      <c r="X707" s="38">
        <f>'[2]Приложение 1'!T703</f>
        <v>0</v>
      </c>
      <c r="Y707" s="9">
        <f t="shared" si="181"/>
        <v>3312.2726738011479</v>
      </c>
      <c r="Z707" s="19">
        <f t="shared" si="182"/>
        <v>-3312.2726738011479</v>
      </c>
    </row>
    <row r="708" spans="1:27" ht="9" customHeight="1">
      <c r="A708" s="510">
        <v>1</v>
      </c>
      <c r="B708" s="751" t="s">
        <v>622</v>
      </c>
      <c r="C708" s="752" t="s">
        <v>1192</v>
      </c>
      <c r="D708" s="753" t="s">
        <v>111</v>
      </c>
      <c r="E708" s="511">
        <f t="shared" ref="E708:E771" si="185">F708+H708+L708+N708+P708+R708+S708+T708+U708+V708</f>
        <v>3680292</v>
      </c>
      <c r="F708" s="511">
        <v>0</v>
      </c>
      <c r="G708" s="17">
        <v>0</v>
      </c>
      <c r="H708" s="754">
        <v>0</v>
      </c>
      <c r="I708" s="754">
        <v>1138</v>
      </c>
      <c r="J708" s="755"/>
      <c r="K708" s="510"/>
      <c r="L708" s="511">
        <f>ROUND(3234*I708,2)</f>
        <v>3680292</v>
      </c>
      <c r="M708" s="511">
        <v>0</v>
      </c>
      <c r="N708" s="511">
        <v>0</v>
      </c>
      <c r="O708" s="511">
        <v>0</v>
      </c>
      <c r="P708" s="511">
        <v>0</v>
      </c>
      <c r="Q708" s="511">
        <v>0</v>
      </c>
      <c r="R708" s="511">
        <v>0</v>
      </c>
      <c r="S708" s="511">
        <v>0</v>
      </c>
      <c r="T708" s="511">
        <v>0</v>
      </c>
      <c r="U708" s="511">
        <v>0</v>
      </c>
      <c r="V708" s="511">
        <v>0</v>
      </c>
      <c r="X708" s="38">
        <f>'[2]Приложение 1'!T704</f>
        <v>0</v>
      </c>
      <c r="Y708" s="9">
        <f t="shared" si="181"/>
        <v>3234</v>
      </c>
      <c r="Z708" s="19">
        <f t="shared" si="182"/>
        <v>-3234</v>
      </c>
    </row>
    <row r="709" spans="1:27" ht="9" customHeight="1">
      <c r="A709" s="510">
        <v>2</v>
      </c>
      <c r="B709" s="751" t="s">
        <v>623</v>
      </c>
      <c r="C709" s="752" t="s">
        <v>1192</v>
      </c>
      <c r="D709" s="753" t="s">
        <v>111</v>
      </c>
      <c r="E709" s="511">
        <f t="shared" si="185"/>
        <v>2865324</v>
      </c>
      <c r="F709" s="511">
        <v>0</v>
      </c>
      <c r="G709" s="17">
        <v>0</v>
      </c>
      <c r="H709" s="754">
        <v>0</v>
      </c>
      <c r="I709" s="754">
        <v>886</v>
      </c>
      <c r="J709" s="755"/>
      <c r="K709" s="510"/>
      <c r="L709" s="511">
        <f>ROUND(3234*I709,2)</f>
        <v>2865324</v>
      </c>
      <c r="M709" s="511">
        <v>0</v>
      </c>
      <c r="N709" s="511">
        <v>0</v>
      </c>
      <c r="O709" s="511">
        <v>0</v>
      </c>
      <c r="P709" s="511">
        <v>0</v>
      </c>
      <c r="Q709" s="511">
        <v>0</v>
      </c>
      <c r="R709" s="511">
        <v>0</v>
      </c>
      <c r="S709" s="511">
        <v>0</v>
      </c>
      <c r="T709" s="511">
        <v>0</v>
      </c>
      <c r="U709" s="511">
        <v>0</v>
      </c>
      <c r="V709" s="511">
        <v>0</v>
      </c>
      <c r="X709" s="38">
        <f>'[2]Приложение 1'!T705</f>
        <v>4503.95</v>
      </c>
      <c r="Y709" s="9">
        <f t="shared" si="181"/>
        <v>3234</v>
      </c>
      <c r="Z709" s="19">
        <f t="shared" si="182"/>
        <v>1269.9499999999998</v>
      </c>
    </row>
    <row r="710" spans="1:27" ht="9" customHeight="1">
      <c r="A710" s="518">
        <v>3</v>
      </c>
      <c r="B710" s="751" t="s">
        <v>624</v>
      </c>
      <c r="C710" s="752" t="s">
        <v>1192</v>
      </c>
      <c r="D710" s="753" t="s">
        <v>110</v>
      </c>
      <c r="E710" s="511">
        <f t="shared" si="185"/>
        <v>4520904</v>
      </c>
      <c r="F710" s="511">
        <v>0</v>
      </c>
      <c r="G710" s="17">
        <v>0</v>
      </c>
      <c r="H710" s="754">
        <v>0</v>
      </c>
      <c r="I710" s="754">
        <v>1356</v>
      </c>
      <c r="J710" s="755"/>
      <c r="K710" s="510"/>
      <c r="L710" s="511">
        <f t="shared" ref="L710:L751" si="186">ROUND(3334*I710,2)</f>
        <v>4520904</v>
      </c>
      <c r="M710" s="511">
        <v>0</v>
      </c>
      <c r="N710" s="511">
        <v>0</v>
      </c>
      <c r="O710" s="511">
        <v>0</v>
      </c>
      <c r="P710" s="511">
        <v>0</v>
      </c>
      <c r="Q710" s="511">
        <v>0</v>
      </c>
      <c r="R710" s="511">
        <v>0</v>
      </c>
      <c r="S710" s="511">
        <v>0</v>
      </c>
      <c r="T710" s="511">
        <v>0</v>
      </c>
      <c r="U710" s="511">
        <v>0</v>
      </c>
      <c r="V710" s="511">
        <v>0</v>
      </c>
      <c r="X710" s="38">
        <f>'[2]Приложение 1'!T706</f>
        <v>4503.95</v>
      </c>
      <c r="Y710" s="9">
        <f t="shared" si="181"/>
        <v>3334</v>
      </c>
      <c r="Z710" s="19">
        <f t="shared" si="182"/>
        <v>1169.9499999999998</v>
      </c>
    </row>
    <row r="711" spans="1:27" ht="9" customHeight="1">
      <c r="A711" s="518">
        <v>4</v>
      </c>
      <c r="B711" s="751" t="s">
        <v>625</v>
      </c>
      <c r="C711" s="752" t="s">
        <v>1192</v>
      </c>
      <c r="D711" s="753" t="s">
        <v>110</v>
      </c>
      <c r="E711" s="511">
        <f t="shared" si="185"/>
        <v>5677802</v>
      </c>
      <c r="F711" s="511">
        <v>0</v>
      </c>
      <c r="G711" s="17">
        <v>0</v>
      </c>
      <c r="H711" s="754">
        <v>0</v>
      </c>
      <c r="I711" s="754">
        <v>1703</v>
      </c>
      <c r="J711" s="755"/>
      <c r="K711" s="510"/>
      <c r="L711" s="511">
        <f t="shared" si="186"/>
        <v>5677802</v>
      </c>
      <c r="M711" s="511">
        <v>0</v>
      </c>
      <c r="N711" s="511">
        <v>0</v>
      </c>
      <c r="O711" s="511">
        <v>0</v>
      </c>
      <c r="P711" s="511">
        <v>0</v>
      </c>
      <c r="Q711" s="511">
        <v>0</v>
      </c>
      <c r="R711" s="511">
        <v>0</v>
      </c>
      <c r="S711" s="511">
        <v>0</v>
      </c>
      <c r="T711" s="511">
        <v>0</v>
      </c>
      <c r="U711" s="511">
        <v>0</v>
      </c>
      <c r="V711" s="511">
        <v>0</v>
      </c>
      <c r="X711" s="38">
        <f>'[2]Приложение 1'!T707</f>
        <v>4180</v>
      </c>
      <c r="Y711" s="9">
        <f t="shared" si="181"/>
        <v>3334</v>
      </c>
      <c r="Z711" s="19">
        <f t="shared" si="182"/>
        <v>846</v>
      </c>
    </row>
    <row r="712" spans="1:27" ht="9" customHeight="1">
      <c r="A712" s="518">
        <v>5</v>
      </c>
      <c r="B712" s="751" t="s">
        <v>626</v>
      </c>
      <c r="C712" s="752" t="s">
        <v>1192</v>
      </c>
      <c r="D712" s="753" t="s">
        <v>110</v>
      </c>
      <c r="E712" s="511">
        <f t="shared" si="185"/>
        <v>6988730.7999999998</v>
      </c>
      <c r="F712" s="511">
        <v>0</v>
      </c>
      <c r="G712" s="17">
        <v>0</v>
      </c>
      <c r="H712" s="754">
        <v>0</v>
      </c>
      <c r="I712" s="754">
        <v>2096.1999999999998</v>
      </c>
      <c r="J712" s="755"/>
      <c r="K712" s="510"/>
      <c r="L712" s="511">
        <f t="shared" si="186"/>
        <v>6988730.7999999998</v>
      </c>
      <c r="M712" s="511">
        <v>0</v>
      </c>
      <c r="N712" s="511">
        <v>0</v>
      </c>
      <c r="O712" s="511">
        <v>0</v>
      </c>
      <c r="P712" s="511">
        <v>0</v>
      </c>
      <c r="Q712" s="511">
        <v>0</v>
      </c>
      <c r="R712" s="511">
        <v>0</v>
      </c>
      <c r="S712" s="511">
        <v>0</v>
      </c>
      <c r="T712" s="511">
        <v>0</v>
      </c>
      <c r="U712" s="511">
        <v>0</v>
      </c>
      <c r="V712" s="511">
        <v>0</v>
      </c>
      <c r="X712" s="38">
        <f>'[2]Приложение 1'!T708</f>
        <v>4180</v>
      </c>
      <c r="Y712" s="9">
        <f t="shared" si="181"/>
        <v>3334</v>
      </c>
      <c r="Z712" s="19">
        <f t="shared" si="182"/>
        <v>846</v>
      </c>
    </row>
    <row r="713" spans="1:27" ht="9" customHeight="1">
      <c r="A713" s="518">
        <v>6</v>
      </c>
      <c r="B713" s="751" t="s">
        <v>627</v>
      </c>
      <c r="C713" s="752" t="s">
        <v>1192</v>
      </c>
      <c r="D713" s="753" t="s">
        <v>110</v>
      </c>
      <c r="E713" s="511">
        <f t="shared" si="185"/>
        <v>3450690</v>
      </c>
      <c r="F713" s="511">
        <v>0</v>
      </c>
      <c r="G713" s="17">
        <v>0</v>
      </c>
      <c r="H713" s="754">
        <v>0</v>
      </c>
      <c r="I713" s="754">
        <v>1035</v>
      </c>
      <c r="J713" s="755"/>
      <c r="K713" s="510"/>
      <c r="L713" s="511">
        <f t="shared" si="186"/>
        <v>3450690</v>
      </c>
      <c r="M713" s="511">
        <v>0</v>
      </c>
      <c r="N713" s="511">
        <v>0</v>
      </c>
      <c r="O713" s="511">
        <v>0</v>
      </c>
      <c r="P713" s="511">
        <v>0</v>
      </c>
      <c r="Q713" s="511">
        <v>0</v>
      </c>
      <c r="R713" s="511">
        <v>0</v>
      </c>
      <c r="S713" s="511">
        <v>0</v>
      </c>
      <c r="T713" s="511">
        <v>0</v>
      </c>
      <c r="U713" s="511">
        <v>0</v>
      </c>
      <c r="V713" s="511">
        <v>0</v>
      </c>
      <c r="X713" s="38">
        <f>'[2]Приложение 1'!T709</f>
        <v>4180</v>
      </c>
      <c r="Y713" s="9">
        <f t="shared" si="181"/>
        <v>3334</v>
      </c>
      <c r="Z713" s="19">
        <f t="shared" si="182"/>
        <v>846</v>
      </c>
    </row>
    <row r="714" spans="1:27" ht="9" customHeight="1">
      <c r="A714" s="518">
        <v>7</v>
      </c>
      <c r="B714" s="751" t="s">
        <v>628</v>
      </c>
      <c r="C714" s="752" t="s">
        <v>1192</v>
      </c>
      <c r="D714" s="753" t="s">
        <v>110</v>
      </c>
      <c r="E714" s="511">
        <f t="shared" si="185"/>
        <v>2077082</v>
      </c>
      <c r="F714" s="511">
        <v>0</v>
      </c>
      <c r="G714" s="17">
        <v>0</v>
      </c>
      <c r="H714" s="754">
        <v>0</v>
      </c>
      <c r="I714" s="754">
        <v>623</v>
      </c>
      <c r="J714" s="755"/>
      <c r="K714" s="510"/>
      <c r="L714" s="511">
        <f t="shared" si="186"/>
        <v>2077082</v>
      </c>
      <c r="M714" s="511">
        <v>0</v>
      </c>
      <c r="N714" s="511">
        <v>0</v>
      </c>
      <c r="O714" s="511">
        <v>0</v>
      </c>
      <c r="P714" s="511">
        <v>0</v>
      </c>
      <c r="Q714" s="511">
        <v>0</v>
      </c>
      <c r="R714" s="511">
        <v>0</v>
      </c>
      <c r="S714" s="511">
        <v>0</v>
      </c>
      <c r="T714" s="511">
        <v>0</v>
      </c>
      <c r="U714" s="511">
        <v>0</v>
      </c>
      <c r="V714" s="511">
        <v>0</v>
      </c>
      <c r="X714" s="38">
        <f>'[2]Приложение 1'!T710</f>
        <v>4180</v>
      </c>
      <c r="Y714" s="9">
        <f t="shared" si="181"/>
        <v>3334</v>
      </c>
      <c r="Z714" s="19">
        <f t="shared" si="182"/>
        <v>846</v>
      </c>
    </row>
    <row r="715" spans="1:27" ht="9" customHeight="1">
      <c r="A715" s="518">
        <v>8</v>
      </c>
      <c r="B715" s="751" t="s">
        <v>629</v>
      </c>
      <c r="C715" s="752" t="s">
        <v>1192</v>
      </c>
      <c r="D715" s="753" t="s">
        <v>110</v>
      </c>
      <c r="E715" s="511">
        <f t="shared" si="185"/>
        <v>3540708</v>
      </c>
      <c r="F715" s="511">
        <v>0</v>
      </c>
      <c r="G715" s="17">
        <v>0</v>
      </c>
      <c r="H715" s="754">
        <v>0</v>
      </c>
      <c r="I715" s="754">
        <v>1062</v>
      </c>
      <c r="J715" s="755"/>
      <c r="K715" s="510"/>
      <c r="L715" s="511">
        <f t="shared" si="186"/>
        <v>3540708</v>
      </c>
      <c r="M715" s="511">
        <v>0</v>
      </c>
      <c r="N715" s="511">
        <v>0</v>
      </c>
      <c r="O715" s="511">
        <v>0</v>
      </c>
      <c r="P715" s="511">
        <v>0</v>
      </c>
      <c r="Q715" s="511">
        <v>0</v>
      </c>
      <c r="R715" s="511">
        <v>0</v>
      </c>
      <c r="S715" s="511">
        <v>0</v>
      </c>
      <c r="T715" s="511">
        <v>0</v>
      </c>
      <c r="U715" s="511">
        <v>0</v>
      </c>
      <c r="V715" s="511">
        <v>0</v>
      </c>
      <c r="X715" s="38">
        <f>'[2]Приложение 1'!T711</f>
        <v>4180</v>
      </c>
      <c r="Y715" s="9">
        <f t="shared" si="181"/>
        <v>3334</v>
      </c>
      <c r="Z715" s="19">
        <f t="shared" si="182"/>
        <v>846</v>
      </c>
    </row>
    <row r="716" spans="1:27" ht="9" customHeight="1">
      <c r="A716" s="518">
        <v>9</v>
      </c>
      <c r="B716" s="751" t="s">
        <v>630</v>
      </c>
      <c r="C716" s="752" t="s">
        <v>1192</v>
      </c>
      <c r="D716" s="753" t="s">
        <v>110</v>
      </c>
      <c r="E716" s="511">
        <f t="shared" si="185"/>
        <v>3337334</v>
      </c>
      <c r="F716" s="511">
        <v>0</v>
      </c>
      <c r="G716" s="17">
        <v>0</v>
      </c>
      <c r="H716" s="754">
        <v>0</v>
      </c>
      <c r="I716" s="754">
        <v>1001</v>
      </c>
      <c r="J716" s="755"/>
      <c r="K716" s="510"/>
      <c r="L716" s="511">
        <f t="shared" si="186"/>
        <v>3337334</v>
      </c>
      <c r="M716" s="511">
        <v>0</v>
      </c>
      <c r="N716" s="511">
        <v>0</v>
      </c>
      <c r="O716" s="511">
        <v>0</v>
      </c>
      <c r="P716" s="511">
        <v>0</v>
      </c>
      <c r="Q716" s="511">
        <v>0</v>
      </c>
      <c r="R716" s="511">
        <v>0</v>
      </c>
      <c r="S716" s="511">
        <v>0</v>
      </c>
      <c r="T716" s="511">
        <v>0</v>
      </c>
      <c r="U716" s="511">
        <v>0</v>
      </c>
      <c r="V716" s="511">
        <v>0</v>
      </c>
      <c r="X716" s="38">
        <f>'[2]Приложение 1'!T712</f>
        <v>4180</v>
      </c>
      <c r="Y716" s="9">
        <f t="shared" si="181"/>
        <v>3334</v>
      </c>
      <c r="Z716" s="19">
        <f t="shared" si="182"/>
        <v>846</v>
      </c>
    </row>
    <row r="717" spans="1:27" ht="9" customHeight="1">
      <c r="A717" s="518">
        <v>10</v>
      </c>
      <c r="B717" s="751" t="s">
        <v>631</v>
      </c>
      <c r="C717" s="752" t="s">
        <v>1192</v>
      </c>
      <c r="D717" s="753" t="s">
        <v>110</v>
      </c>
      <c r="E717" s="511">
        <f t="shared" si="185"/>
        <v>2770554</v>
      </c>
      <c r="F717" s="511">
        <v>0</v>
      </c>
      <c r="G717" s="17">
        <v>0</v>
      </c>
      <c r="H717" s="754">
        <v>0</v>
      </c>
      <c r="I717" s="754">
        <v>831</v>
      </c>
      <c r="J717" s="755"/>
      <c r="K717" s="510"/>
      <c r="L717" s="511">
        <f t="shared" si="186"/>
        <v>2770554</v>
      </c>
      <c r="M717" s="511">
        <v>0</v>
      </c>
      <c r="N717" s="511">
        <v>0</v>
      </c>
      <c r="O717" s="511">
        <v>0</v>
      </c>
      <c r="P717" s="511">
        <v>0</v>
      </c>
      <c r="Q717" s="511">
        <v>0</v>
      </c>
      <c r="R717" s="511">
        <v>0</v>
      </c>
      <c r="S717" s="511">
        <v>0</v>
      </c>
      <c r="T717" s="511">
        <v>0</v>
      </c>
      <c r="U717" s="511">
        <v>0</v>
      </c>
      <c r="V717" s="511">
        <v>0</v>
      </c>
      <c r="X717" s="38">
        <f>'[2]Приложение 1'!T713</f>
        <v>4180</v>
      </c>
      <c r="Y717" s="9">
        <f t="shared" si="181"/>
        <v>3334</v>
      </c>
      <c r="Z717" s="19">
        <f t="shared" si="182"/>
        <v>846</v>
      </c>
    </row>
    <row r="718" spans="1:27" ht="9" customHeight="1">
      <c r="A718" s="518">
        <v>11</v>
      </c>
      <c r="B718" s="751" t="s">
        <v>632</v>
      </c>
      <c r="C718" s="752" t="s">
        <v>1192</v>
      </c>
      <c r="D718" s="753" t="s">
        <v>110</v>
      </c>
      <c r="E718" s="511">
        <f t="shared" si="185"/>
        <v>2427152</v>
      </c>
      <c r="F718" s="511">
        <v>0</v>
      </c>
      <c r="G718" s="17">
        <v>0</v>
      </c>
      <c r="H718" s="754">
        <v>0</v>
      </c>
      <c r="I718" s="754">
        <v>728</v>
      </c>
      <c r="J718" s="755"/>
      <c r="K718" s="510"/>
      <c r="L718" s="511">
        <f t="shared" si="186"/>
        <v>2427152</v>
      </c>
      <c r="M718" s="511">
        <v>0</v>
      </c>
      <c r="N718" s="511">
        <v>0</v>
      </c>
      <c r="O718" s="511">
        <v>0</v>
      </c>
      <c r="P718" s="511">
        <v>0</v>
      </c>
      <c r="Q718" s="511">
        <v>0</v>
      </c>
      <c r="R718" s="511">
        <v>0</v>
      </c>
      <c r="S718" s="511">
        <v>0</v>
      </c>
      <c r="T718" s="511">
        <v>0</v>
      </c>
      <c r="U718" s="511">
        <v>0</v>
      </c>
      <c r="V718" s="511">
        <v>0</v>
      </c>
      <c r="X718" s="38">
        <f>'[2]Приложение 1'!T714</f>
        <v>4180</v>
      </c>
      <c r="Y718" s="9">
        <f t="shared" si="181"/>
        <v>3334</v>
      </c>
      <c r="Z718" s="19">
        <f t="shared" si="182"/>
        <v>846</v>
      </c>
    </row>
    <row r="719" spans="1:27" ht="9" customHeight="1">
      <c r="A719" s="518">
        <v>12</v>
      </c>
      <c r="B719" s="751" t="s">
        <v>633</v>
      </c>
      <c r="C719" s="752" t="s">
        <v>1192</v>
      </c>
      <c r="D719" s="753" t="s">
        <v>110</v>
      </c>
      <c r="E719" s="511">
        <f t="shared" si="185"/>
        <v>2770554</v>
      </c>
      <c r="F719" s="511">
        <v>0</v>
      </c>
      <c r="G719" s="17">
        <v>0</v>
      </c>
      <c r="H719" s="754">
        <v>0</v>
      </c>
      <c r="I719" s="754">
        <v>831</v>
      </c>
      <c r="J719" s="755"/>
      <c r="K719" s="510"/>
      <c r="L719" s="511">
        <f t="shared" si="186"/>
        <v>2770554</v>
      </c>
      <c r="M719" s="511">
        <v>0</v>
      </c>
      <c r="N719" s="511">
        <v>0</v>
      </c>
      <c r="O719" s="511">
        <v>0</v>
      </c>
      <c r="P719" s="511">
        <v>0</v>
      </c>
      <c r="Q719" s="511">
        <v>0</v>
      </c>
      <c r="R719" s="511">
        <v>0</v>
      </c>
      <c r="S719" s="511">
        <v>0</v>
      </c>
      <c r="T719" s="511">
        <v>0</v>
      </c>
      <c r="U719" s="511">
        <v>0</v>
      </c>
      <c r="V719" s="511">
        <v>0</v>
      </c>
      <c r="X719" s="38">
        <f>'[2]Приложение 1'!T715</f>
        <v>4180</v>
      </c>
      <c r="Y719" s="9">
        <f t="shared" si="181"/>
        <v>3334</v>
      </c>
      <c r="Z719" s="19">
        <f t="shared" si="182"/>
        <v>846</v>
      </c>
    </row>
    <row r="720" spans="1:27" ht="9" customHeight="1">
      <c r="A720" s="518">
        <v>13</v>
      </c>
      <c r="B720" s="751" t="s">
        <v>634</v>
      </c>
      <c r="C720" s="752" t="s">
        <v>1192</v>
      </c>
      <c r="D720" s="753" t="s">
        <v>110</v>
      </c>
      <c r="E720" s="511">
        <f t="shared" si="185"/>
        <v>2847236</v>
      </c>
      <c r="F720" s="511">
        <v>0</v>
      </c>
      <c r="G720" s="17">
        <v>0</v>
      </c>
      <c r="H720" s="754">
        <v>0</v>
      </c>
      <c r="I720" s="754">
        <v>854</v>
      </c>
      <c r="J720" s="755"/>
      <c r="K720" s="510"/>
      <c r="L720" s="511">
        <f t="shared" si="186"/>
        <v>2847236</v>
      </c>
      <c r="M720" s="511">
        <v>0</v>
      </c>
      <c r="N720" s="511">
        <v>0</v>
      </c>
      <c r="O720" s="511">
        <v>0</v>
      </c>
      <c r="P720" s="511">
        <v>0</v>
      </c>
      <c r="Q720" s="511">
        <v>0</v>
      </c>
      <c r="R720" s="511">
        <v>0</v>
      </c>
      <c r="S720" s="511">
        <v>0</v>
      </c>
      <c r="T720" s="511">
        <v>0</v>
      </c>
      <c r="U720" s="511">
        <v>0</v>
      </c>
      <c r="V720" s="511">
        <v>0</v>
      </c>
      <c r="X720" s="38">
        <f>'[2]Приложение 1'!T716</f>
        <v>4180</v>
      </c>
      <c r="Y720" s="9">
        <f t="shared" si="181"/>
        <v>3334</v>
      </c>
      <c r="Z720" s="19">
        <f t="shared" si="182"/>
        <v>846</v>
      </c>
    </row>
    <row r="721" spans="1:26" ht="9" customHeight="1">
      <c r="A721" s="518">
        <v>14</v>
      </c>
      <c r="B721" s="751" t="s">
        <v>635</v>
      </c>
      <c r="C721" s="752" t="s">
        <v>1192</v>
      </c>
      <c r="D721" s="753" t="s">
        <v>110</v>
      </c>
      <c r="E721" s="511">
        <f t="shared" si="185"/>
        <v>2847236</v>
      </c>
      <c r="F721" s="511">
        <v>0</v>
      </c>
      <c r="G721" s="17">
        <v>0</v>
      </c>
      <c r="H721" s="754">
        <v>0</v>
      </c>
      <c r="I721" s="754">
        <v>854</v>
      </c>
      <c r="J721" s="755"/>
      <c r="K721" s="510"/>
      <c r="L721" s="511">
        <f t="shared" si="186"/>
        <v>2847236</v>
      </c>
      <c r="M721" s="511">
        <v>0</v>
      </c>
      <c r="N721" s="511">
        <v>0</v>
      </c>
      <c r="O721" s="511">
        <v>0</v>
      </c>
      <c r="P721" s="511">
        <v>0</v>
      </c>
      <c r="Q721" s="511">
        <v>0</v>
      </c>
      <c r="R721" s="511">
        <v>0</v>
      </c>
      <c r="S721" s="511">
        <v>0</v>
      </c>
      <c r="T721" s="511">
        <v>0</v>
      </c>
      <c r="U721" s="511">
        <v>0</v>
      </c>
      <c r="V721" s="511">
        <v>0</v>
      </c>
      <c r="X721" s="38">
        <f>'[2]Приложение 1'!T717</f>
        <v>4180</v>
      </c>
      <c r="Y721" s="9">
        <f t="shared" si="181"/>
        <v>3334</v>
      </c>
      <c r="Z721" s="19">
        <f t="shared" si="182"/>
        <v>846</v>
      </c>
    </row>
    <row r="722" spans="1:26" ht="9" customHeight="1">
      <c r="A722" s="518">
        <v>15</v>
      </c>
      <c r="B722" s="751" t="s">
        <v>636</v>
      </c>
      <c r="C722" s="752" t="s">
        <v>1192</v>
      </c>
      <c r="D722" s="753" t="s">
        <v>110</v>
      </c>
      <c r="E722" s="511">
        <f t="shared" si="185"/>
        <v>3317330</v>
      </c>
      <c r="F722" s="511">
        <v>0</v>
      </c>
      <c r="G722" s="17">
        <v>0</v>
      </c>
      <c r="H722" s="754">
        <v>0</v>
      </c>
      <c r="I722" s="754">
        <v>995</v>
      </c>
      <c r="J722" s="755"/>
      <c r="K722" s="510"/>
      <c r="L722" s="511">
        <f t="shared" si="186"/>
        <v>3317330</v>
      </c>
      <c r="M722" s="511">
        <v>0</v>
      </c>
      <c r="N722" s="511">
        <v>0</v>
      </c>
      <c r="O722" s="511">
        <v>0</v>
      </c>
      <c r="P722" s="511">
        <v>0</v>
      </c>
      <c r="Q722" s="511">
        <v>0</v>
      </c>
      <c r="R722" s="511">
        <v>0</v>
      </c>
      <c r="S722" s="511">
        <v>0</v>
      </c>
      <c r="T722" s="511">
        <v>0</v>
      </c>
      <c r="U722" s="511">
        <v>0</v>
      </c>
      <c r="V722" s="511">
        <v>0</v>
      </c>
      <c r="X722" s="38">
        <f>'[2]Приложение 1'!T718</f>
        <v>4180</v>
      </c>
      <c r="Y722" s="9">
        <f t="shared" si="181"/>
        <v>3334</v>
      </c>
      <c r="Z722" s="19">
        <f t="shared" si="182"/>
        <v>846</v>
      </c>
    </row>
    <row r="723" spans="1:26" ht="9" customHeight="1">
      <c r="A723" s="518">
        <v>16</v>
      </c>
      <c r="B723" s="751" t="s">
        <v>637</v>
      </c>
      <c r="C723" s="752" t="s">
        <v>1192</v>
      </c>
      <c r="D723" s="753" t="s">
        <v>110</v>
      </c>
      <c r="E723" s="511">
        <f t="shared" si="185"/>
        <v>3330666</v>
      </c>
      <c r="F723" s="511">
        <v>0</v>
      </c>
      <c r="G723" s="17">
        <v>0</v>
      </c>
      <c r="H723" s="754">
        <v>0</v>
      </c>
      <c r="I723" s="754">
        <v>999</v>
      </c>
      <c r="J723" s="755"/>
      <c r="K723" s="510"/>
      <c r="L723" s="511">
        <f t="shared" si="186"/>
        <v>3330666</v>
      </c>
      <c r="M723" s="511">
        <v>0</v>
      </c>
      <c r="N723" s="511">
        <v>0</v>
      </c>
      <c r="O723" s="511">
        <v>0</v>
      </c>
      <c r="P723" s="511">
        <v>0</v>
      </c>
      <c r="Q723" s="511">
        <v>0</v>
      </c>
      <c r="R723" s="511">
        <v>0</v>
      </c>
      <c r="S723" s="511">
        <v>0</v>
      </c>
      <c r="T723" s="511">
        <v>0</v>
      </c>
      <c r="U723" s="511">
        <v>0</v>
      </c>
      <c r="V723" s="511">
        <v>0</v>
      </c>
      <c r="X723" s="38">
        <f>'[2]Приложение 1'!T719</f>
        <v>4180</v>
      </c>
      <c r="Y723" s="9">
        <f t="shared" si="181"/>
        <v>3334</v>
      </c>
      <c r="Z723" s="19">
        <f t="shared" si="182"/>
        <v>846</v>
      </c>
    </row>
    <row r="724" spans="1:26" ht="9" customHeight="1">
      <c r="A724" s="518">
        <v>17</v>
      </c>
      <c r="B724" s="751" t="s">
        <v>639</v>
      </c>
      <c r="C724" s="752" t="s">
        <v>1192</v>
      </c>
      <c r="D724" s="753" t="s">
        <v>110</v>
      </c>
      <c r="E724" s="511">
        <f t="shared" si="185"/>
        <v>3000600</v>
      </c>
      <c r="F724" s="511">
        <v>0</v>
      </c>
      <c r="G724" s="17">
        <v>0</v>
      </c>
      <c r="H724" s="754">
        <v>0</v>
      </c>
      <c r="I724" s="754">
        <v>900</v>
      </c>
      <c r="J724" s="755"/>
      <c r="K724" s="510"/>
      <c r="L724" s="511">
        <f t="shared" si="186"/>
        <v>3000600</v>
      </c>
      <c r="M724" s="511">
        <v>0</v>
      </c>
      <c r="N724" s="511">
        <v>0</v>
      </c>
      <c r="O724" s="511">
        <v>0</v>
      </c>
      <c r="P724" s="511">
        <v>0</v>
      </c>
      <c r="Q724" s="511">
        <v>0</v>
      </c>
      <c r="R724" s="511">
        <v>0</v>
      </c>
      <c r="S724" s="511">
        <v>0</v>
      </c>
      <c r="T724" s="511">
        <v>0</v>
      </c>
      <c r="U724" s="511">
        <v>0</v>
      </c>
      <c r="V724" s="511">
        <v>0</v>
      </c>
      <c r="X724" s="38">
        <f>'[2]Приложение 1'!T720</f>
        <v>4180</v>
      </c>
      <c r="Y724" s="9">
        <f t="shared" si="181"/>
        <v>3334</v>
      </c>
      <c r="Z724" s="19">
        <f t="shared" si="182"/>
        <v>846</v>
      </c>
    </row>
    <row r="725" spans="1:26" ht="9" customHeight="1">
      <c r="A725" s="518">
        <v>18</v>
      </c>
      <c r="B725" s="751" t="s">
        <v>640</v>
      </c>
      <c r="C725" s="752" t="s">
        <v>1192</v>
      </c>
      <c r="D725" s="753" t="s">
        <v>110</v>
      </c>
      <c r="E725" s="511">
        <f t="shared" si="185"/>
        <v>3247316</v>
      </c>
      <c r="F725" s="511">
        <v>0</v>
      </c>
      <c r="G725" s="17">
        <v>0</v>
      </c>
      <c r="H725" s="754">
        <v>0</v>
      </c>
      <c r="I725" s="754">
        <v>974</v>
      </c>
      <c r="J725" s="755"/>
      <c r="K725" s="510"/>
      <c r="L725" s="511">
        <f t="shared" si="186"/>
        <v>3247316</v>
      </c>
      <c r="M725" s="511">
        <v>0</v>
      </c>
      <c r="N725" s="511">
        <v>0</v>
      </c>
      <c r="O725" s="511">
        <v>0</v>
      </c>
      <c r="P725" s="511">
        <v>0</v>
      </c>
      <c r="Q725" s="511">
        <v>0</v>
      </c>
      <c r="R725" s="511">
        <v>0</v>
      </c>
      <c r="S725" s="511">
        <v>0</v>
      </c>
      <c r="T725" s="511">
        <v>0</v>
      </c>
      <c r="U725" s="511">
        <v>0</v>
      </c>
      <c r="V725" s="511">
        <v>0</v>
      </c>
      <c r="X725" s="38">
        <f>'[2]Приложение 1'!T721</f>
        <v>4180</v>
      </c>
      <c r="Y725" s="9">
        <f t="shared" si="181"/>
        <v>3334</v>
      </c>
      <c r="Z725" s="19">
        <f t="shared" si="182"/>
        <v>846</v>
      </c>
    </row>
    <row r="726" spans="1:26" ht="9" customHeight="1">
      <c r="A726" s="518">
        <v>19</v>
      </c>
      <c r="B726" s="751" t="s">
        <v>641</v>
      </c>
      <c r="C726" s="752" t="s">
        <v>1192</v>
      </c>
      <c r="D726" s="753" t="s">
        <v>110</v>
      </c>
      <c r="E726" s="511">
        <f t="shared" si="185"/>
        <v>7001400</v>
      </c>
      <c r="F726" s="511">
        <v>0</v>
      </c>
      <c r="G726" s="17">
        <v>0</v>
      </c>
      <c r="H726" s="754">
        <v>0</v>
      </c>
      <c r="I726" s="754">
        <v>2100</v>
      </c>
      <c r="J726" s="755"/>
      <c r="K726" s="510"/>
      <c r="L726" s="511">
        <f t="shared" si="186"/>
        <v>7001400</v>
      </c>
      <c r="M726" s="511">
        <v>0</v>
      </c>
      <c r="N726" s="511">
        <v>0</v>
      </c>
      <c r="O726" s="511">
        <v>0</v>
      </c>
      <c r="P726" s="511">
        <v>0</v>
      </c>
      <c r="Q726" s="511">
        <v>0</v>
      </c>
      <c r="R726" s="511">
        <v>0</v>
      </c>
      <c r="S726" s="511">
        <v>0</v>
      </c>
      <c r="T726" s="511">
        <v>0</v>
      </c>
      <c r="U726" s="511">
        <v>0</v>
      </c>
      <c r="V726" s="511">
        <v>0</v>
      </c>
      <c r="X726" s="38">
        <f>'[2]Приложение 1'!T722</f>
        <v>4180</v>
      </c>
      <c r="Y726" s="9">
        <f t="shared" si="181"/>
        <v>3334</v>
      </c>
      <c r="Z726" s="19">
        <f t="shared" si="182"/>
        <v>846</v>
      </c>
    </row>
    <row r="727" spans="1:26" ht="9" customHeight="1">
      <c r="A727" s="518">
        <v>20</v>
      </c>
      <c r="B727" s="751" t="s">
        <v>642</v>
      </c>
      <c r="C727" s="752" t="s">
        <v>1192</v>
      </c>
      <c r="D727" s="753" t="s">
        <v>110</v>
      </c>
      <c r="E727" s="511">
        <f t="shared" si="185"/>
        <v>2610522</v>
      </c>
      <c r="F727" s="511">
        <v>0</v>
      </c>
      <c r="G727" s="17">
        <v>0</v>
      </c>
      <c r="H727" s="754">
        <v>0</v>
      </c>
      <c r="I727" s="754">
        <v>783</v>
      </c>
      <c r="J727" s="755"/>
      <c r="K727" s="510"/>
      <c r="L727" s="511">
        <f t="shared" si="186"/>
        <v>2610522</v>
      </c>
      <c r="M727" s="511">
        <v>0</v>
      </c>
      <c r="N727" s="511">
        <v>0</v>
      </c>
      <c r="O727" s="511">
        <v>0</v>
      </c>
      <c r="P727" s="511">
        <v>0</v>
      </c>
      <c r="Q727" s="511">
        <v>0</v>
      </c>
      <c r="R727" s="511">
        <v>0</v>
      </c>
      <c r="S727" s="511">
        <v>0</v>
      </c>
      <c r="T727" s="511">
        <v>0</v>
      </c>
      <c r="U727" s="511">
        <v>0</v>
      </c>
      <c r="V727" s="511">
        <v>0</v>
      </c>
      <c r="X727" s="38">
        <f>'[2]Приложение 1'!T723</f>
        <v>4180</v>
      </c>
      <c r="Y727" s="9">
        <f t="shared" si="181"/>
        <v>3334</v>
      </c>
      <c r="Z727" s="19">
        <f t="shared" si="182"/>
        <v>846</v>
      </c>
    </row>
    <row r="728" spans="1:26" ht="9" customHeight="1">
      <c r="A728" s="518">
        <v>21</v>
      </c>
      <c r="B728" s="751" t="s">
        <v>643</v>
      </c>
      <c r="C728" s="752" t="s">
        <v>1192</v>
      </c>
      <c r="D728" s="753" t="s">
        <v>110</v>
      </c>
      <c r="E728" s="511">
        <f t="shared" si="185"/>
        <v>3218310.2</v>
      </c>
      <c r="F728" s="511">
        <v>0</v>
      </c>
      <c r="G728" s="17">
        <v>0</v>
      </c>
      <c r="H728" s="754">
        <v>0</v>
      </c>
      <c r="I728" s="754">
        <v>965.3</v>
      </c>
      <c r="J728" s="755"/>
      <c r="K728" s="510"/>
      <c r="L728" s="511">
        <f t="shared" si="186"/>
        <v>3218310.2</v>
      </c>
      <c r="M728" s="511">
        <v>0</v>
      </c>
      <c r="N728" s="511">
        <v>0</v>
      </c>
      <c r="O728" s="511">
        <v>0</v>
      </c>
      <c r="P728" s="511">
        <v>0</v>
      </c>
      <c r="Q728" s="511">
        <v>0</v>
      </c>
      <c r="R728" s="511">
        <v>0</v>
      </c>
      <c r="S728" s="511">
        <v>0</v>
      </c>
      <c r="T728" s="511">
        <v>0</v>
      </c>
      <c r="U728" s="511">
        <v>0</v>
      </c>
      <c r="V728" s="511">
        <v>0</v>
      </c>
      <c r="X728" s="38">
        <f>'[2]Приложение 1'!T724</f>
        <v>4180</v>
      </c>
      <c r="Y728" s="9">
        <f t="shared" si="181"/>
        <v>3334.0000000000005</v>
      </c>
      <c r="Z728" s="19">
        <f t="shared" si="182"/>
        <v>845.99999999999955</v>
      </c>
    </row>
    <row r="729" spans="1:26" ht="9" customHeight="1">
      <c r="A729" s="518">
        <v>22</v>
      </c>
      <c r="B729" s="751" t="s">
        <v>644</v>
      </c>
      <c r="C729" s="752" t="s">
        <v>1192</v>
      </c>
      <c r="D729" s="753" t="s">
        <v>110</v>
      </c>
      <c r="E729" s="511">
        <f t="shared" si="185"/>
        <v>3931786.2</v>
      </c>
      <c r="F729" s="511">
        <v>0</v>
      </c>
      <c r="G729" s="17">
        <v>0</v>
      </c>
      <c r="H729" s="754">
        <v>0</v>
      </c>
      <c r="I729" s="754">
        <v>1179.3</v>
      </c>
      <c r="J729" s="755"/>
      <c r="K729" s="510"/>
      <c r="L729" s="511">
        <f t="shared" si="186"/>
        <v>3931786.2</v>
      </c>
      <c r="M729" s="511">
        <v>0</v>
      </c>
      <c r="N729" s="511">
        <v>0</v>
      </c>
      <c r="O729" s="511">
        <v>0</v>
      </c>
      <c r="P729" s="511">
        <v>0</v>
      </c>
      <c r="Q729" s="511">
        <v>0</v>
      </c>
      <c r="R729" s="511">
        <v>0</v>
      </c>
      <c r="S729" s="511">
        <v>0</v>
      </c>
      <c r="T729" s="511">
        <v>0</v>
      </c>
      <c r="U729" s="511">
        <v>0</v>
      </c>
      <c r="V729" s="511">
        <v>0</v>
      </c>
      <c r="X729" s="38">
        <f>'[2]Приложение 1'!T725</f>
        <v>4180</v>
      </c>
      <c r="Y729" s="9">
        <f t="shared" si="181"/>
        <v>3334.0000000000005</v>
      </c>
      <c r="Z729" s="19">
        <f t="shared" si="182"/>
        <v>845.99999999999955</v>
      </c>
    </row>
    <row r="730" spans="1:26" ht="9" customHeight="1">
      <c r="A730" s="518">
        <v>23</v>
      </c>
      <c r="B730" s="751" t="s">
        <v>645</v>
      </c>
      <c r="C730" s="752" t="s">
        <v>1192</v>
      </c>
      <c r="D730" s="753" t="s">
        <v>110</v>
      </c>
      <c r="E730" s="511">
        <f t="shared" si="185"/>
        <v>11589702.08</v>
      </c>
      <c r="F730" s="511">
        <f>ROUND(6688*(1200+210),2)</f>
        <v>9430080</v>
      </c>
      <c r="G730" s="17">
        <v>0</v>
      </c>
      <c r="H730" s="754">
        <v>0</v>
      </c>
      <c r="I730" s="754">
        <v>0</v>
      </c>
      <c r="J730" s="755"/>
      <c r="K730" s="510"/>
      <c r="L730" s="511">
        <f t="shared" si="186"/>
        <v>0</v>
      </c>
      <c r="M730" s="511">
        <v>0</v>
      </c>
      <c r="N730" s="511">
        <v>0</v>
      </c>
      <c r="O730" s="511">
        <v>0</v>
      </c>
      <c r="P730" s="511">
        <v>0</v>
      </c>
      <c r="Q730" s="511">
        <v>0</v>
      </c>
      <c r="R730" s="511">
        <v>0</v>
      </c>
      <c r="S730" s="511">
        <v>0</v>
      </c>
      <c r="T730" s="511">
        <v>0</v>
      </c>
      <c r="U730" s="511">
        <f>ROUND(6688*322.91,2)</f>
        <v>2159622.08</v>
      </c>
      <c r="V730" s="511">
        <v>0</v>
      </c>
      <c r="X730" s="38">
        <f>'[2]Приложение 1'!T726</f>
        <v>4180</v>
      </c>
      <c r="Y730" s="9" t="e">
        <f t="shared" si="181"/>
        <v>#DIV/0!</v>
      </c>
      <c r="Z730" s="19" t="e">
        <f t="shared" si="182"/>
        <v>#DIV/0!</v>
      </c>
    </row>
    <row r="731" spans="1:26" ht="9" customHeight="1">
      <c r="A731" s="518">
        <v>24</v>
      </c>
      <c r="B731" s="751" t="s">
        <v>646</v>
      </c>
      <c r="C731" s="752" t="s">
        <v>1192</v>
      </c>
      <c r="D731" s="753" t="s">
        <v>110</v>
      </c>
      <c r="E731" s="511">
        <f t="shared" si="185"/>
        <v>3604054</v>
      </c>
      <c r="F731" s="511">
        <v>0</v>
      </c>
      <c r="G731" s="17">
        <v>0</v>
      </c>
      <c r="H731" s="754">
        <v>0</v>
      </c>
      <c r="I731" s="754">
        <v>1081</v>
      </c>
      <c r="J731" s="755"/>
      <c r="K731" s="510"/>
      <c r="L731" s="511">
        <f t="shared" si="186"/>
        <v>3604054</v>
      </c>
      <c r="M731" s="511">
        <v>0</v>
      </c>
      <c r="N731" s="511">
        <v>0</v>
      </c>
      <c r="O731" s="511">
        <v>0</v>
      </c>
      <c r="P731" s="511">
        <v>0</v>
      </c>
      <c r="Q731" s="511">
        <v>0</v>
      </c>
      <c r="R731" s="511">
        <v>0</v>
      </c>
      <c r="S731" s="511">
        <v>0</v>
      </c>
      <c r="T731" s="511">
        <v>0</v>
      </c>
      <c r="U731" s="511">
        <v>0</v>
      </c>
      <c r="V731" s="511">
        <v>0</v>
      </c>
      <c r="X731" s="38">
        <f>'[2]Приложение 1'!T727</f>
        <v>5307.5599999999995</v>
      </c>
      <c r="Y731" s="9">
        <f t="shared" si="181"/>
        <v>3334</v>
      </c>
      <c r="Z731" s="19">
        <f t="shared" si="182"/>
        <v>1973.5599999999995</v>
      </c>
    </row>
    <row r="732" spans="1:26" ht="9" customHeight="1">
      <c r="A732" s="518">
        <v>25</v>
      </c>
      <c r="B732" s="751" t="s">
        <v>647</v>
      </c>
      <c r="C732" s="752" t="s">
        <v>1192</v>
      </c>
      <c r="D732" s="753" t="s">
        <v>110</v>
      </c>
      <c r="E732" s="511">
        <f t="shared" si="185"/>
        <v>2770554</v>
      </c>
      <c r="F732" s="511">
        <v>0</v>
      </c>
      <c r="G732" s="17">
        <v>0</v>
      </c>
      <c r="H732" s="754">
        <v>0</v>
      </c>
      <c r="I732" s="754">
        <v>831</v>
      </c>
      <c r="J732" s="755"/>
      <c r="K732" s="510"/>
      <c r="L732" s="511">
        <f t="shared" si="186"/>
        <v>2770554</v>
      </c>
      <c r="M732" s="511">
        <v>0</v>
      </c>
      <c r="N732" s="511">
        <v>0</v>
      </c>
      <c r="O732" s="511">
        <v>0</v>
      </c>
      <c r="P732" s="511">
        <v>0</v>
      </c>
      <c r="Q732" s="511">
        <v>0</v>
      </c>
      <c r="R732" s="511">
        <v>0</v>
      </c>
      <c r="S732" s="511">
        <v>0</v>
      </c>
      <c r="T732" s="511">
        <v>0</v>
      </c>
      <c r="U732" s="511">
        <v>0</v>
      </c>
      <c r="V732" s="511">
        <v>0</v>
      </c>
      <c r="X732" s="38">
        <f>'[2]Приложение 1'!T728</f>
        <v>4180</v>
      </c>
      <c r="Y732" s="9">
        <f t="shared" si="181"/>
        <v>3334</v>
      </c>
      <c r="Z732" s="19">
        <f t="shared" si="182"/>
        <v>846</v>
      </c>
    </row>
    <row r="733" spans="1:26" ht="9" customHeight="1">
      <c r="A733" s="518">
        <v>26</v>
      </c>
      <c r="B733" s="751" t="s">
        <v>648</v>
      </c>
      <c r="C733" s="752" t="s">
        <v>1192</v>
      </c>
      <c r="D733" s="753" t="s">
        <v>110</v>
      </c>
      <c r="E733" s="511">
        <f t="shared" si="185"/>
        <v>3237314</v>
      </c>
      <c r="F733" s="511">
        <v>0</v>
      </c>
      <c r="G733" s="17">
        <v>0</v>
      </c>
      <c r="H733" s="754">
        <v>0</v>
      </c>
      <c r="I733" s="754">
        <v>971</v>
      </c>
      <c r="J733" s="755"/>
      <c r="K733" s="510"/>
      <c r="L733" s="511">
        <f t="shared" si="186"/>
        <v>3237314</v>
      </c>
      <c r="M733" s="511">
        <v>0</v>
      </c>
      <c r="N733" s="511">
        <v>0</v>
      </c>
      <c r="O733" s="511">
        <v>0</v>
      </c>
      <c r="P733" s="511">
        <v>0</v>
      </c>
      <c r="Q733" s="511">
        <v>0</v>
      </c>
      <c r="R733" s="511">
        <v>0</v>
      </c>
      <c r="S733" s="511">
        <v>0</v>
      </c>
      <c r="T733" s="511">
        <v>0</v>
      </c>
      <c r="U733" s="511">
        <v>0</v>
      </c>
      <c r="V733" s="511">
        <v>0</v>
      </c>
      <c r="X733" s="38">
        <f>'[2]Приложение 1'!T729</f>
        <v>4180</v>
      </c>
      <c r="Y733" s="9">
        <f t="shared" si="181"/>
        <v>3334</v>
      </c>
      <c r="Z733" s="19">
        <f t="shared" si="182"/>
        <v>846</v>
      </c>
    </row>
    <row r="734" spans="1:26" ht="9" customHeight="1">
      <c r="A734" s="518">
        <v>27</v>
      </c>
      <c r="B734" s="751" t="s">
        <v>649</v>
      </c>
      <c r="C734" s="752" t="s">
        <v>1192</v>
      </c>
      <c r="D734" s="753" t="s">
        <v>110</v>
      </c>
      <c r="E734" s="511">
        <f t="shared" si="185"/>
        <v>3000600</v>
      </c>
      <c r="F734" s="511">
        <v>0</v>
      </c>
      <c r="G734" s="17">
        <v>0</v>
      </c>
      <c r="H734" s="754">
        <v>0</v>
      </c>
      <c r="I734" s="754">
        <v>900</v>
      </c>
      <c r="J734" s="755"/>
      <c r="K734" s="510"/>
      <c r="L734" s="511">
        <f t="shared" si="186"/>
        <v>3000600</v>
      </c>
      <c r="M734" s="511">
        <v>0</v>
      </c>
      <c r="N734" s="511">
        <v>0</v>
      </c>
      <c r="O734" s="511">
        <v>0</v>
      </c>
      <c r="P734" s="511">
        <v>0</v>
      </c>
      <c r="Q734" s="511">
        <v>0</v>
      </c>
      <c r="R734" s="511">
        <v>0</v>
      </c>
      <c r="S734" s="511">
        <v>0</v>
      </c>
      <c r="T734" s="511">
        <v>0</v>
      </c>
      <c r="U734" s="511">
        <v>0</v>
      </c>
      <c r="V734" s="511">
        <v>0</v>
      </c>
      <c r="X734" s="38">
        <f>'[2]Приложение 1'!T730</f>
        <v>4180</v>
      </c>
      <c r="Y734" s="9">
        <f t="shared" si="181"/>
        <v>3334</v>
      </c>
      <c r="Z734" s="19">
        <f t="shared" si="182"/>
        <v>846</v>
      </c>
    </row>
    <row r="735" spans="1:26" ht="9" customHeight="1">
      <c r="A735" s="518">
        <v>28</v>
      </c>
      <c r="B735" s="751" t="s">
        <v>650</v>
      </c>
      <c r="C735" s="752" t="s">
        <v>1192</v>
      </c>
      <c r="D735" s="753" t="s">
        <v>111</v>
      </c>
      <c r="E735" s="511">
        <f t="shared" si="185"/>
        <v>2092398</v>
      </c>
      <c r="F735" s="511">
        <v>0</v>
      </c>
      <c r="G735" s="17">
        <v>0</v>
      </c>
      <c r="H735" s="754">
        <v>0</v>
      </c>
      <c r="I735" s="754">
        <v>647</v>
      </c>
      <c r="J735" s="755"/>
      <c r="K735" s="510"/>
      <c r="L735" s="511">
        <f>ROUND(3234*I735,2)</f>
        <v>2092398</v>
      </c>
      <c r="M735" s="511">
        <v>0</v>
      </c>
      <c r="N735" s="511">
        <v>0</v>
      </c>
      <c r="O735" s="511">
        <v>0</v>
      </c>
      <c r="P735" s="511">
        <v>0</v>
      </c>
      <c r="Q735" s="511">
        <v>0</v>
      </c>
      <c r="R735" s="511">
        <v>0</v>
      </c>
      <c r="S735" s="511">
        <v>0</v>
      </c>
      <c r="T735" s="511">
        <v>0</v>
      </c>
      <c r="U735" s="511">
        <v>0</v>
      </c>
      <c r="V735" s="511">
        <v>0</v>
      </c>
      <c r="X735" s="38">
        <f>'[2]Приложение 1'!T731</f>
        <v>4180</v>
      </c>
      <c r="Y735" s="9">
        <f t="shared" si="181"/>
        <v>3234</v>
      </c>
      <c r="Z735" s="19">
        <f t="shared" si="182"/>
        <v>946</v>
      </c>
    </row>
    <row r="736" spans="1:26" ht="9" customHeight="1">
      <c r="A736" s="518">
        <v>29</v>
      </c>
      <c r="B736" s="751" t="s">
        <v>651</v>
      </c>
      <c r="C736" s="752" t="s">
        <v>1192</v>
      </c>
      <c r="D736" s="753" t="s">
        <v>110</v>
      </c>
      <c r="E736" s="511">
        <f t="shared" si="185"/>
        <v>3213976</v>
      </c>
      <c r="F736" s="511">
        <v>0</v>
      </c>
      <c r="G736" s="17">
        <v>0</v>
      </c>
      <c r="H736" s="754">
        <v>0</v>
      </c>
      <c r="I736" s="754">
        <v>964</v>
      </c>
      <c r="J736" s="755"/>
      <c r="K736" s="510"/>
      <c r="L736" s="511">
        <f t="shared" si="186"/>
        <v>3213976</v>
      </c>
      <c r="M736" s="511">
        <v>0</v>
      </c>
      <c r="N736" s="511">
        <v>0</v>
      </c>
      <c r="O736" s="511">
        <v>0</v>
      </c>
      <c r="P736" s="511">
        <v>0</v>
      </c>
      <c r="Q736" s="511">
        <v>0</v>
      </c>
      <c r="R736" s="511">
        <v>0</v>
      </c>
      <c r="S736" s="511">
        <v>0</v>
      </c>
      <c r="T736" s="511">
        <v>0</v>
      </c>
      <c r="U736" s="511">
        <v>0</v>
      </c>
      <c r="V736" s="511">
        <v>0</v>
      </c>
      <c r="X736" s="38">
        <f>'[2]Приложение 1'!T732</f>
        <v>4503.95</v>
      </c>
      <c r="Y736" s="9">
        <f t="shared" si="181"/>
        <v>3334</v>
      </c>
      <c r="Z736" s="19">
        <f t="shared" si="182"/>
        <v>1169.9499999999998</v>
      </c>
    </row>
    <row r="737" spans="1:26" ht="9" customHeight="1">
      <c r="A737" s="518">
        <v>30</v>
      </c>
      <c r="B737" s="751" t="s">
        <v>652</v>
      </c>
      <c r="C737" s="752" t="s">
        <v>1192</v>
      </c>
      <c r="D737" s="753" t="s">
        <v>110</v>
      </c>
      <c r="E737" s="511">
        <f t="shared" si="185"/>
        <v>3270654</v>
      </c>
      <c r="F737" s="511">
        <v>0</v>
      </c>
      <c r="G737" s="17">
        <v>0</v>
      </c>
      <c r="H737" s="754">
        <v>0</v>
      </c>
      <c r="I737" s="754">
        <v>981</v>
      </c>
      <c r="J737" s="755"/>
      <c r="K737" s="510"/>
      <c r="L737" s="511">
        <f t="shared" si="186"/>
        <v>3270654</v>
      </c>
      <c r="M737" s="511">
        <v>0</v>
      </c>
      <c r="N737" s="511">
        <v>0</v>
      </c>
      <c r="O737" s="511">
        <v>0</v>
      </c>
      <c r="P737" s="511">
        <v>0</v>
      </c>
      <c r="Q737" s="511">
        <v>0</v>
      </c>
      <c r="R737" s="511">
        <v>0</v>
      </c>
      <c r="S737" s="511">
        <v>0</v>
      </c>
      <c r="T737" s="511">
        <v>0</v>
      </c>
      <c r="U737" s="511">
        <v>0</v>
      </c>
      <c r="V737" s="511">
        <v>0</v>
      </c>
      <c r="X737" s="38">
        <f>'[2]Приложение 1'!T733</f>
        <v>4180</v>
      </c>
      <c r="Y737" s="9">
        <f t="shared" si="181"/>
        <v>3334</v>
      </c>
      <c r="Z737" s="19">
        <f t="shared" si="182"/>
        <v>846</v>
      </c>
    </row>
    <row r="738" spans="1:26" ht="9" customHeight="1">
      <c r="A738" s="518">
        <v>31</v>
      </c>
      <c r="B738" s="751" t="s">
        <v>653</v>
      </c>
      <c r="C738" s="752" t="s">
        <v>1192</v>
      </c>
      <c r="D738" s="753" t="s">
        <v>110</v>
      </c>
      <c r="E738" s="511">
        <f t="shared" si="185"/>
        <v>3243982</v>
      </c>
      <c r="F738" s="511">
        <v>0</v>
      </c>
      <c r="G738" s="17">
        <v>0</v>
      </c>
      <c r="H738" s="754">
        <v>0</v>
      </c>
      <c r="I738" s="754">
        <v>973</v>
      </c>
      <c r="J738" s="755"/>
      <c r="K738" s="510"/>
      <c r="L738" s="511">
        <f t="shared" si="186"/>
        <v>3243982</v>
      </c>
      <c r="M738" s="511">
        <v>0</v>
      </c>
      <c r="N738" s="511">
        <v>0</v>
      </c>
      <c r="O738" s="511">
        <v>0</v>
      </c>
      <c r="P738" s="511">
        <v>0</v>
      </c>
      <c r="Q738" s="511">
        <v>0</v>
      </c>
      <c r="R738" s="511">
        <v>0</v>
      </c>
      <c r="S738" s="511">
        <v>0</v>
      </c>
      <c r="T738" s="511">
        <v>0</v>
      </c>
      <c r="U738" s="511">
        <v>0</v>
      </c>
      <c r="V738" s="511">
        <v>0</v>
      </c>
      <c r="X738" s="38">
        <f>'[2]Приложение 1'!T734</f>
        <v>4180</v>
      </c>
      <c r="Y738" s="9">
        <f t="shared" si="181"/>
        <v>3334</v>
      </c>
      <c r="Z738" s="19">
        <f t="shared" si="182"/>
        <v>846</v>
      </c>
    </row>
    <row r="739" spans="1:26" ht="9" customHeight="1">
      <c r="A739" s="518">
        <v>32</v>
      </c>
      <c r="B739" s="751" t="s">
        <v>654</v>
      </c>
      <c r="C739" s="752" t="s">
        <v>1192</v>
      </c>
      <c r="D739" s="753" t="s">
        <v>110</v>
      </c>
      <c r="E739" s="511">
        <f t="shared" si="185"/>
        <v>3800760</v>
      </c>
      <c r="F739" s="511">
        <v>0</v>
      </c>
      <c r="G739" s="17">
        <v>0</v>
      </c>
      <c r="H739" s="754">
        <v>0</v>
      </c>
      <c r="I739" s="754">
        <v>1140</v>
      </c>
      <c r="J739" s="755"/>
      <c r="K739" s="510"/>
      <c r="L739" s="511">
        <f t="shared" si="186"/>
        <v>3800760</v>
      </c>
      <c r="M739" s="511">
        <v>0</v>
      </c>
      <c r="N739" s="511">
        <v>0</v>
      </c>
      <c r="O739" s="511">
        <v>0</v>
      </c>
      <c r="P739" s="511">
        <v>0</v>
      </c>
      <c r="Q739" s="511">
        <v>0</v>
      </c>
      <c r="R739" s="511">
        <v>0</v>
      </c>
      <c r="S739" s="511">
        <v>0</v>
      </c>
      <c r="T739" s="511">
        <v>0</v>
      </c>
      <c r="U739" s="511">
        <v>0</v>
      </c>
      <c r="V739" s="511">
        <v>0</v>
      </c>
      <c r="X739" s="38">
        <f>'[2]Приложение 1'!T735</f>
        <v>4180</v>
      </c>
      <c r="Y739" s="9">
        <f t="shared" si="181"/>
        <v>3334</v>
      </c>
      <c r="Z739" s="19">
        <f t="shared" si="182"/>
        <v>846</v>
      </c>
    </row>
    <row r="740" spans="1:26" ht="9" customHeight="1">
      <c r="A740" s="518">
        <v>33</v>
      </c>
      <c r="B740" s="751" t="s">
        <v>655</v>
      </c>
      <c r="C740" s="752" t="s">
        <v>1192</v>
      </c>
      <c r="D740" s="753" t="s">
        <v>110</v>
      </c>
      <c r="E740" s="511">
        <f t="shared" si="185"/>
        <v>3764086</v>
      </c>
      <c r="F740" s="511">
        <v>0</v>
      </c>
      <c r="G740" s="17">
        <v>0</v>
      </c>
      <c r="H740" s="754">
        <v>0</v>
      </c>
      <c r="I740" s="754">
        <v>1129</v>
      </c>
      <c r="J740" s="755"/>
      <c r="K740" s="510"/>
      <c r="L740" s="511">
        <f t="shared" si="186"/>
        <v>3764086</v>
      </c>
      <c r="M740" s="511">
        <v>0</v>
      </c>
      <c r="N740" s="511">
        <v>0</v>
      </c>
      <c r="O740" s="511">
        <v>0</v>
      </c>
      <c r="P740" s="511">
        <v>0</v>
      </c>
      <c r="Q740" s="511">
        <v>0</v>
      </c>
      <c r="R740" s="511">
        <v>0</v>
      </c>
      <c r="S740" s="511">
        <v>0</v>
      </c>
      <c r="T740" s="511">
        <v>0</v>
      </c>
      <c r="U740" s="511">
        <v>0</v>
      </c>
      <c r="V740" s="511">
        <v>0</v>
      </c>
      <c r="X740" s="38">
        <f>'[2]Приложение 1'!T736</f>
        <v>4180</v>
      </c>
      <c r="Y740" s="9">
        <f t="shared" si="181"/>
        <v>3334</v>
      </c>
      <c r="Z740" s="19">
        <f t="shared" si="182"/>
        <v>846</v>
      </c>
    </row>
    <row r="741" spans="1:26" ht="9" customHeight="1">
      <c r="A741" s="518">
        <v>34</v>
      </c>
      <c r="B741" s="751" t="s">
        <v>656</v>
      </c>
      <c r="C741" s="752" t="s">
        <v>1192</v>
      </c>
      <c r="D741" s="753" t="s">
        <v>110</v>
      </c>
      <c r="E741" s="511">
        <f t="shared" si="185"/>
        <v>4117490</v>
      </c>
      <c r="F741" s="511">
        <v>0</v>
      </c>
      <c r="G741" s="17">
        <v>0</v>
      </c>
      <c r="H741" s="754">
        <v>0</v>
      </c>
      <c r="I741" s="754">
        <v>1235</v>
      </c>
      <c r="J741" s="755"/>
      <c r="K741" s="510"/>
      <c r="L741" s="511">
        <f t="shared" si="186"/>
        <v>4117490</v>
      </c>
      <c r="M741" s="511">
        <v>0</v>
      </c>
      <c r="N741" s="511">
        <v>0</v>
      </c>
      <c r="O741" s="511">
        <v>0</v>
      </c>
      <c r="P741" s="511">
        <v>0</v>
      </c>
      <c r="Q741" s="511">
        <v>0</v>
      </c>
      <c r="R741" s="511">
        <v>0</v>
      </c>
      <c r="S741" s="511">
        <v>0</v>
      </c>
      <c r="T741" s="511">
        <v>0</v>
      </c>
      <c r="U741" s="511">
        <v>0</v>
      </c>
      <c r="V741" s="511">
        <v>0</v>
      </c>
      <c r="X741" s="38">
        <f>'[2]Приложение 1'!T737</f>
        <v>4180</v>
      </c>
      <c r="Y741" s="9">
        <f t="shared" si="181"/>
        <v>3334</v>
      </c>
      <c r="Z741" s="19">
        <f t="shared" si="182"/>
        <v>846</v>
      </c>
    </row>
    <row r="742" spans="1:26" ht="9" customHeight="1">
      <c r="A742" s="518">
        <v>35</v>
      </c>
      <c r="B742" s="751" t="s">
        <v>657</v>
      </c>
      <c r="C742" s="752" t="s">
        <v>1192</v>
      </c>
      <c r="D742" s="753" t="s">
        <v>110</v>
      </c>
      <c r="E742" s="511">
        <f t="shared" si="185"/>
        <v>833500</v>
      </c>
      <c r="F742" s="511">
        <v>0</v>
      </c>
      <c r="G742" s="17">
        <v>0</v>
      </c>
      <c r="H742" s="754">
        <v>0</v>
      </c>
      <c r="I742" s="754">
        <v>250</v>
      </c>
      <c r="J742" s="755"/>
      <c r="K742" s="510"/>
      <c r="L742" s="511">
        <f t="shared" si="186"/>
        <v>833500</v>
      </c>
      <c r="M742" s="511">
        <v>0</v>
      </c>
      <c r="N742" s="511">
        <v>0</v>
      </c>
      <c r="O742" s="511">
        <v>0</v>
      </c>
      <c r="P742" s="511">
        <v>0</v>
      </c>
      <c r="Q742" s="511">
        <v>0</v>
      </c>
      <c r="R742" s="511">
        <v>0</v>
      </c>
      <c r="S742" s="511">
        <v>0</v>
      </c>
      <c r="T742" s="511">
        <v>0</v>
      </c>
      <c r="U742" s="511">
        <v>0</v>
      </c>
      <c r="V742" s="511">
        <v>0</v>
      </c>
      <c r="X742" s="38">
        <f>'[2]Приложение 1'!T738</f>
        <v>4180</v>
      </c>
      <c r="Y742" s="9">
        <f t="shared" si="181"/>
        <v>3334</v>
      </c>
      <c r="Z742" s="19">
        <f t="shared" si="182"/>
        <v>846</v>
      </c>
    </row>
    <row r="743" spans="1:26" ht="9" customHeight="1">
      <c r="A743" s="518">
        <v>36</v>
      </c>
      <c r="B743" s="751" t="s">
        <v>658</v>
      </c>
      <c r="C743" s="752" t="s">
        <v>1192</v>
      </c>
      <c r="D743" s="753" t="s">
        <v>111</v>
      </c>
      <c r="E743" s="511">
        <f t="shared" si="185"/>
        <v>3104640</v>
      </c>
      <c r="F743" s="511">
        <v>0</v>
      </c>
      <c r="G743" s="17">
        <v>0</v>
      </c>
      <c r="H743" s="754">
        <v>0</v>
      </c>
      <c r="I743" s="754">
        <v>960</v>
      </c>
      <c r="J743" s="755"/>
      <c r="K743" s="510"/>
      <c r="L743" s="511">
        <f>ROUND(3234*I743,2)</f>
        <v>3104640</v>
      </c>
      <c r="M743" s="511">
        <v>0</v>
      </c>
      <c r="N743" s="511">
        <v>0</v>
      </c>
      <c r="O743" s="511">
        <v>0</v>
      </c>
      <c r="P743" s="511">
        <v>0</v>
      </c>
      <c r="Q743" s="511">
        <v>0</v>
      </c>
      <c r="R743" s="511">
        <v>0</v>
      </c>
      <c r="S743" s="511">
        <v>0</v>
      </c>
      <c r="T743" s="511">
        <v>0</v>
      </c>
      <c r="U743" s="511">
        <v>0</v>
      </c>
      <c r="V743" s="511">
        <v>0</v>
      </c>
      <c r="X743" s="38">
        <f>'[2]Приложение 1'!T739</f>
        <v>4180</v>
      </c>
      <c r="Y743" s="9">
        <f t="shared" si="181"/>
        <v>3234</v>
      </c>
      <c r="Z743" s="19">
        <f t="shared" si="182"/>
        <v>946</v>
      </c>
    </row>
    <row r="744" spans="1:26" ht="9" customHeight="1">
      <c r="A744" s="518">
        <v>37</v>
      </c>
      <c r="B744" s="751" t="s">
        <v>659</v>
      </c>
      <c r="C744" s="752" t="s">
        <v>1192</v>
      </c>
      <c r="D744" s="753" t="s">
        <v>110</v>
      </c>
      <c r="E744" s="511">
        <f t="shared" si="185"/>
        <v>3386677.2</v>
      </c>
      <c r="F744" s="511">
        <v>0</v>
      </c>
      <c r="G744" s="17">
        <v>0</v>
      </c>
      <c r="H744" s="754">
        <v>0</v>
      </c>
      <c r="I744" s="754">
        <v>1015.8</v>
      </c>
      <c r="J744" s="755"/>
      <c r="K744" s="510"/>
      <c r="L744" s="511">
        <f t="shared" si="186"/>
        <v>3386677.2</v>
      </c>
      <c r="M744" s="511">
        <v>0</v>
      </c>
      <c r="N744" s="511">
        <v>0</v>
      </c>
      <c r="O744" s="511">
        <v>0</v>
      </c>
      <c r="P744" s="511">
        <v>0</v>
      </c>
      <c r="Q744" s="511">
        <v>0</v>
      </c>
      <c r="R744" s="511">
        <v>0</v>
      </c>
      <c r="S744" s="511">
        <v>0</v>
      </c>
      <c r="T744" s="511">
        <v>0</v>
      </c>
      <c r="U744" s="511">
        <v>0</v>
      </c>
      <c r="V744" s="511">
        <v>0</v>
      </c>
      <c r="X744" s="38">
        <f>'[2]Приложение 1'!T740</f>
        <v>4503.95</v>
      </c>
      <c r="Y744" s="9">
        <f t="shared" si="181"/>
        <v>3334.0000000000005</v>
      </c>
      <c r="Z744" s="19">
        <f t="shared" si="182"/>
        <v>1169.9499999999994</v>
      </c>
    </row>
    <row r="745" spans="1:26" ht="9" customHeight="1">
      <c r="A745" s="518">
        <v>38</v>
      </c>
      <c r="B745" s="751" t="s">
        <v>660</v>
      </c>
      <c r="C745" s="752" t="s">
        <v>1192</v>
      </c>
      <c r="D745" s="753" t="s">
        <v>110</v>
      </c>
      <c r="E745" s="511">
        <f t="shared" si="185"/>
        <v>3484030</v>
      </c>
      <c r="F745" s="511">
        <v>0</v>
      </c>
      <c r="G745" s="17">
        <v>0</v>
      </c>
      <c r="H745" s="754">
        <v>0</v>
      </c>
      <c r="I745" s="754">
        <v>1045</v>
      </c>
      <c r="J745" s="755"/>
      <c r="K745" s="510"/>
      <c r="L745" s="511">
        <f t="shared" si="186"/>
        <v>3484030</v>
      </c>
      <c r="M745" s="511">
        <v>0</v>
      </c>
      <c r="N745" s="511">
        <v>0</v>
      </c>
      <c r="O745" s="511">
        <v>0</v>
      </c>
      <c r="P745" s="511">
        <v>0</v>
      </c>
      <c r="Q745" s="511">
        <v>0</v>
      </c>
      <c r="R745" s="511">
        <v>0</v>
      </c>
      <c r="S745" s="511">
        <v>0</v>
      </c>
      <c r="T745" s="511">
        <v>0</v>
      </c>
      <c r="U745" s="511">
        <v>0</v>
      </c>
      <c r="V745" s="511">
        <v>0</v>
      </c>
      <c r="X745" s="38">
        <f>'[2]Приложение 1'!T741</f>
        <v>4180</v>
      </c>
      <c r="Y745" s="9">
        <f t="shared" si="181"/>
        <v>3334</v>
      </c>
      <c r="Z745" s="19">
        <f t="shared" si="182"/>
        <v>846</v>
      </c>
    </row>
    <row r="746" spans="1:26" ht="9" customHeight="1">
      <c r="A746" s="518">
        <v>39</v>
      </c>
      <c r="B746" s="751" t="s">
        <v>661</v>
      </c>
      <c r="C746" s="752" t="s">
        <v>1192</v>
      </c>
      <c r="D746" s="753" t="s">
        <v>110</v>
      </c>
      <c r="E746" s="511">
        <f t="shared" si="185"/>
        <v>2297126</v>
      </c>
      <c r="F746" s="511">
        <v>0</v>
      </c>
      <c r="G746" s="17">
        <v>0</v>
      </c>
      <c r="H746" s="754">
        <v>0</v>
      </c>
      <c r="I746" s="754">
        <v>689</v>
      </c>
      <c r="J746" s="755"/>
      <c r="K746" s="510"/>
      <c r="L746" s="511">
        <f t="shared" si="186"/>
        <v>2297126</v>
      </c>
      <c r="M746" s="511">
        <v>0</v>
      </c>
      <c r="N746" s="511">
        <v>0</v>
      </c>
      <c r="O746" s="511">
        <v>0</v>
      </c>
      <c r="P746" s="511">
        <v>0</v>
      </c>
      <c r="Q746" s="511">
        <v>0</v>
      </c>
      <c r="R746" s="511">
        <v>0</v>
      </c>
      <c r="S746" s="511">
        <v>0</v>
      </c>
      <c r="T746" s="511">
        <v>0</v>
      </c>
      <c r="U746" s="511">
        <v>0</v>
      </c>
      <c r="V746" s="511">
        <v>0</v>
      </c>
      <c r="X746" s="38">
        <f>'[2]Приложение 1'!T742</f>
        <v>4180</v>
      </c>
      <c r="Y746" s="9">
        <f t="shared" si="181"/>
        <v>3334</v>
      </c>
      <c r="Z746" s="19">
        <f t="shared" si="182"/>
        <v>846</v>
      </c>
    </row>
    <row r="747" spans="1:26" ht="9" customHeight="1">
      <c r="A747" s="518">
        <v>40</v>
      </c>
      <c r="B747" s="751" t="s">
        <v>662</v>
      </c>
      <c r="C747" s="752" t="s">
        <v>1192</v>
      </c>
      <c r="D747" s="753" t="s">
        <v>111</v>
      </c>
      <c r="E747" s="511">
        <f t="shared" si="185"/>
        <v>3453912</v>
      </c>
      <c r="F747" s="511">
        <v>0</v>
      </c>
      <c r="G747" s="17">
        <v>0</v>
      </c>
      <c r="H747" s="754">
        <v>0</v>
      </c>
      <c r="I747" s="754">
        <v>1068</v>
      </c>
      <c r="J747" s="755"/>
      <c r="K747" s="510"/>
      <c r="L747" s="511">
        <f>ROUND(3234*I747,2)</f>
        <v>3453912</v>
      </c>
      <c r="M747" s="511">
        <v>0</v>
      </c>
      <c r="N747" s="511">
        <v>0</v>
      </c>
      <c r="O747" s="511">
        <v>0</v>
      </c>
      <c r="P747" s="511">
        <v>0</v>
      </c>
      <c r="Q747" s="511">
        <v>0</v>
      </c>
      <c r="R747" s="511">
        <v>0</v>
      </c>
      <c r="S747" s="511">
        <v>0</v>
      </c>
      <c r="T747" s="511">
        <v>0</v>
      </c>
      <c r="U747" s="511">
        <v>0</v>
      </c>
      <c r="V747" s="511">
        <v>0</v>
      </c>
      <c r="X747" s="38">
        <f>'[2]Приложение 1'!T743</f>
        <v>4180</v>
      </c>
      <c r="Y747" s="9">
        <f t="shared" si="181"/>
        <v>3234</v>
      </c>
      <c r="Z747" s="19">
        <f t="shared" si="182"/>
        <v>946</v>
      </c>
    </row>
    <row r="748" spans="1:26" ht="9" customHeight="1">
      <c r="A748" s="518">
        <v>41</v>
      </c>
      <c r="B748" s="751" t="s">
        <v>663</v>
      </c>
      <c r="C748" s="752" t="s">
        <v>1192</v>
      </c>
      <c r="D748" s="753" t="s">
        <v>110</v>
      </c>
      <c r="E748" s="511">
        <f t="shared" si="185"/>
        <v>3897446</v>
      </c>
      <c r="F748" s="511">
        <v>0</v>
      </c>
      <c r="G748" s="17">
        <v>0</v>
      </c>
      <c r="H748" s="754">
        <v>0</v>
      </c>
      <c r="I748" s="754">
        <v>1169</v>
      </c>
      <c r="J748" s="755"/>
      <c r="K748" s="510"/>
      <c r="L748" s="511">
        <f t="shared" si="186"/>
        <v>3897446</v>
      </c>
      <c r="M748" s="511">
        <v>0</v>
      </c>
      <c r="N748" s="511">
        <v>0</v>
      </c>
      <c r="O748" s="511">
        <v>0</v>
      </c>
      <c r="P748" s="511">
        <v>0</v>
      </c>
      <c r="Q748" s="511">
        <v>0</v>
      </c>
      <c r="R748" s="511">
        <v>0</v>
      </c>
      <c r="S748" s="511">
        <v>0</v>
      </c>
      <c r="T748" s="511">
        <v>0</v>
      </c>
      <c r="U748" s="511">
        <v>0</v>
      </c>
      <c r="V748" s="511">
        <v>0</v>
      </c>
      <c r="X748" s="38">
        <f>'[2]Приложение 1'!T744</f>
        <v>4503.95</v>
      </c>
      <c r="Y748" s="9">
        <f t="shared" si="181"/>
        <v>3334</v>
      </c>
      <c r="Z748" s="19">
        <f t="shared" si="182"/>
        <v>1169.9499999999998</v>
      </c>
    </row>
    <row r="749" spans="1:26" ht="9" customHeight="1">
      <c r="A749" s="518">
        <v>42</v>
      </c>
      <c r="B749" s="751" t="s">
        <v>664</v>
      </c>
      <c r="C749" s="752" t="s">
        <v>1192</v>
      </c>
      <c r="D749" s="753" t="s">
        <v>110</v>
      </c>
      <c r="E749" s="511">
        <f t="shared" si="185"/>
        <v>8335000</v>
      </c>
      <c r="F749" s="511">
        <v>0</v>
      </c>
      <c r="G749" s="17">
        <v>0</v>
      </c>
      <c r="H749" s="754">
        <v>0</v>
      </c>
      <c r="I749" s="754">
        <v>2500</v>
      </c>
      <c r="J749" s="755"/>
      <c r="K749" s="510"/>
      <c r="L749" s="511">
        <f t="shared" si="186"/>
        <v>8335000</v>
      </c>
      <c r="M749" s="511">
        <v>0</v>
      </c>
      <c r="N749" s="511">
        <v>0</v>
      </c>
      <c r="O749" s="511">
        <v>0</v>
      </c>
      <c r="P749" s="511">
        <v>0</v>
      </c>
      <c r="Q749" s="511">
        <v>0</v>
      </c>
      <c r="R749" s="511">
        <v>0</v>
      </c>
      <c r="S749" s="511">
        <v>0</v>
      </c>
      <c r="T749" s="511">
        <v>0</v>
      </c>
      <c r="U749" s="511">
        <v>0</v>
      </c>
      <c r="V749" s="511">
        <v>0</v>
      </c>
      <c r="X749" s="38">
        <f>'[2]Приложение 1'!T745</f>
        <v>4180</v>
      </c>
      <c r="Y749" s="9">
        <f t="shared" si="181"/>
        <v>3334</v>
      </c>
      <c r="Z749" s="19">
        <f t="shared" si="182"/>
        <v>846</v>
      </c>
    </row>
    <row r="750" spans="1:26" ht="9" customHeight="1">
      <c r="A750" s="518">
        <v>43</v>
      </c>
      <c r="B750" s="751" t="s">
        <v>665</v>
      </c>
      <c r="C750" s="752" t="s">
        <v>1192</v>
      </c>
      <c r="D750" s="753" t="s">
        <v>111</v>
      </c>
      <c r="E750" s="511">
        <f t="shared" si="185"/>
        <v>6024942</v>
      </c>
      <c r="F750" s="511">
        <v>0</v>
      </c>
      <c r="G750" s="17">
        <v>0</v>
      </c>
      <c r="H750" s="754">
        <v>0</v>
      </c>
      <c r="I750" s="754">
        <v>1863</v>
      </c>
      <c r="J750" s="755"/>
      <c r="K750" s="510"/>
      <c r="L750" s="511">
        <f>ROUND(3234*I750,2)</f>
        <v>6024942</v>
      </c>
      <c r="M750" s="511">
        <v>0</v>
      </c>
      <c r="N750" s="511">
        <v>0</v>
      </c>
      <c r="O750" s="511">
        <v>0</v>
      </c>
      <c r="P750" s="511">
        <v>0</v>
      </c>
      <c r="Q750" s="511">
        <v>0</v>
      </c>
      <c r="R750" s="511">
        <v>0</v>
      </c>
      <c r="S750" s="511">
        <v>0</v>
      </c>
      <c r="T750" s="511">
        <v>0</v>
      </c>
      <c r="U750" s="511">
        <v>0</v>
      </c>
      <c r="V750" s="511">
        <v>0</v>
      </c>
      <c r="X750" s="38">
        <f>'[2]Приложение 1'!T746</f>
        <v>4180</v>
      </c>
      <c r="Y750" s="9">
        <f t="shared" si="181"/>
        <v>3234</v>
      </c>
      <c r="Z750" s="19">
        <f t="shared" si="182"/>
        <v>946</v>
      </c>
    </row>
    <row r="751" spans="1:26" ht="9" customHeight="1">
      <c r="A751" s="518">
        <v>44</v>
      </c>
      <c r="B751" s="751" t="s">
        <v>666</v>
      </c>
      <c r="C751" s="752" t="s">
        <v>1192</v>
      </c>
      <c r="D751" s="753" t="s">
        <v>110</v>
      </c>
      <c r="E751" s="511">
        <f t="shared" si="185"/>
        <v>3317330</v>
      </c>
      <c r="F751" s="511">
        <v>0</v>
      </c>
      <c r="G751" s="17">
        <v>0</v>
      </c>
      <c r="H751" s="754">
        <v>0</v>
      </c>
      <c r="I751" s="754">
        <v>995</v>
      </c>
      <c r="J751" s="755"/>
      <c r="K751" s="510"/>
      <c r="L751" s="511">
        <f t="shared" si="186"/>
        <v>3317330</v>
      </c>
      <c r="M751" s="511">
        <v>0</v>
      </c>
      <c r="N751" s="511">
        <v>0</v>
      </c>
      <c r="O751" s="511">
        <v>0</v>
      </c>
      <c r="P751" s="511">
        <v>0</v>
      </c>
      <c r="Q751" s="511">
        <v>0</v>
      </c>
      <c r="R751" s="511">
        <v>0</v>
      </c>
      <c r="S751" s="511">
        <v>0</v>
      </c>
      <c r="T751" s="511">
        <v>0</v>
      </c>
      <c r="U751" s="511">
        <v>0</v>
      </c>
      <c r="V751" s="511">
        <v>0</v>
      </c>
      <c r="X751" s="38">
        <f>'[2]Приложение 1'!T747</f>
        <v>4503.95</v>
      </c>
      <c r="Y751" s="9">
        <f t="shared" si="181"/>
        <v>3334</v>
      </c>
      <c r="Z751" s="19">
        <f t="shared" si="182"/>
        <v>1169.9499999999998</v>
      </c>
    </row>
    <row r="752" spans="1:26" ht="9" customHeight="1">
      <c r="A752" s="518">
        <v>45</v>
      </c>
      <c r="B752" s="751" t="s">
        <v>667</v>
      </c>
      <c r="C752" s="752" t="s">
        <v>1192</v>
      </c>
      <c r="D752" s="753" t="s">
        <v>111</v>
      </c>
      <c r="E752" s="511">
        <f t="shared" si="185"/>
        <v>2781240</v>
      </c>
      <c r="F752" s="511">
        <v>0</v>
      </c>
      <c r="G752" s="17">
        <v>0</v>
      </c>
      <c r="H752" s="754">
        <v>0</v>
      </c>
      <c r="I752" s="754">
        <v>860</v>
      </c>
      <c r="J752" s="755"/>
      <c r="K752" s="510"/>
      <c r="L752" s="511">
        <f>ROUND(3234*I752,2)</f>
        <v>2781240</v>
      </c>
      <c r="M752" s="511">
        <v>0</v>
      </c>
      <c r="N752" s="511">
        <v>0</v>
      </c>
      <c r="O752" s="511">
        <v>0</v>
      </c>
      <c r="P752" s="511">
        <v>0</v>
      </c>
      <c r="Q752" s="511">
        <v>0</v>
      </c>
      <c r="R752" s="511">
        <v>0</v>
      </c>
      <c r="S752" s="511">
        <v>0</v>
      </c>
      <c r="T752" s="511">
        <v>0</v>
      </c>
      <c r="U752" s="511">
        <v>0</v>
      </c>
      <c r="V752" s="511">
        <v>0</v>
      </c>
      <c r="X752" s="38">
        <f>'[2]Приложение 1'!T748</f>
        <v>4180</v>
      </c>
      <c r="Y752" s="9">
        <f t="shared" si="181"/>
        <v>3234</v>
      </c>
      <c r="Z752" s="19">
        <f t="shared" si="182"/>
        <v>946</v>
      </c>
    </row>
    <row r="753" spans="1:26" ht="9" customHeight="1">
      <c r="A753" s="518">
        <v>46</v>
      </c>
      <c r="B753" s="751" t="s">
        <v>668</v>
      </c>
      <c r="C753" s="752" t="s">
        <v>1192</v>
      </c>
      <c r="D753" s="753" t="s">
        <v>111</v>
      </c>
      <c r="E753" s="511">
        <f t="shared" si="185"/>
        <v>3783780</v>
      </c>
      <c r="F753" s="511">
        <v>0</v>
      </c>
      <c r="G753" s="17">
        <v>0</v>
      </c>
      <c r="H753" s="754">
        <v>0</v>
      </c>
      <c r="I753" s="754">
        <v>1170</v>
      </c>
      <c r="J753" s="755"/>
      <c r="K753" s="510"/>
      <c r="L753" s="511">
        <f>ROUND(3234*I753,2)</f>
        <v>3783780</v>
      </c>
      <c r="M753" s="511">
        <v>0</v>
      </c>
      <c r="N753" s="511">
        <v>0</v>
      </c>
      <c r="O753" s="511">
        <v>0</v>
      </c>
      <c r="P753" s="511">
        <v>0</v>
      </c>
      <c r="Q753" s="511">
        <v>0</v>
      </c>
      <c r="R753" s="511">
        <v>0</v>
      </c>
      <c r="S753" s="511">
        <v>0</v>
      </c>
      <c r="T753" s="511">
        <v>0</v>
      </c>
      <c r="U753" s="511">
        <v>0</v>
      </c>
      <c r="V753" s="511">
        <v>0</v>
      </c>
      <c r="X753" s="38">
        <f>'[2]Приложение 1'!T749</f>
        <v>4503.95</v>
      </c>
      <c r="Y753" s="9">
        <f t="shared" si="181"/>
        <v>3234</v>
      </c>
      <c r="Z753" s="19">
        <f t="shared" si="182"/>
        <v>1269.9499999999998</v>
      </c>
    </row>
    <row r="754" spans="1:26" ht="9" customHeight="1">
      <c r="A754" s="518">
        <v>47</v>
      </c>
      <c r="B754" s="751" t="s">
        <v>669</v>
      </c>
      <c r="C754" s="752" t="s">
        <v>1192</v>
      </c>
      <c r="D754" s="753" t="s">
        <v>111</v>
      </c>
      <c r="E754" s="511">
        <f t="shared" si="185"/>
        <v>2868558</v>
      </c>
      <c r="F754" s="511">
        <v>0</v>
      </c>
      <c r="G754" s="17">
        <v>0</v>
      </c>
      <c r="H754" s="754">
        <v>0</v>
      </c>
      <c r="I754" s="754">
        <v>887</v>
      </c>
      <c r="J754" s="755"/>
      <c r="K754" s="510"/>
      <c r="L754" s="511">
        <f>ROUND(3234*I754,2)</f>
        <v>2868558</v>
      </c>
      <c r="M754" s="511">
        <v>0</v>
      </c>
      <c r="N754" s="511">
        <v>0</v>
      </c>
      <c r="O754" s="511">
        <v>0</v>
      </c>
      <c r="P754" s="511">
        <v>0</v>
      </c>
      <c r="Q754" s="511">
        <v>0</v>
      </c>
      <c r="R754" s="511">
        <v>0</v>
      </c>
      <c r="S754" s="511">
        <v>0</v>
      </c>
      <c r="T754" s="511">
        <v>0</v>
      </c>
      <c r="U754" s="511">
        <v>0</v>
      </c>
      <c r="V754" s="511">
        <v>0</v>
      </c>
      <c r="X754" s="38">
        <f>'[2]Приложение 1'!T750</f>
        <v>4503.95</v>
      </c>
      <c r="Y754" s="9">
        <f t="shared" si="181"/>
        <v>3234</v>
      </c>
      <c r="Z754" s="19">
        <f t="shared" si="182"/>
        <v>1269.9499999999998</v>
      </c>
    </row>
    <row r="755" spans="1:26" ht="9" customHeight="1">
      <c r="A755" s="518">
        <v>48</v>
      </c>
      <c r="B755" s="751" t="s">
        <v>670</v>
      </c>
      <c r="C755" s="752" t="s">
        <v>1192</v>
      </c>
      <c r="D755" s="753" t="s">
        <v>111</v>
      </c>
      <c r="E755" s="511">
        <f t="shared" si="185"/>
        <v>1878954</v>
      </c>
      <c r="F755" s="511">
        <v>0</v>
      </c>
      <c r="G755" s="17">
        <v>0</v>
      </c>
      <c r="H755" s="754">
        <v>0</v>
      </c>
      <c r="I755" s="754">
        <v>581</v>
      </c>
      <c r="J755" s="755"/>
      <c r="K755" s="510"/>
      <c r="L755" s="511">
        <f>ROUND(3234*I755,2)</f>
        <v>1878954</v>
      </c>
      <c r="M755" s="511">
        <v>0</v>
      </c>
      <c r="N755" s="511">
        <v>0</v>
      </c>
      <c r="O755" s="511">
        <v>0</v>
      </c>
      <c r="P755" s="511">
        <v>0</v>
      </c>
      <c r="Q755" s="511">
        <v>0</v>
      </c>
      <c r="R755" s="511">
        <v>0</v>
      </c>
      <c r="S755" s="511">
        <v>0</v>
      </c>
      <c r="T755" s="511">
        <v>0</v>
      </c>
      <c r="U755" s="511">
        <v>0</v>
      </c>
      <c r="V755" s="511">
        <v>0</v>
      </c>
      <c r="X755" s="38">
        <f>'[2]Приложение 1'!T751</f>
        <v>4503.95</v>
      </c>
      <c r="Y755" s="9">
        <f t="shared" si="181"/>
        <v>3234</v>
      </c>
      <c r="Z755" s="19">
        <f t="shared" si="182"/>
        <v>1269.9499999999998</v>
      </c>
    </row>
    <row r="756" spans="1:26" ht="9" customHeight="1">
      <c r="A756" s="518">
        <v>49</v>
      </c>
      <c r="B756" s="751" t="s">
        <v>671</v>
      </c>
      <c r="C756" s="752" t="s">
        <v>1192</v>
      </c>
      <c r="D756" s="753" t="s">
        <v>110</v>
      </c>
      <c r="E756" s="511">
        <f t="shared" si="185"/>
        <v>1380276</v>
      </c>
      <c r="F756" s="511">
        <v>0</v>
      </c>
      <c r="G756" s="17">
        <v>0</v>
      </c>
      <c r="H756" s="754">
        <v>0</v>
      </c>
      <c r="I756" s="754">
        <v>414</v>
      </c>
      <c r="J756" s="755"/>
      <c r="K756" s="510"/>
      <c r="L756" s="511">
        <f t="shared" ref="L756" si="187">ROUND(3334*I756,2)</f>
        <v>1380276</v>
      </c>
      <c r="M756" s="511">
        <v>0</v>
      </c>
      <c r="N756" s="511">
        <v>0</v>
      </c>
      <c r="O756" s="511">
        <v>0</v>
      </c>
      <c r="P756" s="511">
        <v>0</v>
      </c>
      <c r="Q756" s="511">
        <v>0</v>
      </c>
      <c r="R756" s="511">
        <v>0</v>
      </c>
      <c r="S756" s="511">
        <v>0</v>
      </c>
      <c r="T756" s="511">
        <v>0</v>
      </c>
      <c r="U756" s="511">
        <v>0</v>
      </c>
      <c r="V756" s="511">
        <v>0</v>
      </c>
      <c r="X756" s="38">
        <f>'[2]Приложение 1'!T752</f>
        <v>4503.95</v>
      </c>
      <c r="Y756" s="9">
        <f t="shared" si="181"/>
        <v>3334</v>
      </c>
      <c r="Z756" s="19">
        <f t="shared" si="182"/>
        <v>1169.9499999999998</v>
      </c>
    </row>
    <row r="757" spans="1:26" ht="9" customHeight="1">
      <c r="A757" s="518">
        <v>50</v>
      </c>
      <c r="B757" s="751" t="s">
        <v>672</v>
      </c>
      <c r="C757" s="752" t="s">
        <v>1192</v>
      </c>
      <c r="D757" s="753" t="s">
        <v>111</v>
      </c>
      <c r="E757" s="511">
        <f t="shared" si="185"/>
        <v>2926770</v>
      </c>
      <c r="F757" s="511">
        <v>0</v>
      </c>
      <c r="G757" s="17">
        <v>0</v>
      </c>
      <c r="H757" s="754">
        <v>0</v>
      </c>
      <c r="I757" s="754">
        <v>905</v>
      </c>
      <c r="J757" s="755"/>
      <c r="K757" s="510"/>
      <c r="L757" s="511">
        <f>ROUND(3234*I757,2)</f>
        <v>2926770</v>
      </c>
      <c r="M757" s="511">
        <v>0</v>
      </c>
      <c r="N757" s="511">
        <v>0</v>
      </c>
      <c r="O757" s="511">
        <v>0</v>
      </c>
      <c r="P757" s="511">
        <v>0</v>
      </c>
      <c r="Q757" s="511">
        <v>0</v>
      </c>
      <c r="R757" s="511">
        <v>0</v>
      </c>
      <c r="S757" s="511">
        <v>0</v>
      </c>
      <c r="T757" s="511">
        <v>0</v>
      </c>
      <c r="U757" s="511">
        <v>0</v>
      </c>
      <c r="V757" s="511">
        <v>0</v>
      </c>
      <c r="X757" s="38">
        <f>'[2]Приложение 1'!T753</f>
        <v>4180</v>
      </c>
      <c r="Y757" s="9">
        <f t="shared" si="181"/>
        <v>3234</v>
      </c>
      <c r="Z757" s="19">
        <f t="shared" si="182"/>
        <v>946</v>
      </c>
    </row>
    <row r="758" spans="1:26" ht="9" customHeight="1">
      <c r="A758" s="518">
        <v>51</v>
      </c>
      <c r="B758" s="751" t="s">
        <v>673</v>
      </c>
      <c r="C758" s="752" t="s">
        <v>1192</v>
      </c>
      <c r="D758" s="753" t="s">
        <v>110</v>
      </c>
      <c r="E758" s="511">
        <f t="shared" si="185"/>
        <v>1420284</v>
      </c>
      <c r="F758" s="511">
        <v>0</v>
      </c>
      <c r="G758" s="17">
        <v>0</v>
      </c>
      <c r="H758" s="754">
        <v>0</v>
      </c>
      <c r="I758" s="754">
        <v>426</v>
      </c>
      <c r="J758" s="755"/>
      <c r="K758" s="510"/>
      <c r="L758" s="511">
        <f t="shared" ref="L758" si="188">ROUND(3334*I758,2)</f>
        <v>1420284</v>
      </c>
      <c r="M758" s="511">
        <v>0</v>
      </c>
      <c r="N758" s="511">
        <v>0</v>
      </c>
      <c r="O758" s="511">
        <v>0</v>
      </c>
      <c r="P758" s="511">
        <v>0</v>
      </c>
      <c r="Q758" s="511">
        <v>0</v>
      </c>
      <c r="R758" s="511">
        <v>0</v>
      </c>
      <c r="S758" s="511">
        <v>0</v>
      </c>
      <c r="T758" s="511">
        <v>0</v>
      </c>
      <c r="U758" s="511">
        <v>0</v>
      </c>
      <c r="V758" s="511">
        <v>0</v>
      </c>
      <c r="X758" s="38">
        <f>'[2]Приложение 1'!T754</f>
        <v>4503.95</v>
      </c>
      <c r="Y758" s="9">
        <f t="shared" si="181"/>
        <v>3334</v>
      </c>
      <c r="Z758" s="19">
        <f t="shared" si="182"/>
        <v>1169.9499999999998</v>
      </c>
    </row>
    <row r="759" spans="1:26" ht="9" customHeight="1">
      <c r="A759" s="518">
        <v>52</v>
      </c>
      <c r="B759" s="751" t="s">
        <v>674</v>
      </c>
      <c r="C759" s="752" t="s">
        <v>1192</v>
      </c>
      <c r="D759" s="753" t="s">
        <v>111</v>
      </c>
      <c r="E759" s="511">
        <f t="shared" si="185"/>
        <v>3020556</v>
      </c>
      <c r="F759" s="511">
        <v>0</v>
      </c>
      <c r="G759" s="17">
        <v>0</v>
      </c>
      <c r="H759" s="754">
        <v>0</v>
      </c>
      <c r="I759" s="754">
        <v>934</v>
      </c>
      <c r="J759" s="755"/>
      <c r="K759" s="510"/>
      <c r="L759" s="511">
        <f>ROUND(3234*I759,2)</f>
        <v>3020556</v>
      </c>
      <c r="M759" s="511">
        <v>0</v>
      </c>
      <c r="N759" s="511">
        <v>0</v>
      </c>
      <c r="O759" s="511">
        <v>0</v>
      </c>
      <c r="P759" s="511">
        <v>0</v>
      </c>
      <c r="Q759" s="511">
        <v>0</v>
      </c>
      <c r="R759" s="511">
        <v>0</v>
      </c>
      <c r="S759" s="511">
        <v>0</v>
      </c>
      <c r="T759" s="511">
        <v>0</v>
      </c>
      <c r="U759" s="511">
        <v>0</v>
      </c>
      <c r="V759" s="511">
        <v>0</v>
      </c>
      <c r="X759" s="38">
        <f>'[2]Приложение 1'!T755</f>
        <v>4180</v>
      </c>
      <c r="Y759" s="9">
        <f t="shared" si="181"/>
        <v>3234</v>
      </c>
      <c r="Z759" s="19">
        <f t="shared" si="182"/>
        <v>946</v>
      </c>
    </row>
    <row r="760" spans="1:26" ht="9" customHeight="1">
      <c r="A760" s="518">
        <v>53</v>
      </c>
      <c r="B760" s="751" t="s">
        <v>675</v>
      </c>
      <c r="C760" s="752" t="s">
        <v>1192</v>
      </c>
      <c r="D760" s="753" t="s">
        <v>111</v>
      </c>
      <c r="E760" s="511">
        <f t="shared" si="185"/>
        <v>2891196</v>
      </c>
      <c r="F760" s="511">
        <v>0</v>
      </c>
      <c r="G760" s="17">
        <v>0</v>
      </c>
      <c r="H760" s="754">
        <v>0</v>
      </c>
      <c r="I760" s="754">
        <v>894</v>
      </c>
      <c r="J760" s="755"/>
      <c r="K760" s="510"/>
      <c r="L760" s="511">
        <f>ROUND(3234*I760,2)</f>
        <v>2891196</v>
      </c>
      <c r="M760" s="511">
        <v>0</v>
      </c>
      <c r="N760" s="511">
        <v>0</v>
      </c>
      <c r="O760" s="511">
        <v>0</v>
      </c>
      <c r="P760" s="511">
        <v>0</v>
      </c>
      <c r="Q760" s="511">
        <v>0</v>
      </c>
      <c r="R760" s="511">
        <v>0</v>
      </c>
      <c r="S760" s="511">
        <v>0</v>
      </c>
      <c r="T760" s="511">
        <v>0</v>
      </c>
      <c r="U760" s="511">
        <v>0</v>
      </c>
      <c r="V760" s="511">
        <v>0</v>
      </c>
      <c r="X760" s="38">
        <f>'[2]Приложение 1'!T756</f>
        <v>4503.95</v>
      </c>
      <c r="Y760" s="9">
        <f t="shared" si="181"/>
        <v>3234</v>
      </c>
      <c r="Z760" s="19">
        <f t="shared" si="182"/>
        <v>1269.9499999999998</v>
      </c>
    </row>
    <row r="761" spans="1:26" ht="9" customHeight="1">
      <c r="A761" s="518">
        <v>54</v>
      </c>
      <c r="B761" s="751" t="s">
        <v>676</v>
      </c>
      <c r="C761" s="752" t="s">
        <v>1192</v>
      </c>
      <c r="D761" s="753" t="s">
        <v>111</v>
      </c>
      <c r="E761" s="511">
        <f t="shared" si="185"/>
        <v>2868558</v>
      </c>
      <c r="F761" s="511">
        <v>0</v>
      </c>
      <c r="G761" s="17">
        <v>0</v>
      </c>
      <c r="H761" s="754">
        <v>0</v>
      </c>
      <c r="I761" s="754">
        <v>887</v>
      </c>
      <c r="J761" s="755"/>
      <c r="K761" s="510"/>
      <c r="L761" s="511">
        <f>ROUND(3234*I761,2)</f>
        <v>2868558</v>
      </c>
      <c r="M761" s="511">
        <v>0</v>
      </c>
      <c r="N761" s="511">
        <v>0</v>
      </c>
      <c r="O761" s="511">
        <v>0</v>
      </c>
      <c r="P761" s="511">
        <v>0</v>
      </c>
      <c r="Q761" s="511">
        <v>0</v>
      </c>
      <c r="R761" s="511">
        <v>0</v>
      </c>
      <c r="S761" s="511">
        <v>0</v>
      </c>
      <c r="T761" s="511">
        <v>0</v>
      </c>
      <c r="U761" s="511">
        <v>0</v>
      </c>
      <c r="V761" s="511">
        <v>0</v>
      </c>
      <c r="X761" s="38">
        <f>'[2]Приложение 1'!T757</f>
        <v>4503.95</v>
      </c>
      <c r="Y761" s="9">
        <f t="shared" si="181"/>
        <v>3234</v>
      </c>
      <c r="Z761" s="19">
        <f t="shared" si="182"/>
        <v>1269.9499999999998</v>
      </c>
    </row>
    <row r="762" spans="1:26" ht="9" customHeight="1">
      <c r="A762" s="518">
        <v>55</v>
      </c>
      <c r="B762" s="751" t="s">
        <v>677</v>
      </c>
      <c r="C762" s="752" t="s">
        <v>1192</v>
      </c>
      <c r="D762" s="753" t="s">
        <v>111</v>
      </c>
      <c r="E762" s="511">
        <f t="shared" si="185"/>
        <v>1862784</v>
      </c>
      <c r="F762" s="511">
        <v>0</v>
      </c>
      <c r="G762" s="17">
        <v>0</v>
      </c>
      <c r="H762" s="754">
        <v>0</v>
      </c>
      <c r="I762" s="754">
        <v>576</v>
      </c>
      <c r="J762" s="755"/>
      <c r="K762" s="510"/>
      <c r="L762" s="511">
        <f>ROUND(3234*I762,2)</f>
        <v>1862784</v>
      </c>
      <c r="M762" s="511">
        <v>0</v>
      </c>
      <c r="N762" s="511">
        <v>0</v>
      </c>
      <c r="O762" s="511">
        <v>0</v>
      </c>
      <c r="P762" s="511">
        <v>0</v>
      </c>
      <c r="Q762" s="511">
        <v>0</v>
      </c>
      <c r="R762" s="511">
        <v>0</v>
      </c>
      <c r="S762" s="511">
        <v>0</v>
      </c>
      <c r="T762" s="511">
        <v>0</v>
      </c>
      <c r="U762" s="511">
        <v>0</v>
      </c>
      <c r="V762" s="511">
        <v>0</v>
      </c>
      <c r="X762" s="38">
        <f>'[2]Приложение 1'!T758</f>
        <v>4503.95</v>
      </c>
      <c r="Y762" s="9">
        <f t="shared" si="181"/>
        <v>3234</v>
      </c>
      <c r="Z762" s="19">
        <f t="shared" si="182"/>
        <v>1269.9499999999998</v>
      </c>
    </row>
    <row r="763" spans="1:26" ht="9" customHeight="1">
      <c r="A763" s="518">
        <v>56</v>
      </c>
      <c r="B763" s="751" t="s">
        <v>678</v>
      </c>
      <c r="C763" s="752" t="s">
        <v>1192</v>
      </c>
      <c r="D763" s="753" t="s">
        <v>110</v>
      </c>
      <c r="E763" s="511">
        <f t="shared" si="185"/>
        <v>1233580</v>
      </c>
      <c r="F763" s="511">
        <v>0</v>
      </c>
      <c r="G763" s="17">
        <v>0</v>
      </c>
      <c r="H763" s="754">
        <v>0</v>
      </c>
      <c r="I763" s="754">
        <v>370</v>
      </c>
      <c r="J763" s="755"/>
      <c r="K763" s="510"/>
      <c r="L763" s="511">
        <f t="shared" ref="L763" si="189">ROUND(3334*I763,2)</f>
        <v>1233580</v>
      </c>
      <c r="M763" s="511">
        <v>0</v>
      </c>
      <c r="N763" s="511">
        <v>0</v>
      </c>
      <c r="O763" s="511">
        <v>0</v>
      </c>
      <c r="P763" s="511">
        <v>0</v>
      </c>
      <c r="Q763" s="511">
        <v>0</v>
      </c>
      <c r="R763" s="511">
        <v>0</v>
      </c>
      <c r="S763" s="511">
        <v>0</v>
      </c>
      <c r="T763" s="511">
        <v>0</v>
      </c>
      <c r="U763" s="511">
        <v>0</v>
      </c>
      <c r="V763" s="511">
        <v>0</v>
      </c>
      <c r="X763" s="38">
        <f>'[2]Приложение 1'!T759</f>
        <v>4503.95</v>
      </c>
      <c r="Y763" s="9">
        <f t="shared" ref="Y763:Y826" si="190">L763/I763</f>
        <v>3334</v>
      </c>
      <c r="Z763" s="19">
        <f t="shared" ref="Z763:Z826" si="191">X763-Y763</f>
        <v>1169.9499999999998</v>
      </c>
    </row>
    <row r="764" spans="1:26" ht="9" customHeight="1">
      <c r="A764" s="518">
        <v>57</v>
      </c>
      <c r="B764" s="751" t="s">
        <v>679</v>
      </c>
      <c r="C764" s="752" t="s">
        <v>1192</v>
      </c>
      <c r="D764" s="753" t="s">
        <v>111</v>
      </c>
      <c r="E764" s="511">
        <f t="shared" si="185"/>
        <v>3124044</v>
      </c>
      <c r="F764" s="511">
        <v>0</v>
      </c>
      <c r="G764" s="17">
        <v>0</v>
      </c>
      <c r="H764" s="754">
        <v>0</v>
      </c>
      <c r="I764" s="754">
        <v>966</v>
      </c>
      <c r="J764" s="755"/>
      <c r="K764" s="510"/>
      <c r="L764" s="511">
        <f>ROUND(3234*I764,2)</f>
        <v>3124044</v>
      </c>
      <c r="M764" s="511">
        <v>0</v>
      </c>
      <c r="N764" s="511">
        <v>0</v>
      </c>
      <c r="O764" s="511">
        <v>0</v>
      </c>
      <c r="P764" s="511">
        <v>0</v>
      </c>
      <c r="Q764" s="511">
        <v>0</v>
      </c>
      <c r="R764" s="511">
        <v>0</v>
      </c>
      <c r="S764" s="511">
        <v>0</v>
      </c>
      <c r="T764" s="511">
        <v>0</v>
      </c>
      <c r="U764" s="511">
        <v>0</v>
      </c>
      <c r="V764" s="511">
        <v>0</v>
      </c>
      <c r="X764" s="38">
        <f>'[2]Приложение 1'!T760</f>
        <v>4180</v>
      </c>
      <c r="Y764" s="9">
        <f t="shared" si="190"/>
        <v>3234</v>
      </c>
      <c r="Z764" s="19">
        <f t="shared" si="191"/>
        <v>946</v>
      </c>
    </row>
    <row r="765" spans="1:26" ht="9" customHeight="1">
      <c r="A765" s="518">
        <v>58</v>
      </c>
      <c r="B765" s="751" t="s">
        <v>680</v>
      </c>
      <c r="C765" s="752" t="s">
        <v>1192</v>
      </c>
      <c r="D765" s="753" t="s">
        <v>110</v>
      </c>
      <c r="E765" s="511">
        <f t="shared" si="185"/>
        <v>2920584</v>
      </c>
      <c r="F765" s="511">
        <v>0</v>
      </c>
      <c r="G765" s="17">
        <v>0</v>
      </c>
      <c r="H765" s="754">
        <v>0</v>
      </c>
      <c r="I765" s="754">
        <v>876</v>
      </c>
      <c r="J765" s="755"/>
      <c r="K765" s="510"/>
      <c r="L765" s="511">
        <f t="shared" ref="L765:L804" si="192">ROUND(3334*I765,2)</f>
        <v>2920584</v>
      </c>
      <c r="M765" s="511">
        <v>0</v>
      </c>
      <c r="N765" s="511">
        <v>0</v>
      </c>
      <c r="O765" s="511">
        <v>0</v>
      </c>
      <c r="P765" s="511">
        <v>0</v>
      </c>
      <c r="Q765" s="511">
        <v>0</v>
      </c>
      <c r="R765" s="511">
        <v>0</v>
      </c>
      <c r="S765" s="511">
        <v>0</v>
      </c>
      <c r="T765" s="511">
        <v>0</v>
      </c>
      <c r="U765" s="511">
        <v>0</v>
      </c>
      <c r="V765" s="511">
        <v>0</v>
      </c>
      <c r="X765" s="38">
        <f>'[2]Приложение 1'!T761</f>
        <v>4503.95</v>
      </c>
      <c r="Y765" s="9">
        <f t="shared" si="190"/>
        <v>3334</v>
      </c>
      <c r="Z765" s="19">
        <f t="shared" si="191"/>
        <v>1169.9499999999998</v>
      </c>
    </row>
    <row r="766" spans="1:26" ht="9" customHeight="1">
      <c r="A766" s="518">
        <v>59</v>
      </c>
      <c r="B766" s="751" t="s">
        <v>681</v>
      </c>
      <c r="C766" s="752" t="s">
        <v>1192</v>
      </c>
      <c r="D766" s="753" t="s">
        <v>110</v>
      </c>
      <c r="E766" s="511">
        <f t="shared" si="185"/>
        <v>3614056</v>
      </c>
      <c r="F766" s="511">
        <v>0</v>
      </c>
      <c r="G766" s="17">
        <v>0</v>
      </c>
      <c r="H766" s="754">
        <v>0</v>
      </c>
      <c r="I766" s="754">
        <v>1084</v>
      </c>
      <c r="J766" s="755"/>
      <c r="K766" s="510"/>
      <c r="L766" s="511">
        <f t="shared" si="192"/>
        <v>3614056</v>
      </c>
      <c r="M766" s="511">
        <v>0</v>
      </c>
      <c r="N766" s="511">
        <v>0</v>
      </c>
      <c r="O766" s="511">
        <v>0</v>
      </c>
      <c r="P766" s="511">
        <v>0</v>
      </c>
      <c r="Q766" s="511">
        <v>0</v>
      </c>
      <c r="R766" s="511">
        <v>0</v>
      </c>
      <c r="S766" s="511">
        <v>0</v>
      </c>
      <c r="T766" s="511">
        <v>0</v>
      </c>
      <c r="U766" s="511">
        <v>0</v>
      </c>
      <c r="V766" s="511">
        <v>0</v>
      </c>
      <c r="X766" s="38">
        <f>'[2]Приложение 1'!T762</f>
        <v>4180</v>
      </c>
      <c r="Y766" s="9">
        <f t="shared" si="190"/>
        <v>3334</v>
      </c>
      <c r="Z766" s="19">
        <f t="shared" si="191"/>
        <v>846</v>
      </c>
    </row>
    <row r="767" spans="1:26" ht="9" customHeight="1">
      <c r="A767" s="518">
        <v>60</v>
      </c>
      <c r="B767" s="751" t="s">
        <v>682</v>
      </c>
      <c r="C767" s="752" t="s">
        <v>1192</v>
      </c>
      <c r="D767" s="753" t="s">
        <v>110</v>
      </c>
      <c r="E767" s="511">
        <f t="shared" si="185"/>
        <v>3600720</v>
      </c>
      <c r="F767" s="511">
        <v>0</v>
      </c>
      <c r="G767" s="17">
        <v>0</v>
      </c>
      <c r="H767" s="754">
        <v>0</v>
      </c>
      <c r="I767" s="754">
        <v>1080</v>
      </c>
      <c r="J767" s="755"/>
      <c r="K767" s="510"/>
      <c r="L767" s="511">
        <f t="shared" si="192"/>
        <v>3600720</v>
      </c>
      <c r="M767" s="511">
        <v>0</v>
      </c>
      <c r="N767" s="511">
        <v>0</v>
      </c>
      <c r="O767" s="511">
        <v>0</v>
      </c>
      <c r="P767" s="511">
        <v>0</v>
      </c>
      <c r="Q767" s="511">
        <v>0</v>
      </c>
      <c r="R767" s="511">
        <v>0</v>
      </c>
      <c r="S767" s="511">
        <v>0</v>
      </c>
      <c r="T767" s="511">
        <v>0</v>
      </c>
      <c r="U767" s="511">
        <v>0</v>
      </c>
      <c r="V767" s="511">
        <v>0</v>
      </c>
      <c r="X767" s="38">
        <f>'[2]Приложение 1'!T763</f>
        <v>4180</v>
      </c>
      <c r="Y767" s="9">
        <f t="shared" si="190"/>
        <v>3334</v>
      </c>
      <c r="Z767" s="19">
        <f t="shared" si="191"/>
        <v>846</v>
      </c>
    </row>
    <row r="768" spans="1:26" ht="9" customHeight="1">
      <c r="A768" s="518">
        <v>61</v>
      </c>
      <c r="B768" s="751" t="s">
        <v>683</v>
      </c>
      <c r="C768" s="752" t="s">
        <v>1192</v>
      </c>
      <c r="D768" s="753" t="s">
        <v>110</v>
      </c>
      <c r="E768" s="511">
        <f t="shared" si="185"/>
        <v>3620724</v>
      </c>
      <c r="F768" s="511">
        <v>0</v>
      </c>
      <c r="G768" s="17">
        <v>0</v>
      </c>
      <c r="H768" s="754">
        <v>0</v>
      </c>
      <c r="I768" s="754">
        <v>1086</v>
      </c>
      <c r="J768" s="755"/>
      <c r="K768" s="510"/>
      <c r="L768" s="511">
        <f t="shared" si="192"/>
        <v>3620724</v>
      </c>
      <c r="M768" s="511">
        <v>0</v>
      </c>
      <c r="N768" s="511">
        <v>0</v>
      </c>
      <c r="O768" s="511">
        <v>0</v>
      </c>
      <c r="P768" s="511">
        <v>0</v>
      </c>
      <c r="Q768" s="511">
        <v>0</v>
      </c>
      <c r="R768" s="511">
        <v>0</v>
      </c>
      <c r="S768" s="511">
        <v>0</v>
      </c>
      <c r="T768" s="511">
        <v>0</v>
      </c>
      <c r="U768" s="511">
        <v>0</v>
      </c>
      <c r="V768" s="511">
        <v>0</v>
      </c>
      <c r="X768" s="38">
        <f>'[2]Приложение 1'!T764</f>
        <v>4180</v>
      </c>
      <c r="Y768" s="9">
        <f t="shared" si="190"/>
        <v>3334</v>
      </c>
      <c r="Z768" s="19">
        <f t="shared" si="191"/>
        <v>846</v>
      </c>
    </row>
    <row r="769" spans="1:26" ht="9" customHeight="1">
      <c r="A769" s="518">
        <v>62</v>
      </c>
      <c r="B769" s="751" t="s">
        <v>684</v>
      </c>
      <c r="C769" s="752" t="s">
        <v>1192</v>
      </c>
      <c r="D769" s="753" t="s">
        <v>110</v>
      </c>
      <c r="E769" s="511">
        <f t="shared" si="185"/>
        <v>3620724</v>
      </c>
      <c r="F769" s="511">
        <v>0</v>
      </c>
      <c r="G769" s="17">
        <v>0</v>
      </c>
      <c r="H769" s="754">
        <v>0</v>
      </c>
      <c r="I769" s="754">
        <v>1086</v>
      </c>
      <c r="J769" s="755"/>
      <c r="K769" s="510"/>
      <c r="L769" s="511">
        <f t="shared" si="192"/>
        <v>3620724</v>
      </c>
      <c r="M769" s="511">
        <v>0</v>
      </c>
      <c r="N769" s="511">
        <v>0</v>
      </c>
      <c r="O769" s="511">
        <v>0</v>
      </c>
      <c r="P769" s="511">
        <v>0</v>
      </c>
      <c r="Q769" s="511">
        <v>0</v>
      </c>
      <c r="R769" s="511">
        <v>0</v>
      </c>
      <c r="S769" s="511">
        <v>0</v>
      </c>
      <c r="T769" s="511">
        <v>0</v>
      </c>
      <c r="U769" s="511">
        <v>0</v>
      </c>
      <c r="V769" s="511">
        <v>0</v>
      </c>
      <c r="X769" s="38">
        <f>'[2]Приложение 1'!T765</f>
        <v>4180</v>
      </c>
      <c r="Y769" s="9">
        <f t="shared" si="190"/>
        <v>3334</v>
      </c>
      <c r="Z769" s="19">
        <f t="shared" si="191"/>
        <v>846</v>
      </c>
    </row>
    <row r="770" spans="1:26" ht="9" customHeight="1">
      <c r="A770" s="518">
        <v>63</v>
      </c>
      <c r="B770" s="751" t="s">
        <v>685</v>
      </c>
      <c r="C770" s="752" t="s">
        <v>1192</v>
      </c>
      <c r="D770" s="753" t="s">
        <v>110</v>
      </c>
      <c r="E770" s="511">
        <f t="shared" si="185"/>
        <v>3607388</v>
      </c>
      <c r="F770" s="511">
        <v>0</v>
      </c>
      <c r="G770" s="17">
        <v>0</v>
      </c>
      <c r="H770" s="754">
        <v>0</v>
      </c>
      <c r="I770" s="754">
        <v>1082</v>
      </c>
      <c r="J770" s="755"/>
      <c r="K770" s="510"/>
      <c r="L770" s="511">
        <f t="shared" si="192"/>
        <v>3607388</v>
      </c>
      <c r="M770" s="511">
        <v>0</v>
      </c>
      <c r="N770" s="511">
        <v>0</v>
      </c>
      <c r="O770" s="511">
        <v>0</v>
      </c>
      <c r="P770" s="511">
        <v>0</v>
      </c>
      <c r="Q770" s="511">
        <v>0</v>
      </c>
      <c r="R770" s="511">
        <v>0</v>
      </c>
      <c r="S770" s="511">
        <v>0</v>
      </c>
      <c r="T770" s="511">
        <v>0</v>
      </c>
      <c r="U770" s="511">
        <v>0</v>
      </c>
      <c r="V770" s="511">
        <v>0</v>
      </c>
      <c r="X770" s="38">
        <f>'[2]Приложение 1'!T766</f>
        <v>4180</v>
      </c>
      <c r="Y770" s="9">
        <f t="shared" si="190"/>
        <v>3334</v>
      </c>
      <c r="Z770" s="19">
        <f t="shared" si="191"/>
        <v>846</v>
      </c>
    </row>
    <row r="771" spans="1:26" ht="9" customHeight="1">
      <c r="A771" s="518">
        <v>64</v>
      </c>
      <c r="B771" s="751" t="s">
        <v>686</v>
      </c>
      <c r="C771" s="752" t="s">
        <v>1192</v>
      </c>
      <c r="D771" s="753" t="s">
        <v>110</v>
      </c>
      <c r="E771" s="511">
        <f t="shared" si="185"/>
        <v>3927452</v>
      </c>
      <c r="F771" s="511">
        <v>0</v>
      </c>
      <c r="G771" s="17">
        <v>0</v>
      </c>
      <c r="H771" s="754">
        <v>0</v>
      </c>
      <c r="I771" s="754">
        <v>1178</v>
      </c>
      <c r="J771" s="755"/>
      <c r="K771" s="510"/>
      <c r="L771" s="511">
        <f t="shared" si="192"/>
        <v>3927452</v>
      </c>
      <c r="M771" s="511">
        <v>0</v>
      </c>
      <c r="N771" s="511">
        <v>0</v>
      </c>
      <c r="O771" s="511">
        <v>0</v>
      </c>
      <c r="P771" s="511">
        <v>0</v>
      </c>
      <c r="Q771" s="511">
        <v>0</v>
      </c>
      <c r="R771" s="511">
        <v>0</v>
      </c>
      <c r="S771" s="511">
        <v>0</v>
      </c>
      <c r="T771" s="511">
        <v>0</v>
      </c>
      <c r="U771" s="511">
        <v>0</v>
      </c>
      <c r="V771" s="511">
        <v>0</v>
      </c>
      <c r="X771" s="38">
        <f>'[2]Приложение 1'!T767</f>
        <v>4180</v>
      </c>
      <c r="Y771" s="9">
        <f t="shared" si="190"/>
        <v>3334</v>
      </c>
      <c r="Z771" s="19">
        <f t="shared" si="191"/>
        <v>846</v>
      </c>
    </row>
    <row r="772" spans="1:26" ht="9" customHeight="1">
      <c r="A772" s="518">
        <v>65</v>
      </c>
      <c r="B772" s="751" t="s">
        <v>687</v>
      </c>
      <c r="C772" s="752" t="s">
        <v>1192</v>
      </c>
      <c r="D772" s="753" t="s">
        <v>110</v>
      </c>
      <c r="E772" s="511">
        <f t="shared" ref="E772:E835" si="193">F772+H772+L772+N772+P772+R772+S772+T772+U772+V772</f>
        <v>3083950</v>
      </c>
      <c r="F772" s="511">
        <v>0</v>
      </c>
      <c r="G772" s="17">
        <v>0</v>
      </c>
      <c r="H772" s="754">
        <v>0</v>
      </c>
      <c r="I772" s="754">
        <v>925</v>
      </c>
      <c r="J772" s="755"/>
      <c r="K772" s="510"/>
      <c r="L772" s="511">
        <f t="shared" si="192"/>
        <v>3083950</v>
      </c>
      <c r="M772" s="511">
        <v>0</v>
      </c>
      <c r="N772" s="511">
        <v>0</v>
      </c>
      <c r="O772" s="511">
        <v>0</v>
      </c>
      <c r="P772" s="511">
        <v>0</v>
      </c>
      <c r="Q772" s="511">
        <v>0</v>
      </c>
      <c r="R772" s="511">
        <v>0</v>
      </c>
      <c r="S772" s="511">
        <v>0</v>
      </c>
      <c r="T772" s="511">
        <v>0</v>
      </c>
      <c r="U772" s="511">
        <v>0</v>
      </c>
      <c r="V772" s="511">
        <v>0</v>
      </c>
      <c r="X772" s="38">
        <f>'[2]Приложение 1'!T768</f>
        <v>4180</v>
      </c>
      <c r="Y772" s="9">
        <f t="shared" si="190"/>
        <v>3334</v>
      </c>
      <c r="Z772" s="19">
        <f t="shared" si="191"/>
        <v>846</v>
      </c>
    </row>
    <row r="773" spans="1:26" ht="9" customHeight="1">
      <c r="A773" s="518">
        <v>66</v>
      </c>
      <c r="B773" s="751" t="s">
        <v>688</v>
      </c>
      <c r="C773" s="752" t="s">
        <v>1192</v>
      </c>
      <c r="D773" s="753" t="s">
        <v>110</v>
      </c>
      <c r="E773" s="511">
        <f t="shared" si="193"/>
        <v>6117890</v>
      </c>
      <c r="F773" s="511">
        <v>0</v>
      </c>
      <c r="G773" s="17">
        <v>0</v>
      </c>
      <c r="H773" s="754">
        <v>0</v>
      </c>
      <c r="I773" s="754">
        <v>1835</v>
      </c>
      <c r="J773" s="755"/>
      <c r="K773" s="510"/>
      <c r="L773" s="511">
        <f t="shared" si="192"/>
        <v>6117890</v>
      </c>
      <c r="M773" s="511">
        <v>0</v>
      </c>
      <c r="N773" s="511">
        <v>0</v>
      </c>
      <c r="O773" s="511">
        <v>0</v>
      </c>
      <c r="P773" s="511">
        <v>0</v>
      </c>
      <c r="Q773" s="511">
        <v>0</v>
      </c>
      <c r="R773" s="511">
        <v>0</v>
      </c>
      <c r="S773" s="511">
        <v>0</v>
      </c>
      <c r="T773" s="511">
        <v>0</v>
      </c>
      <c r="U773" s="511">
        <v>0</v>
      </c>
      <c r="V773" s="511">
        <v>0</v>
      </c>
      <c r="X773" s="38">
        <f>'[2]Приложение 1'!T769</f>
        <v>4180</v>
      </c>
      <c r="Y773" s="9">
        <f t="shared" si="190"/>
        <v>3334</v>
      </c>
      <c r="Z773" s="19">
        <f t="shared" si="191"/>
        <v>846</v>
      </c>
    </row>
    <row r="774" spans="1:26" ht="9" customHeight="1">
      <c r="A774" s="518">
        <v>67</v>
      </c>
      <c r="B774" s="751" t="s">
        <v>689</v>
      </c>
      <c r="C774" s="752" t="s">
        <v>1192</v>
      </c>
      <c r="D774" s="753" t="s">
        <v>110</v>
      </c>
      <c r="E774" s="511">
        <f t="shared" si="193"/>
        <v>10608788</v>
      </c>
      <c r="F774" s="511">
        <v>0</v>
      </c>
      <c r="G774" s="17">
        <v>0</v>
      </c>
      <c r="H774" s="754">
        <v>0</v>
      </c>
      <c r="I774" s="754">
        <v>3182</v>
      </c>
      <c r="J774" s="755"/>
      <c r="K774" s="510"/>
      <c r="L774" s="511">
        <f t="shared" si="192"/>
        <v>10608788</v>
      </c>
      <c r="M774" s="511">
        <v>0</v>
      </c>
      <c r="N774" s="511">
        <v>0</v>
      </c>
      <c r="O774" s="511">
        <v>0</v>
      </c>
      <c r="P774" s="511">
        <v>0</v>
      </c>
      <c r="Q774" s="511">
        <v>0</v>
      </c>
      <c r="R774" s="511">
        <v>0</v>
      </c>
      <c r="S774" s="511">
        <v>0</v>
      </c>
      <c r="T774" s="511">
        <v>0</v>
      </c>
      <c r="U774" s="511">
        <v>0</v>
      </c>
      <c r="V774" s="511">
        <v>0</v>
      </c>
      <c r="X774" s="38">
        <f>'[2]Приложение 1'!T770</f>
        <v>4180</v>
      </c>
      <c r="Y774" s="9">
        <f t="shared" si="190"/>
        <v>3334</v>
      </c>
      <c r="Z774" s="19">
        <f t="shared" si="191"/>
        <v>846</v>
      </c>
    </row>
    <row r="775" spans="1:26" ht="9" customHeight="1">
      <c r="A775" s="518">
        <v>68</v>
      </c>
      <c r="B775" s="751" t="s">
        <v>690</v>
      </c>
      <c r="C775" s="752" t="s">
        <v>1192</v>
      </c>
      <c r="D775" s="753" t="s">
        <v>110</v>
      </c>
      <c r="E775" s="511">
        <f t="shared" si="193"/>
        <v>4347536</v>
      </c>
      <c r="F775" s="511">
        <v>0</v>
      </c>
      <c r="G775" s="17">
        <v>0</v>
      </c>
      <c r="H775" s="754">
        <v>0</v>
      </c>
      <c r="I775" s="754">
        <v>1304</v>
      </c>
      <c r="J775" s="755"/>
      <c r="K775" s="510"/>
      <c r="L775" s="511">
        <f t="shared" si="192"/>
        <v>4347536</v>
      </c>
      <c r="M775" s="511">
        <v>0</v>
      </c>
      <c r="N775" s="511">
        <v>0</v>
      </c>
      <c r="O775" s="511">
        <v>0</v>
      </c>
      <c r="P775" s="511">
        <v>0</v>
      </c>
      <c r="Q775" s="511">
        <v>0</v>
      </c>
      <c r="R775" s="511">
        <v>0</v>
      </c>
      <c r="S775" s="511">
        <v>0</v>
      </c>
      <c r="T775" s="511">
        <v>0</v>
      </c>
      <c r="U775" s="511">
        <v>0</v>
      </c>
      <c r="V775" s="511">
        <v>0</v>
      </c>
      <c r="X775" s="38">
        <f>'[2]Приложение 1'!T771</f>
        <v>4180</v>
      </c>
      <c r="Y775" s="9">
        <f t="shared" si="190"/>
        <v>3334</v>
      </c>
      <c r="Z775" s="19">
        <f t="shared" si="191"/>
        <v>846</v>
      </c>
    </row>
    <row r="776" spans="1:26" ht="9" customHeight="1">
      <c r="A776" s="518">
        <v>69</v>
      </c>
      <c r="B776" s="751" t="s">
        <v>691</v>
      </c>
      <c r="C776" s="752" t="s">
        <v>1192</v>
      </c>
      <c r="D776" s="753" t="s">
        <v>110</v>
      </c>
      <c r="E776" s="511">
        <f t="shared" si="193"/>
        <v>3980796</v>
      </c>
      <c r="F776" s="511">
        <v>0</v>
      </c>
      <c r="G776" s="17">
        <v>0</v>
      </c>
      <c r="H776" s="754">
        <v>0</v>
      </c>
      <c r="I776" s="754">
        <v>1194</v>
      </c>
      <c r="J776" s="755"/>
      <c r="K776" s="510"/>
      <c r="L776" s="511">
        <f t="shared" si="192"/>
        <v>3980796</v>
      </c>
      <c r="M776" s="511">
        <v>0</v>
      </c>
      <c r="N776" s="511">
        <v>0</v>
      </c>
      <c r="O776" s="511">
        <v>0</v>
      </c>
      <c r="P776" s="511">
        <v>0</v>
      </c>
      <c r="Q776" s="511">
        <v>0</v>
      </c>
      <c r="R776" s="511">
        <v>0</v>
      </c>
      <c r="S776" s="511">
        <v>0</v>
      </c>
      <c r="T776" s="511">
        <v>0</v>
      </c>
      <c r="U776" s="511">
        <v>0</v>
      </c>
      <c r="V776" s="511">
        <v>0</v>
      </c>
      <c r="X776" s="38">
        <f>'[2]Приложение 1'!T772</f>
        <v>4180</v>
      </c>
      <c r="Y776" s="9">
        <f t="shared" si="190"/>
        <v>3334</v>
      </c>
      <c r="Z776" s="19">
        <f t="shared" si="191"/>
        <v>846</v>
      </c>
    </row>
    <row r="777" spans="1:26" ht="9" customHeight="1">
      <c r="A777" s="518">
        <v>70</v>
      </c>
      <c r="B777" s="751" t="s">
        <v>692</v>
      </c>
      <c r="C777" s="752" t="s">
        <v>1192</v>
      </c>
      <c r="D777" s="753" t="s">
        <v>110</v>
      </c>
      <c r="E777" s="511">
        <f t="shared" si="193"/>
        <v>2353804</v>
      </c>
      <c r="F777" s="511">
        <v>0</v>
      </c>
      <c r="G777" s="17">
        <v>0</v>
      </c>
      <c r="H777" s="754">
        <v>0</v>
      </c>
      <c r="I777" s="754">
        <v>706</v>
      </c>
      <c r="J777" s="755"/>
      <c r="K777" s="510"/>
      <c r="L777" s="511">
        <f t="shared" si="192"/>
        <v>2353804</v>
      </c>
      <c r="M777" s="511">
        <v>0</v>
      </c>
      <c r="N777" s="511">
        <v>0</v>
      </c>
      <c r="O777" s="511">
        <v>0</v>
      </c>
      <c r="P777" s="511">
        <v>0</v>
      </c>
      <c r="Q777" s="511">
        <v>0</v>
      </c>
      <c r="R777" s="511">
        <v>0</v>
      </c>
      <c r="S777" s="511">
        <v>0</v>
      </c>
      <c r="T777" s="511">
        <v>0</v>
      </c>
      <c r="U777" s="511">
        <v>0</v>
      </c>
      <c r="V777" s="511">
        <v>0</v>
      </c>
      <c r="X777" s="38">
        <f>'[2]Приложение 1'!T773</f>
        <v>4180</v>
      </c>
      <c r="Y777" s="9">
        <f t="shared" si="190"/>
        <v>3334</v>
      </c>
      <c r="Z777" s="19">
        <f t="shared" si="191"/>
        <v>846</v>
      </c>
    </row>
    <row r="778" spans="1:26" ht="9" customHeight="1">
      <c r="A778" s="518">
        <v>71</v>
      </c>
      <c r="B778" s="751" t="s">
        <v>693</v>
      </c>
      <c r="C778" s="752" t="s">
        <v>1192</v>
      </c>
      <c r="D778" s="753" t="s">
        <v>110</v>
      </c>
      <c r="E778" s="511">
        <f t="shared" si="193"/>
        <v>6127892</v>
      </c>
      <c r="F778" s="511">
        <v>0</v>
      </c>
      <c r="G778" s="17">
        <v>0</v>
      </c>
      <c r="H778" s="754">
        <v>0</v>
      </c>
      <c r="I778" s="754">
        <v>1838</v>
      </c>
      <c r="J778" s="755"/>
      <c r="K778" s="510"/>
      <c r="L778" s="511">
        <f t="shared" si="192"/>
        <v>6127892</v>
      </c>
      <c r="M778" s="511">
        <v>0</v>
      </c>
      <c r="N778" s="511">
        <v>0</v>
      </c>
      <c r="O778" s="511">
        <v>0</v>
      </c>
      <c r="P778" s="511">
        <v>0</v>
      </c>
      <c r="Q778" s="511">
        <v>0</v>
      </c>
      <c r="R778" s="511">
        <v>0</v>
      </c>
      <c r="S778" s="511">
        <v>0</v>
      </c>
      <c r="T778" s="511">
        <v>0</v>
      </c>
      <c r="U778" s="511">
        <v>0</v>
      </c>
      <c r="V778" s="511">
        <v>0</v>
      </c>
      <c r="X778" s="38">
        <f>'[2]Приложение 1'!T774</f>
        <v>4180</v>
      </c>
      <c r="Y778" s="9">
        <f t="shared" si="190"/>
        <v>3334</v>
      </c>
      <c r="Z778" s="19">
        <f t="shared" si="191"/>
        <v>846</v>
      </c>
    </row>
    <row r="779" spans="1:26" ht="9" customHeight="1">
      <c r="A779" s="518">
        <v>72</v>
      </c>
      <c r="B779" s="751" t="s">
        <v>694</v>
      </c>
      <c r="C779" s="752" t="s">
        <v>1192</v>
      </c>
      <c r="D779" s="753" t="s">
        <v>110</v>
      </c>
      <c r="E779" s="511">
        <f t="shared" si="193"/>
        <v>2240448</v>
      </c>
      <c r="F779" s="511">
        <v>0</v>
      </c>
      <c r="G779" s="17">
        <v>0</v>
      </c>
      <c r="H779" s="754">
        <v>0</v>
      </c>
      <c r="I779" s="754">
        <v>672</v>
      </c>
      <c r="J779" s="755"/>
      <c r="K779" s="510"/>
      <c r="L779" s="511">
        <f t="shared" si="192"/>
        <v>2240448</v>
      </c>
      <c r="M779" s="511">
        <v>0</v>
      </c>
      <c r="N779" s="511">
        <v>0</v>
      </c>
      <c r="O779" s="511">
        <v>0</v>
      </c>
      <c r="P779" s="511">
        <v>0</v>
      </c>
      <c r="Q779" s="511">
        <v>0</v>
      </c>
      <c r="R779" s="511">
        <v>0</v>
      </c>
      <c r="S779" s="511">
        <v>0</v>
      </c>
      <c r="T779" s="511">
        <v>0</v>
      </c>
      <c r="U779" s="511">
        <v>0</v>
      </c>
      <c r="V779" s="511">
        <v>0</v>
      </c>
      <c r="X779" s="38">
        <f>'[2]Приложение 1'!T775</f>
        <v>4180</v>
      </c>
      <c r="Y779" s="9">
        <f t="shared" si="190"/>
        <v>3334</v>
      </c>
      <c r="Z779" s="19">
        <f t="shared" si="191"/>
        <v>846</v>
      </c>
    </row>
    <row r="780" spans="1:26" ht="9" customHeight="1">
      <c r="A780" s="518">
        <v>73</v>
      </c>
      <c r="B780" s="751" t="s">
        <v>695</v>
      </c>
      <c r="C780" s="752" t="s">
        <v>1192</v>
      </c>
      <c r="D780" s="753" t="s">
        <v>111</v>
      </c>
      <c r="E780" s="511">
        <f t="shared" si="193"/>
        <v>3580038</v>
      </c>
      <c r="F780" s="511">
        <v>0</v>
      </c>
      <c r="G780" s="17">
        <v>0</v>
      </c>
      <c r="H780" s="754">
        <v>0</v>
      </c>
      <c r="I780" s="754">
        <v>1107</v>
      </c>
      <c r="J780" s="755"/>
      <c r="K780" s="510"/>
      <c r="L780" s="511">
        <f>ROUND(3234*I780,2)</f>
        <v>3580038</v>
      </c>
      <c r="M780" s="511">
        <v>0</v>
      </c>
      <c r="N780" s="511">
        <v>0</v>
      </c>
      <c r="O780" s="511">
        <v>0</v>
      </c>
      <c r="P780" s="511">
        <v>0</v>
      </c>
      <c r="Q780" s="511">
        <v>0</v>
      </c>
      <c r="R780" s="511">
        <v>0</v>
      </c>
      <c r="S780" s="511">
        <v>0</v>
      </c>
      <c r="T780" s="511">
        <v>0</v>
      </c>
      <c r="U780" s="511">
        <v>0</v>
      </c>
      <c r="V780" s="511">
        <v>0</v>
      </c>
      <c r="X780" s="38">
        <f>'[2]Приложение 1'!T776</f>
        <v>4180</v>
      </c>
      <c r="Y780" s="9">
        <f t="shared" si="190"/>
        <v>3234</v>
      </c>
      <c r="Z780" s="19">
        <f t="shared" si="191"/>
        <v>946</v>
      </c>
    </row>
    <row r="781" spans="1:26" ht="9" customHeight="1">
      <c r="A781" s="518">
        <v>74</v>
      </c>
      <c r="B781" s="751" t="s">
        <v>696</v>
      </c>
      <c r="C781" s="752" t="s">
        <v>1192</v>
      </c>
      <c r="D781" s="753" t="s">
        <v>110</v>
      </c>
      <c r="E781" s="511">
        <f t="shared" si="193"/>
        <v>3197306</v>
      </c>
      <c r="F781" s="511">
        <v>0</v>
      </c>
      <c r="G781" s="17">
        <v>0</v>
      </c>
      <c r="H781" s="754">
        <v>0</v>
      </c>
      <c r="I781" s="754">
        <v>959</v>
      </c>
      <c r="J781" s="755"/>
      <c r="K781" s="510"/>
      <c r="L781" s="511">
        <f t="shared" si="192"/>
        <v>3197306</v>
      </c>
      <c r="M781" s="511">
        <v>0</v>
      </c>
      <c r="N781" s="511">
        <v>0</v>
      </c>
      <c r="O781" s="511">
        <v>0</v>
      </c>
      <c r="P781" s="511">
        <v>0</v>
      </c>
      <c r="Q781" s="511">
        <v>0</v>
      </c>
      <c r="R781" s="511">
        <v>0</v>
      </c>
      <c r="S781" s="511">
        <v>0</v>
      </c>
      <c r="T781" s="511">
        <v>0</v>
      </c>
      <c r="U781" s="511">
        <v>0</v>
      </c>
      <c r="V781" s="511">
        <v>0</v>
      </c>
      <c r="X781" s="38">
        <f>'[2]Приложение 1'!T777</f>
        <v>4503.95</v>
      </c>
      <c r="Y781" s="9">
        <f t="shared" si="190"/>
        <v>3334</v>
      </c>
      <c r="Z781" s="19">
        <f t="shared" si="191"/>
        <v>1169.9499999999998</v>
      </c>
    </row>
    <row r="782" spans="1:26" ht="9" customHeight="1">
      <c r="A782" s="518">
        <v>75</v>
      </c>
      <c r="B782" s="751" t="s">
        <v>697</v>
      </c>
      <c r="C782" s="752" t="s">
        <v>1192</v>
      </c>
      <c r="D782" s="753" t="s">
        <v>110</v>
      </c>
      <c r="E782" s="511">
        <f t="shared" si="193"/>
        <v>3187304</v>
      </c>
      <c r="F782" s="511">
        <v>0</v>
      </c>
      <c r="G782" s="17">
        <v>0</v>
      </c>
      <c r="H782" s="754">
        <v>0</v>
      </c>
      <c r="I782" s="754">
        <v>956</v>
      </c>
      <c r="J782" s="755"/>
      <c r="K782" s="510"/>
      <c r="L782" s="511">
        <f t="shared" si="192"/>
        <v>3187304</v>
      </c>
      <c r="M782" s="511">
        <v>0</v>
      </c>
      <c r="N782" s="511">
        <v>0</v>
      </c>
      <c r="O782" s="511">
        <v>0</v>
      </c>
      <c r="P782" s="511">
        <v>0</v>
      </c>
      <c r="Q782" s="511">
        <v>0</v>
      </c>
      <c r="R782" s="511">
        <v>0</v>
      </c>
      <c r="S782" s="511">
        <v>0</v>
      </c>
      <c r="T782" s="511">
        <v>0</v>
      </c>
      <c r="U782" s="511">
        <v>0</v>
      </c>
      <c r="V782" s="511">
        <v>0</v>
      </c>
      <c r="X782" s="38">
        <f>'[2]Приложение 1'!T778</f>
        <v>4180</v>
      </c>
      <c r="Y782" s="9">
        <f t="shared" si="190"/>
        <v>3334</v>
      </c>
      <c r="Z782" s="19">
        <f t="shared" si="191"/>
        <v>846</v>
      </c>
    </row>
    <row r="783" spans="1:26" ht="9" customHeight="1">
      <c r="A783" s="518">
        <v>76</v>
      </c>
      <c r="B783" s="751" t="s">
        <v>698</v>
      </c>
      <c r="C783" s="752" t="s">
        <v>1192</v>
      </c>
      <c r="D783" s="753" t="s">
        <v>110</v>
      </c>
      <c r="E783" s="511">
        <f t="shared" si="193"/>
        <v>5317730</v>
      </c>
      <c r="F783" s="511">
        <v>0</v>
      </c>
      <c r="G783" s="17">
        <v>0</v>
      </c>
      <c r="H783" s="754">
        <v>0</v>
      </c>
      <c r="I783" s="754">
        <v>1595</v>
      </c>
      <c r="J783" s="755"/>
      <c r="K783" s="510"/>
      <c r="L783" s="511">
        <f t="shared" si="192"/>
        <v>5317730</v>
      </c>
      <c r="M783" s="511">
        <v>0</v>
      </c>
      <c r="N783" s="511">
        <v>0</v>
      </c>
      <c r="O783" s="511">
        <v>0</v>
      </c>
      <c r="P783" s="511">
        <v>0</v>
      </c>
      <c r="Q783" s="511">
        <v>0</v>
      </c>
      <c r="R783" s="511">
        <v>0</v>
      </c>
      <c r="S783" s="511">
        <v>0</v>
      </c>
      <c r="T783" s="511">
        <v>0</v>
      </c>
      <c r="U783" s="511">
        <v>0</v>
      </c>
      <c r="V783" s="511">
        <v>0</v>
      </c>
      <c r="X783" s="38">
        <f>'[2]Приложение 1'!T779</f>
        <v>4180</v>
      </c>
      <c r="Y783" s="9">
        <f t="shared" si="190"/>
        <v>3334</v>
      </c>
      <c r="Z783" s="19">
        <f t="shared" si="191"/>
        <v>846</v>
      </c>
    </row>
    <row r="784" spans="1:26" ht="9" customHeight="1">
      <c r="A784" s="518">
        <v>77</v>
      </c>
      <c r="B784" s="751" t="s">
        <v>699</v>
      </c>
      <c r="C784" s="752" t="s">
        <v>1192</v>
      </c>
      <c r="D784" s="753" t="s">
        <v>110</v>
      </c>
      <c r="E784" s="511">
        <f t="shared" si="193"/>
        <v>5951190</v>
      </c>
      <c r="F784" s="511">
        <v>0</v>
      </c>
      <c r="G784" s="17">
        <v>0</v>
      </c>
      <c r="H784" s="754">
        <v>0</v>
      </c>
      <c r="I784" s="754">
        <v>1785</v>
      </c>
      <c r="J784" s="755"/>
      <c r="K784" s="510"/>
      <c r="L784" s="511">
        <f t="shared" si="192"/>
        <v>5951190</v>
      </c>
      <c r="M784" s="511">
        <v>0</v>
      </c>
      <c r="N784" s="511">
        <v>0</v>
      </c>
      <c r="O784" s="511">
        <v>0</v>
      </c>
      <c r="P784" s="511">
        <v>0</v>
      </c>
      <c r="Q784" s="511">
        <v>0</v>
      </c>
      <c r="R784" s="511">
        <v>0</v>
      </c>
      <c r="S784" s="511">
        <v>0</v>
      </c>
      <c r="T784" s="511">
        <v>0</v>
      </c>
      <c r="U784" s="511">
        <v>0</v>
      </c>
      <c r="V784" s="511">
        <v>0</v>
      </c>
      <c r="X784" s="38">
        <f>'[2]Приложение 1'!T780</f>
        <v>4180</v>
      </c>
      <c r="Y784" s="9">
        <f t="shared" si="190"/>
        <v>3334</v>
      </c>
      <c r="Z784" s="19">
        <f t="shared" si="191"/>
        <v>846</v>
      </c>
    </row>
    <row r="785" spans="1:26" ht="9" customHeight="1">
      <c r="A785" s="518">
        <v>78</v>
      </c>
      <c r="B785" s="751" t="s">
        <v>700</v>
      </c>
      <c r="C785" s="752" t="s">
        <v>1192</v>
      </c>
      <c r="D785" s="753" t="s">
        <v>110</v>
      </c>
      <c r="E785" s="511">
        <f t="shared" si="193"/>
        <v>3123958</v>
      </c>
      <c r="F785" s="511">
        <v>0</v>
      </c>
      <c r="G785" s="17">
        <v>0</v>
      </c>
      <c r="H785" s="754">
        <v>0</v>
      </c>
      <c r="I785" s="754">
        <v>937</v>
      </c>
      <c r="J785" s="755"/>
      <c r="K785" s="510"/>
      <c r="L785" s="511">
        <f t="shared" si="192"/>
        <v>3123958</v>
      </c>
      <c r="M785" s="511">
        <v>0</v>
      </c>
      <c r="N785" s="511">
        <v>0</v>
      </c>
      <c r="O785" s="511">
        <v>0</v>
      </c>
      <c r="P785" s="511">
        <v>0</v>
      </c>
      <c r="Q785" s="511">
        <v>0</v>
      </c>
      <c r="R785" s="511">
        <v>0</v>
      </c>
      <c r="S785" s="511">
        <v>0</v>
      </c>
      <c r="T785" s="511">
        <v>0</v>
      </c>
      <c r="U785" s="511">
        <v>0</v>
      </c>
      <c r="V785" s="511">
        <v>0</v>
      </c>
      <c r="X785" s="38">
        <f>'[2]Приложение 1'!T781</f>
        <v>4180</v>
      </c>
      <c r="Y785" s="9">
        <f t="shared" si="190"/>
        <v>3334</v>
      </c>
      <c r="Z785" s="19">
        <f t="shared" si="191"/>
        <v>846</v>
      </c>
    </row>
    <row r="786" spans="1:26" ht="9" customHeight="1">
      <c r="A786" s="518">
        <v>79</v>
      </c>
      <c r="B786" s="751" t="s">
        <v>701</v>
      </c>
      <c r="C786" s="752" t="s">
        <v>1192</v>
      </c>
      <c r="D786" s="753" t="s">
        <v>110</v>
      </c>
      <c r="E786" s="511">
        <f t="shared" si="193"/>
        <v>3042608.4</v>
      </c>
      <c r="F786" s="511">
        <v>0</v>
      </c>
      <c r="G786" s="17">
        <v>0</v>
      </c>
      <c r="H786" s="754">
        <v>0</v>
      </c>
      <c r="I786" s="754">
        <v>912.6</v>
      </c>
      <c r="J786" s="755"/>
      <c r="K786" s="510"/>
      <c r="L786" s="511">
        <f t="shared" si="192"/>
        <v>3042608.4</v>
      </c>
      <c r="M786" s="511">
        <v>0</v>
      </c>
      <c r="N786" s="511">
        <v>0</v>
      </c>
      <c r="O786" s="511">
        <v>0</v>
      </c>
      <c r="P786" s="511">
        <v>0</v>
      </c>
      <c r="Q786" s="511">
        <v>0</v>
      </c>
      <c r="R786" s="511">
        <v>0</v>
      </c>
      <c r="S786" s="511">
        <v>0</v>
      </c>
      <c r="T786" s="511">
        <v>0</v>
      </c>
      <c r="U786" s="511">
        <v>0</v>
      </c>
      <c r="V786" s="511">
        <v>0</v>
      </c>
      <c r="X786" s="38">
        <f>'[2]Приложение 1'!T782</f>
        <v>4180</v>
      </c>
      <c r="Y786" s="9">
        <f t="shared" si="190"/>
        <v>3334</v>
      </c>
      <c r="Z786" s="19">
        <f t="shared" si="191"/>
        <v>846</v>
      </c>
    </row>
    <row r="787" spans="1:26" ht="9" customHeight="1">
      <c r="A787" s="518">
        <v>80</v>
      </c>
      <c r="B787" s="751" t="s">
        <v>702</v>
      </c>
      <c r="C787" s="752" t="s">
        <v>1192</v>
      </c>
      <c r="D787" s="753" t="s">
        <v>110</v>
      </c>
      <c r="E787" s="511">
        <f t="shared" si="193"/>
        <v>3640728</v>
      </c>
      <c r="F787" s="511">
        <v>0</v>
      </c>
      <c r="G787" s="17">
        <v>0</v>
      </c>
      <c r="H787" s="754">
        <v>0</v>
      </c>
      <c r="I787" s="754">
        <v>1092</v>
      </c>
      <c r="J787" s="755"/>
      <c r="K787" s="510"/>
      <c r="L787" s="511">
        <f t="shared" si="192"/>
        <v>3640728</v>
      </c>
      <c r="M787" s="511">
        <v>0</v>
      </c>
      <c r="N787" s="511">
        <v>0</v>
      </c>
      <c r="O787" s="511">
        <v>0</v>
      </c>
      <c r="P787" s="511">
        <v>0</v>
      </c>
      <c r="Q787" s="511">
        <v>0</v>
      </c>
      <c r="R787" s="511">
        <v>0</v>
      </c>
      <c r="S787" s="511">
        <v>0</v>
      </c>
      <c r="T787" s="511">
        <v>0</v>
      </c>
      <c r="U787" s="511">
        <v>0</v>
      </c>
      <c r="V787" s="511">
        <v>0</v>
      </c>
      <c r="X787" s="38">
        <f>'[2]Приложение 1'!T783</f>
        <v>4180</v>
      </c>
      <c r="Y787" s="9">
        <f t="shared" si="190"/>
        <v>3334</v>
      </c>
      <c r="Z787" s="19">
        <f t="shared" si="191"/>
        <v>846</v>
      </c>
    </row>
    <row r="788" spans="1:26" ht="9" customHeight="1">
      <c r="A788" s="518">
        <v>81</v>
      </c>
      <c r="B788" s="751" t="s">
        <v>703</v>
      </c>
      <c r="C788" s="752" t="s">
        <v>1192</v>
      </c>
      <c r="D788" s="753" t="s">
        <v>110</v>
      </c>
      <c r="E788" s="511">
        <f t="shared" si="193"/>
        <v>4209175</v>
      </c>
      <c r="F788" s="511">
        <v>0</v>
      </c>
      <c r="G788" s="17">
        <v>0</v>
      </c>
      <c r="H788" s="754">
        <v>0</v>
      </c>
      <c r="I788" s="754">
        <v>1262.5</v>
      </c>
      <c r="J788" s="755"/>
      <c r="K788" s="510"/>
      <c r="L788" s="511">
        <f t="shared" si="192"/>
        <v>4209175</v>
      </c>
      <c r="M788" s="511">
        <v>0</v>
      </c>
      <c r="N788" s="511">
        <v>0</v>
      </c>
      <c r="O788" s="511">
        <v>0</v>
      </c>
      <c r="P788" s="511">
        <v>0</v>
      </c>
      <c r="Q788" s="511">
        <v>0</v>
      </c>
      <c r="R788" s="511">
        <v>0</v>
      </c>
      <c r="S788" s="511">
        <v>0</v>
      </c>
      <c r="T788" s="511">
        <v>0</v>
      </c>
      <c r="U788" s="511">
        <v>0</v>
      </c>
      <c r="V788" s="511">
        <v>0</v>
      </c>
      <c r="X788" s="38">
        <f>'[2]Приложение 1'!T784</f>
        <v>4180</v>
      </c>
      <c r="Y788" s="9">
        <f t="shared" si="190"/>
        <v>3334</v>
      </c>
      <c r="Z788" s="19">
        <f t="shared" si="191"/>
        <v>846</v>
      </c>
    </row>
    <row r="789" spans="1:26" ht="9" customHeight="1">
      <c r="A789" s="518">
        <v>82</v>
      </c>
      <c r="B789" s="751" t="s">
        <v>704</v>
      </c>
      <c r="C789" s="752" t="s">
        <v>1192</v>
      </c>
      <c r="D789" s="753" t="s">
        <v>110</v>
      </c>
      <c r="E789" s="511">
        <f t="shared" si="193"/>
        <v>3970794</v>
      </c>
      <c r="F789" s="511">
        <v>0</v>
      </c>
      <c r="G789" s="17">
        <v>0</v>
      </c>
      <c r="H789" s="754">
        <v>0</v>
      </c>
      <c r="I789" s="754">
        <v>1191</v>
      </c>
      <c r="J789" s="755"/>
      <c r="K789" s="510"/>
      <c r="L789" s="511">
        <f t="shared" si="192"/>
        <v>3970794</v>
      </c>
      <c r="M789" s="511">
        <v>0</v>
      </c>
      <c r="N789" s="511">
        <v>0</v>
      </c>
      <c r="O789" s="511">
        <v>0</v>
      </c>
      <c r="P789" s="511">
        <v>0</v>
      </c>
      <c r="Q789" s="511">
        <v>0</v>
      </c>
      <c r="R789" s="511">
        <v>0</v>
      </c>
      <c r="S789" s="511">
        <v>0</v>
      </c>
      <c r="T789" s="511">
        <v>0</v>
      </c>
      <c r="U789" s="511">
        <v>0</v>
      </c>
      <c r="V789" s="511">
        <v>0</v>
      </c>
      <c r="X789" s="38">
        <f>'[2]Приложение 1'!T785</f>
        <v>4180</v>
      </c>
      <c r="Y789" s="9">
        <f t="shared" si="190"/>
        <v>3334</v>
      </c>
      <c r="Z789" s="19">
        <f t="shared" si="191"/>
        <v>846</v>
      </c>
    </row>
    <row r="790" spans="1:26" ht="9" customHeight="1">
      <c r="A790" s="518">
        <v>83</v>
      </c>
      <c r="B790" s="751" t="s">
        <v>705</v>
      </c>
      <c r="C790" s="752" t="s">
        <v>1192</v>
      </c>
      <c r="D790" s="753" t="s">
        <v>110</v>
      </c>
      <c r="E790" s="511">
        <f t="shared" si="193"/>
        <v>5384410</v>
      </c>
      <c r="F790" s="511">
        <v>0</v>
      </c>
      <c r="G790" s="17">
        <v>0</v>
      </c>
      <c r="H790" s="754">
        <v>0</v>
      </c>
      <c r="I790" s="754">
        <v>1615</v>
      </c>
      <c r="J790" s="755"/>
      <c r="K790" s="510"/>
      <c r="L790" s="511">
        <f t="shared" si="192"/>
        <v>5384410</v>
      </c>
      <c r="M790" s="511">
        <v>0</v>
      </c>
      <c r="N790" s="511">
        <v>0</v>
      </c>
      <c r="O790" s="511">
        <v>0</v>
      </c>
      <c r="P790" s="511">
        <v>0</v>
      </c>
      <c r="Q790" s="511">
        <v>0</v>
      </c>
      <c r="R790" s="511">
        <v>0</v>
      </c>
      <c r="S790" s="511">
        <v>0</v>
      </c>
      <c r="T790" s="511">
        <v>0</v>
      </c>
      <c r="U790" s="511">
        <v>0</v>
      </c>
      <c r="V790" s="511">
        <v>0</v>
      </c>
      <c r="X790" s="38">
        <f>'[2]Приложение 1'!T786</f>
        <v>4180</v>
      </c>
      <c r="Y790" s="9">
        <f t="shared" si="190"/>
        <v>3334</v>
      </c>
      <c r="Z790" s="19">
        <f t="shared" si="191"/>
        <v>846</v>
      </c>
    </row>
    <row r="791" spans="1:26" ht="9" customHeight="1">
      <c r="A791" s="518">
        <v>84</v>
      </c>
      <c r="B791" s="751" t="s">
        <v>706</v>
      </c>
      <c r="C791" s="752" t="s">
        <v>1192</v>
      </c>
      <c r="D791" s="753" t="s">
        <v>110</v>
      </c>
      <c r="E791" s="511">
        <f t="shared" si="193"/>
        <v>2137094</v>
      </c>
      <c r="F791" s="511">
        <v>0</v>
      </c>
      <c r="G791" s="17">
        <v>0</v>
      </c>
      <c r="H791" s="754">
        <v>0</v>
      </c>
      <c r="I791" s="754">
        <v>641</v>
      </c>
      <c r="J791" s="755"/>
      <c r="K791" s="510"/>
      <c r="L791" s="511">
        <f t="shared" si="192"/>
        <v>2137094</v>
      </c>
      <c r="M791" s="511">
        <v>0</v>
      </c>
      <c r="N791" s="511">
        <v>0</v>
      </c>
      <c r="O791" s="511">
        <v>0</v>
      </c>
      <c r="P791" s="511">
        <v>0</v>
      </c>
      <c r="Q791" s="511">
        <v>0</v>
      </c>
      <c r="R791" s="511">
        <v>0</v>
      </c>
      <c r="S791" s="511">
        <v>0</v>
      </c>
      <c r="T791" s="511">
        <v>0</v>
      </c>
      <c r="U791" s="511">
        <v>0</v>
      </c>
      <c r="V791" s="511">
        <v>0</v>
      </c>
      <c r="X791" s="38">
        <f>'[2]Приложение 1'!T787</f>
        <v>4180</v>
      </c>
      <c r="Y791" s="9">
        <f t="shared" si="190"/>
        <v>3334</v>
      </c>
      <c r="Z791" s="19">
        <f t="shared" si="191"/>
        <v>846</v>
      </c>
    </row>
    <row r="792" spans="1:26" ht="9" customHeight="1">
      <c r="A792" s="518">
        <v>85</v>
      </c>
      <c r="B792" s="751" t="s">
        <v>707</v>
      </c>
      <c r="C792" s="752" t="s">
        <v>1192</v>
      </c>
      <c r="D792" s="753" t="s">
        <v>110</v>
      </c>
      <c r="E792" s="511">
        <f t="shared" si="193"/>
        <v>9250183</v>
      </c>
      <c r="F792" s="511">
        <v>0</v>
      </c>
      <c r="G792" s="17">
        <v>0</v>
      </c>
      <c r="H792" s="754">
        <v>0</v>
      </c>
      <c r="I792" s="754">
        <v>2774.5</v>
      </c>
      <c r="J792" s="755"/>
      <c r="K792" s="510"/>
      <c r="L792" s="511">
        <f t="shared" si="192"/>
        <v>9250183</v>
      </c>
      <c r="M792" s="511">
        <v>0</v>
      </c>
      <c r="N792" s="511">
        <v>0</v>
      </c>
      <c r="O792" s="511">
        <v>0</v>
      </c>
      <c r="P792" s="511">
        <v>0</v>
      </c>
      <c r="Q792" s="511">
        <v>0</v>
      </c>
      <c r="R792" s="511">
        <v>0</v>
      </c>
      <c r="S792" s="511">
        <v>0</v>
      </c>
      <c r="T792" s="511">
        <v>0</v>
      </c>
      <c r="U792" s="511">
        <v>0</v>
      </c>
      <c r="V792" s="511">
        <v>0</v>
      </c>
      <c r="X792" s="38">
        <f>'[2]Приложение 1'!T788</f>
        <v>4180</v>
      </c>
      <c r="Y792" s="9">
        <f t="shared" si="190"/>
        <v>3334</v>
      </c>
      <c r="Z792" s="19">
        <f t="shared" si="191"/>
        <v>846</v>
      </c>
    </row>
    <row r="793" spans="1:26" ht="9" customHeight="1">
      <c r="A793" s="518">
        <v>86</v>
      </c>
      <c r="B793" s="751" t="s">
        <v>708</v>
      </c>
      <c r="C793" s="752" t="s">
        <v>1192</v>
      </c>
      <c r="D793" s="753" t="s">
        <v>110</v>
      </c>
      <c r="E793" s="511">
        <f t="shared" si="193"/>
        <v>6577982</v>
      </c>
      <c r="F793" s="511">
        <v>0</v>
      </c>
      <c r="G793" s="17">
        <v>0</v>
      </c>
      <c r="H793" s="754">
        <v>0</v>
      </c>
      <c r="I793" s="754">
        <v>1973</v>
      </c>
      <c r="J793" s="755"/>
      <c r="K793" s="510"/>
      <c r="L793" s="511">
        <f t="shared" si="192"/>
        <v>6577982</v>
      </c>
      <c r="M793" s="511">
        <v>0</v>
      </c>
      <c r="N793" s="511">
        <v>0</v>
      </c>
      <c r="O793" s="511">
        <v>0</v>
      </c>
      <c r="P793" s="511">
        <v>0</v>
      </c>
      <c r="Q793" s="511">
        <v>0</v>
      </c>
      <c r="R793" s="511">
        <v>0</v>
      </c>
      <c r="S793" s="511">
        <v>0</v>
      </c>
      <c r="T793" s="511">
        <v>0</v>
      </c>
      <c r="U793" s="511">
        <v>0</v>
      </c>
      <c r="V793" s="511">
        <v>0</v>
      </c>
      <c r="X793" s="38">
        <f>'[2]Приложение 1'!T789</f>
        <v>4180</v>
      </c>
      <c r="Y793" s="9">
        <f t="shared" si="190"/>
        <v>3334</v>
      </c>
      <c r="Z793" s="19">
        <f t="shared" si="191"/>
        <v>846</v>
      </c>
    </row>
    <row r="794" spans="1:26" ht="9" customHeight="1">
      <c r="A794" s="518">
        <v>87</v>
      </c>
      <c r="B794" s="751" t="s">
        <v>709</v>
      </c>
      <c r="C794" s="752" t="s">
        <v>1192</v>
      </c>
      <c r="D794" s="753" t="s">
        <v>110</v>
      </c>
      <c r="E794" s="511">
        <f t="shared" si="193"/>
        <v>7208108</v>
      </c>
      <c r="F794" s="511">
        <v>0</v>
      </c>
      <c r="G794" s="17">
        <v>0</v>
      </c>
      <c r="H794" s="754">
        <v>0</v>
      </c>
      <c r="I794" s="754">
        <v>2162</v>
      </c>
      <c r="J794" s="755"/>
      <c r="K794" s="510"/>
      <c r="L794" s="511">
        <f t="shared" si="192"/>
        <v>7208108</v>
      </c>
      <c r="M794" s="511">
        <v>0</v>
      </c>
      <c r="N794" s="511">
        <v>0</v>
      </c>
      <c r="O794" s="511">
        <v>0</v>
      </c>
      <c r="P794" s="511">
        <v>0</v>
      </c>
      <c r="Q794" s="511">
        <v>0</v>
      </c>
      <c r="R794" s="511">
        <v>0</v>
      </c>
      <c r="S794" s="511">
        <v>0</v>
      </c>
      <c r="T794" s="511">
        <v>0</v>
      </c>
      <c r="U794" s="511">
        <v>0</v>
      </c>
      <c r="V794" s="511">
        <v>0</v>
      </c>
      <c r="X794" s="38">
        <f>'[2]Приложение 1'!T790</f>
        <v>4180</v>
      </c>
      <c r="Y794" s="9">
        <f t="shared" si="190"/>
        <v>3334</v>
      </c>
      <c r="Z794" s="19">
        <f t="shared" si="191"/>
        <v>846</v>
      </c>
    </row>
    <row r="795" spans="1:26" ht="9" customHeight="1">
      <c r="A795" s="518">
        <v>88</v>
      </c>
      <c r="B795" s="751" t="s">
        <v>710</v>
      </c>
      <c r="C795" s="752" t="s">
        <v>1192</v>
      </c>
      <c r="D795" s="753" t="s">
        <v>110</v>
      </c>
      <c r="E795" s="511">
        <f t="shared" si="193"/>
        <v>1999399.8</v>
      </c>
      <c r="F795" s="511">
        <v>0</v>
      </c>
      <c r="G795" s="17">
        <v>0</v>
      </c>
      <c r="H795" s="754">
        <v>0</v>
      </c>
      <c r="I795" s="754">
        <v>599.70000000000005</v>
      </c>
      <c r="J795" s="755"/>
      <c r="K795" s="510"/>
      <c r="L795" s="511">
        <f t="shared" si="192"/>
        <v>1999399.8</v>
      </c>
      <c r="M795" s="511">
        <v>0</v>
      </c>
      <c r="N795" s="511">
        <v>0</v>
      </c>
      <c r="O795" s="511">
        <v>0</v>
      </c>
      <c r="P795" s="511">
        <v>0</v>
      </c>
      <c r="Q795" s="511">
        <v>0</v>
      </c>
      <c r="R795" s="511">
        <v>0</v>
      </c>
      <c r="S795" s="511">
        <v>0</v>
      </c>
      <c r="T795" s="511">
        <v>0</v>
      </c>
      <c r="U795" s="511">
        <v>0</v>
      </c>
      <c r="V795" s="511">
        <v>0</v>
      </c>
      <c r="X795" s="38">
        <f>'[2]Приложение 1'!T791</f>
        <v>4180</v>
      </c>
      <c r="Y795" s="9">
        <f t="shared" si="190"/>
        <v>3334</v>
      </c>
      <c r="Z795" s="19">
        <f t="shared" si="191"/>
        <v>846</v>
      </c>
    </row>
    <row r="796" spans="1:26" ht="9" customHeight="1">
      <c r="A796" s="518">
        <v>89</v>
      </c>
      <c r="B796" s="751" t="s">
        <v>711</v>
      </c>
      <c r="C796" s="752" t="s">
        <v>1192</v>
      </c>
      <c r="D796" s="753" t="s">
        <v>110</v>
      </c>
      <c r="E796" s="511">
        <f t="shared" si="193"/>
        <v>3837434</v>
      </c>
      <c r="F796" s="511">
        <v>0</v>
      </c>
      <c r="G796" s="17">
        <v>0</v>
      </c>
      <c r="H796" s="754">
        <v>0</v>
      </c>
      <c r="I796" s="754">
        <v>1151</v>
      </c>
      <c r="J796" s="755"/>
      <c r="K796" s="510"/>
      <c r="L796" s="511">
        <f t="shared" si="192"/>
        <v>3837434</v>
      </c>
      <c r="M796" s="511">
        <v>0</v>
      </c>
      <c r="N796" s="511">
        <v>0</v>
      </c>
      <c r="O796" s="511">
        <v>0</v>
      </c>
      <c r="P796" s="511">
        <v>0</v>
      </c>
      <c r="Q796" s="511">
        <v>0</v>
      </c>
      <c r="R796" s="511">
        <v>0</v>
      </c>
      <c r="S796" s="511">
        <v>0</v>
      </c>
      <c r="T796" s="511">
        <v>0</v>
      </c>
      <c r="U796" s="511">
        <v>0</v>
      </c>
      <c r="V796" s="511">
        <v>0</v>
      </c>
      <c r="X796" s="38">
        <f>'[2]Приложение 1'!T792</f>
        <v>4180</v>
      </c>
      <c r="Y796" s="9">
        <f t="shared" si="190"/>
        <v>3334</v>
      </c>
      <c r="Z796" s="19">
        <f t="shared" si="191"/>
        <v>846</v>
      </c>
    </row>
    <row r="797" spans="1:26" ht="9" customHeight="1">
      <c r="A797" s="518">
        <v>90</v>
      </c>
      <c r="B797" s="751" t="s">
        <v>712</v>
      </c>
      <c r="C797" s="752" t="s">
        <v>1192</v>
      </c>
      <c r="D797" s="753" t="s">
        <v>111</v>
      </c>
      <c r="E797" s="511">
        <f t="shared" si="193"/>
        <v>931392</v>
      </c>
      <c r="F797" s="511">
        <v>0</v>
      </c>
      <c r="G797" s="17">
        <v>0</v>
      </c>
      <c r="H797" s="754">
        <v>0</v>
      </c>
      <c r="I797" s="754">
        <v>288</v>
      </c>
      <c r="J797" s="755"/>
      <c r="K797" s="510"/>
      <c r="L797" s="511">
        <f>ROUND(3234*I797,2)</f>
        <v>931392</v>
      </c>
      <c r="M797" s="511">
        <v>0</v>
      </c>
      <c r="N797" s="511">
        <v>0</v>
      </c>
      <c r="O797" s="511">
        <v>0</v>
      </c>
      <c r="P797" s="511">
        <v>0</v>
      </c>
      <c r="Q797" s="511">
        <v>0</v>
      </c>
      <c r="R797" s="511">
        <v>0</v>
      </c>
      <c r="S797" s="511">
        <v>0</v>
      </c>
      <c r="T797" s="511">
        <v>0</v>
      </c>
      <c r="U797" s="511">
        <v>0</v>
      </c>
      <c r="V797" s="511">
        <v>0</v>
      </c>
      <c r="X797" s="38">
        <f>'[2]Приложение 1'!T793</f>
        <v>4180</v>
      </c>
      <c r="Y797" s="9">
        <f t="shared" si="190"/>
        <v>3234</v>
      </c>
      <c r="Z797" s="19">
        <f t="shared" si="191"/>
        <v>946</v>
      </c>
    </row>
    <row r="798" spans="1:26" ht="9" customHeight="1">
      <c r="A798" s="518">
        <v>91</v>
      </c>
      <c r="B798" s="751" t="s">
        <v>713</v>
      </c>
      <c r="C798" s="752" t="s">
        <v>1192</v>
      </c>
      <c r="D798" s="753" t="s">
        <v>110</v>
      </c>
      <c r="E798" s="511">
        <f t="shared" si="193"/>
        <v>5001000</v>
      </c>
      <c r="F798" s="511">
        <v>0</v>
      </c>
      <c r="G798" s="17">
        <v>0</v>
      </c>
      <c r="H798" s="754">
        <v>0</v>
      </c>
      <c r="I798" s="754">
        <v>1500</v>
      </c>
      <c r="J798" s="755"/>
      <c r="K798" s="510"/>
      <c r="L798" s="511">
        <f t="shared" si="192"/>
        <v>5001000</v>
      </c>
      <c r="M798" s="511">
        <v>0</v>
      </c>
      <c r="N798" s="511">
        <v>0</v>
      </c>
      <c r="O798" s="511">
        <v>0</v>
      </c>
      <c r="P798" s="511">
        <v>0</v>
      </c>
      <c r="Q798" s="511">
        <v>0</v>
      </c>
      <c r="R798" s="511">
        <v>0</v>
      </c>
      <c r="S798" s="511">
        <v>0</v>
      </c>
      <c r="T798" s="511">
        <v>0</v>
      </c>
      <c r="U798" s="511">
        <v>0</v>
      </c>
      <c r="V798" s="511">
        <v>0</v>
      </c>
      <c r="X798" s="38">
        <f>'[2]Приложение 1'!T794</f>
        <v>4503.95</v>
      </c>
      <c r="Y798" s="9">
        <f t="shared" si="190"/>
        <v>3334</v>
      </c>
      <c r="Z798" s="19">
        <f t="shared" si="191"/>
        <v>1169.9499999999998</v>
      </c>
    </row>
    <row r="799" spans="1:26" ht="9" customHeight="1">
      <c r="A799" s="518">
        <v>92</v>
      </c>
      <c r="B799" s="751" t="s">
        <v>714</v>
      </c>
      <c r="C799" s="752" t="s">
        <v>1192</v>
      </c>
      <c r="D799" s="753" t="s">
        <v>110</v>
      </c>
      <c r="E799" s="511">
        <f t="shared" si="193"/>
        <v>2633860</v>
      </c>
      <c r="F799" s="511">
        <v>0</v>
      </c>
      <c r="G799" s="17">
        <v>0</v>
      </c>
      <c r="H799" s="754">
        <v>0</v>
      </c>
      <c r="I799" s="754">
        <v>790</v>
      </c>
      <c r="J799" s="755"/>
      <c r="K799" s="510"/>
      <c r="L799" s="511">
        <f t="shared" si="192"/>
        <v>2633860</v>
      </c>
      <c r="M799" s="511">
        <v>0</v>
      </c>
      <c r="N799" s="511">
        <v>0</v>
      </c>
      <c r="O799" s="511">
        <v>0</v>
      </c>
      <c r="P799" s="511">
        <v>0</v>
      </c>
      <c r="Q799" s="511">
        <v>0</v>
      </c>
      <c r="R799" s="511">
        <v>0</v>
      </c>
      <c r="S799" s="511">
        <v>0</v>
      </c>
      <c r="T799" s="511">
        <v>0</v>
      </c>
      <c r="U799" s="511">
        <v>0</v>
      </c>
      <c r="V799" s="511">
        <v>0</v>
      </c>
      <c r="X799" s="38">
        <f>'[2]Приложение 1'!T795</f>
        <v>4180</v>
      </c>
      <c r="Y799" s="9">
        <f t="shared" si="190"/>
        <v>3334</v>
      </c>
      <c r="Z799" s="19">
        <f t="shared" si="191"/>
        <v>846</v>
      </c>
    </row>
    <row r="800" spans="1:26" ht="9" customHeight="1">
      <c r="A800" s="518">
        <v>93</v>
      </c>
      <c r="B800" s="751" t="s">
        <v>715</v>
      </c>
      <c r="C800" s="752" t="s">
        <v>1192</v>
      </c>
      <c r="D800" s="753" t="s">
        <v>111</v>
      </c>
      <c r="E800" s="511">
        <f t="shared" si="193"/>
        <v>2800644</v>
      </c>
      <c r="F800" s="511">
        <v>0</v>
      </c>
      <c r="G800" s="17">
        <v>0</v>
      </c>
      <c r="H800" s="754">
        <v>0</v>
      </c>
      <c r="I800" s="754">
        <v>866</v>
      </c>
      <c r="J800" s="755"/>
      <c r="K800" s="510"/>
      <c r="L800" s="511">
        <f>ROUND(3234*I800,2)</f>
        <v>2800644</v>
      </c>
      <c r="M800" s="511">
        <v>0</v>
      </c>
      <c r="N800" s="511">
        <v>0</v>
      </c>
      <c r="O800" s="511">
        <v>0</v>
      </c>
      <c r="P800" s="511">
        <v>0</v>
      </c>
      <c r="Q800" s="511">
        <v>0</v>
      </c>
      <c r="R800" s="511">
        <v>0</v>
      </c>
      <c r="S800" s="511">
        <v>0</v>
      </c>
      <c r="T800" s="511">
        <v>0</v>
      </c>
      <c r="U800" s="511">
        <v>0</v>
      </c>
      <c r="V800" s="511">
        <v>0</v>
      </c>
      <c r="X800" s="38">
        <f>'[2]Приложение 1'!T796</f>
        <v>4180</v>
      </c>
      <c r="Y800" s="9">
        <f t="shared" si="190"/>
        <v>3234</v>
      </c>
      <c r="Z800" s="19">
        <f t="shared" si="191"/>
        <v>946</v>
      </c>
    </row>
    <row r="801" spans="1:26" ht="9" customHeight="1">
      <c r="A801" s="518">
        <v>94</v>
      </c>
      <c r="B801" s="751" t="s">
        <v>716</v>
      </c>
      <c r="C801" s="752" t="s">
        <v>1192</v>
      </c>
      <c r="D801" s="753" t="s">
        <v>110</v>
      </c>
      <c r="E801" s="511">
        <f t="shared" si="193"/>
        <v>1470294</v>
      </c>
      <c r="F801" s="511">
        <v>0</v>
      </c>
      <c r="G801" s="17">
        <v>0</v>
      </c>
      <c r="H801" s="754">
        <v>0</v>
      </c>
      <c r="I801" s="754">
        <v>441</v>
      </c>
      <c r="J801" s="755"/>
      <c r="K801" s="510"/>
      <c r="L801" s="511">
        <f t="shared" si="192"/>
        <v>1470294</v>
      </c>
      <c r="M801" s="511">
        <v>0</v>
      </c>
      <c r="N801" s="511">
        <v>0</v>
      </c>
      <c r="O801" s="511">
        <v>0</v>
      </c>
      <c r="P801" s="511">
        <v>0</v>
      </c>
      <c r="Q801" s="511">
        <v>0</v>
      </c>
      <c r="R801" s="511">
        <v>0</v>
      </c>
      <c r="S801" s="511">
        <v>0</v>
      </c>
      <c r="T801" s="511">
        <v>0</v>
      </c>
      <c r="U801" s="511">
        <v>0</v>
      </c>
      <c r="V801" s="511">
        <v>0</v>
      </c>
      <c r="X801" s="38">
        <f>'[2]Приложение 1'!T797</f>
        <v>4503.95</v>
      </c>
      <c r="Y801" s="9">
        <f t="shared" si="190"/>
        <v>3334</v>
      </c>
      <c r="Z801" s="19">
        <f t="shared" si="191"/>
        <v>1169.9499999999998</v>
      </c>
    </row>
    <row r="802" spans="1:26" ht="9" customHeight="1">
      <c r="A802" s="518">
        <v>95</v>
      </c>
      <c r="B802" s="751" t="s">
        <v>717</v>
      </c>
      <c r="C802" s="752" t="s">
        <v>1192</v>
      </c>
      <c r="D802" s="753" t="s">
        <v>110</v>
      </c>
      <c r="E802" s="511">
        <f t="shared" si="193"/>
        <v>2973928</v>
      </c>
      <c r="F802" s="511">
        <v>0</v>
      </c>
      <c r="G802" s="17">
        <v>0</v>
      </c>
      <c r="H802" s="754">
        <v>0</v>
      </c>
      <c r="I802" s="754">
        <v>892</v>
      </c>
      <c r="J802" s="755"/>
      <c r="K802" s="510"/>
      <c r="L802" s="511">
        <f t="shared" si="192"/>
        <v>2973928</v>
      </c>
      <c r="M802" s="511">
        <v>0</v>
      </c>
      <c r="N802" s="511">
        <v>0</v>
      </c>
      <c r="O802" s="511">
        <v>0</v>
      </c>
      <c r="P802" s="511">
        <v>0</v>
      </c>
      <c r="Q802" s="511">
        <v>0</v>
      </c>
      <c r="R802" s="511">
        <v>0</v>
      </c>
      <c r="S802" s="511">
        <v>0</v>
      </c>
      <c r="T802" s="511">
        <v>0</v>
      </c>
      <c r="U802" s="511">
        <v>0</v>
      </c>
      <c r="V802" s="511">
        <v>0</v>
      </c>
      <c r="X802" s="38">
        <f>'[2]Приложение 1'!T798</f>
        <v>4180</v>
      </c>
      <c r="Y802" s="9">
        <f t="shared" si="190"/>
        <v>3334</v>
      </c>
      <c r="Z802" s="19">
        <f t="shared" si="191"/>
        <v>846</v>
      </c>
    </row>
    <row r="803" spans="1:26" ht="9" customHeight="1">
      <c r="A803" s="518">
        <v>96</v>
      </c>
      <c r="B803" s="751" t="s">
        <v>718</v>
      </c>
      <c r="C803" s="752" t="s">
        <v>1192</v>
      </c>
      <c r="D803" s="753" t="s">
        <v>110</v>
      </c>
      <c r="E803" s="511">
        <f t="shared" si="193"/>
        <v>6741348</v>
      </c>
      <c r="F803" s="511">
        <v>0</v>
      </c>
      <c r="G803" s="17">
        <v>0</v>
      </c>
      <c r="H803" s="754">
        <v>0</v>
      </c>
      <c r="I803" s="754">
        <v>2022</v>
      </c>
      <c r="J803" s="755"/>
      <c r="K803" s="510"/>
      <c r="L803" s="511">
        <f t="shared" si="192"/>
        <v>6741348</v>
      </c>
      <c r="M803" s="511">
        <v>0</v>
      </c>
      <c r="N803" s="511">
        <v>0</v>
      </c>
      <c r="O803" s="511">
        <v>0</v>
      </c>
      <c r="P803" s="511">
        <v>0</v>
      </c>
      <c r="Q803" s="511">
        <v>0</v>
      </c>
      <c r="R803" s="511">
        <v>0</v>
      </c>
      <c r="S803" s="511">
        <v>0</v>
      </c>
      <c r="T803" s="511">
        <v>0</v>
      </c>
      <c r="U803" s="511">
        <v>0</v>
      </c>
      <c r="V803" s="511">
        <v>0</v>
      </c>
      <c r="X803" s="38">
        <f>'[2]Приложение 1'!T799</f>
        <v>4180</v>
      </c>
      <c r="Y803" s="9">
        <f t="shared" si="190"/>
        <v>3334</v>
      </c>
      <c r="Z803" s="19">
        <f t="shared" si="191"/>
        <v>846</v>
      </c>
    </row>
    <row r="804" spans="1:26" ht="9" customHeight="1">
      <c r="A804" s="518">
        <v>97</v>
      </c>
      <c r="B804" s="751" t="s">
        <v>719</v>
      </c>
      <c r="C804" s="752" t="s">
        <v>1192</v>
      </c>
      <c r="D804" s="753" t="s">
        <v>110</v>
      </c>
      <c r="E804" s="511">
        <f t="shared" si="193"/>
        <v>3230646</v>
      </c>
      <c r="F804" s="511">
        <v>0</v>
      </c>
      <c r="G804" s="17">
        <v>0</v>
      </c>
      <c r="H804" s="754">
        <v>0</v>
      </c>
      <c r="I804" s="754">
        <v>969</v>
      </c>
      <c r="J804" s="755"/>
      <c r="K804" s="510"/>
      <c r="L804" s="511">
        <f t="shared" si="192"/>
        <v>3230646</v>
      </c>
      <c r="M804" s="511">
        <v>0</v>
      </c>
      <c r="N804" s="511">
        <v>0</v>
      </c>
      <c r="O804" s="511">
        <v>0</v>
      </c>
      <c r="P804" s="511">
        <v>0</v>
      </c>
      <c r="Q804" s="511">
        <v>0</v>
      </c>
      <c r="R804" s="511">
        <v>0</v>
      </c>
      <c r="S804" s="511">
        <v>0</v>
      </c>
      <c r="T804" s="511">
        <v>0</v>
      </c>
      <c r="U804" s="511">
        <v>0</v>
      </c>
      <c r="V804" s="511">
        <v>0</v>
      </c>
      <c r="X804" s="38">
        <f>'[2]Приложение 1'!T800</f>
        <v>4180</v>
      </c>
      <c r="Y804" s="9">
        <f t="shared" si="190"/>
        <v>3334</v>
      </c>
      <c r="Z804" s="19">
        <f t="shared" si="191"/>
        <v>846</v>
      </c>
    </row>
    <row r="805" spans="1:26" ht="9" customHeight="1">
      <c r="A805" s="518">
        <v>98</v>
      </c>
      <c r="B805" s="751" t="s">
        <v>720</v>
      </c>
      <c r="C805" s="752" t="s">
        <v>1192</v>
      </c>
      <c r="D805" s="753" t="s">
        <v>111</v>
      </c>
      <c r="E805" s="511">
        <f t="shared" si="193"/>
        <v>4851000</v>
      </c>
      <c r="F805" s="511">
        <v>0</v>
      </c>
      <c r="G805" s="17">
        <v>0</v>
      </c>
      <c r="H805" s="754">
        <v>0</v>
      </c>
      <c r="I805" s="754">
        <v>1500</v>
      </c>
      <c r="J805" s="755"/>
      <c r="K805" s="510"/>
      <c r="L805" s="511">
        <f>ROUND(3234*I805,2)</f>
        <v>4851000</v>
      </c>
      <c r="M805" s="511">
        <v>0</v>
      </c>
      <c r="N805" s="511">
        <v>0</v>
      </c>
      <c r="O805" s="511">
        <v>0</v>
      </c>
      <c r="P805" s="511">
        <v>0</v>
      </c>
      <c r="Q805" s="511">
        <v>0</v>
      </c>
      <c r="R805" s="511">
        <v>0</v>
      </c>
      <c r="S805" s="511">
        <v>0</v>
      </c>
      <c r="T805" s="511">
        <v>0</v>
      </c>
      <c r="U805" s="511">
        <v>0</v>
      </c>
      <c r="V805" s="511">
        <v>0</v>
      </c>
      <c r="X805" s="38">
        <f>'[2]Приложение 1'!T801</f>
        <v>4180</v>
      </c>
      <c r="Y805" s="9">
        <f t="shared" si="190"/>
        <v>3234</v>
      </c>
      <c r="Z805" s="19">
        <f t="shared" si="191"/>
        <v>946</v>
      </c>
    </row>
    <row r="806" spans="1:26" ht="9" customHeight="1">
      <c r="A806" s="518">
        <v>99</v>
      </c>
      <c r="B806" s="751" t="s">
        <v>721</v>
      </c>
      <c r="C806" s="752" t="s">
        <v>1192</v>
      </c>
      <c r="D806" s="753" t="s">
        <v>111</v>
      </c>
      <c r="E806" s="511">
        <f t="shared" si="193"/>
        <v>5840604</v>
      </c>
      <c r="F806" s="511">
        <v>0</v>
      </c>
      <c r="G806" s="17">
        <v>0</v>
      </c>
      <c r="H806" s="754">
        <v>0</v>
      </c>
      <c r="I806" s="754">
        <v>1806</v>
      </c>
      <c r="J806" s="755"/>
      <c r="K806" s="510"/>
      <c r="L806" s="511">
        <f>ROUND(3234*I806,2)</f>
        <v>5840604</v>
      </c>
      <c r="M806" s="511">
        <v>0</v>
      </c>
      <c r="N806" s="511">
        <v>0</v>
      </c>
      <c r="O806" s="511">
        <v>0</v>
      </c>
      <c r="P806" s="511">
        <v>0</v>
      </c>
      <c r="Q806" s="511">
        <v>0</v>
      </c>
      <c r="R806" s="511">
        <v>0</v>
      </c>
      <c r="S806" s="511">
        <v>0</v>
      </c>
      <c r="T806" s="511">
        <v>0</v>
      </c>
      <c r="U806" s="511">
        <v>0</v>
      </c>
      <c r="V806" s="511">
        <v>0</v>
      </c>
      <c r="X806" s="38">
        <f>'[2]Приложение 1'!T802</f>
        <v>4503.95</v>
      </c>
      <c r="Y806" s="9">
        <f t="shared" si="190"/>
        <v>3234</v>
      </c>
      <c r="Z806" s="19">
        <f t="shared" si="191"/>
        <v>1269.9499999999998</v>
      </c>
    </row>
    <row r="807" spans="1:26" ht="9" customHeight="1">
      <c r="A807" s="518">
        <v>100</v>
      </c>
      <c r="B807" s="751" t="s">
        <v>722</v>
      </c>
      <c r="C807" s="752" t="s">
        <v>1192</v>
      </c>
      <c r="D807" s="753" t="s">
        <v>110</v>
      </c>
      <c r="E807" s="511">
        <f t="shared" si="193"/>
        <v>4664266</v>
      </c>
      <c r="F807" s="511">
        <v>0</v>
      </c>
      <c r="G807" s="17">
        <v>0</v>
      </c>
      <c r="H807" s="754">
        <v>0</v>
      </c>
      <c r="I807" s="754">
        <v>1399</v>
      </c>
      <c r="J807" s="755"/>
      <c r="K807" s="510"/>
      <c r="L807" s="511">
        <f t="shared" ref="L807:L811" si="194">ROUND(3334*I807,2)</f>
        <v>4664266</v>
      </c>
      <c r="M807" s="511">
        <v>0</v>
      </c>
      <c r="N807" s="511">
        <v>0</v>
      </c>
      <c r="O807" s="511">
        <v>0</v>
      </c>
      <c r="P807" s="511">
        <v>0</v>
      </c>
      <c r="Q807" s="511">
        <v>0</v>
      </c>
      <c r="R807" s="511">
        <v>0</v>
      </c>
      <c r="S807" s="511">
        <v>0</v>
      </c>
      <c r="T807" s="511">
        <v>0</v>
      </c>
      <c r="U807" s="511">
        <v>0</v>
      </c>
      <c r="V807" s="511">
        <v>0</v>
      </c>
      <c r="X807" s="38">
        <f>'[2]Приложение 1'!T803</f>
        <v>4503.95</v>
      </c>
      <c r="Y807" s="9">
        <f t="shared" si="190"/>
        <v>3334</v>
      </c>
      <c r="Z807" s="19">
        <f t="shared" si="191"/>
        <v>1169.9499999999998</v>
      </c>
    </row>
    <row r="808" spans="1:26" ht="9" customHeight="1">
      <c r="A808" s="518">
        <v>101</v>
      </c>
      <c r="B808" s="751" t="s">
        <v>723</v>
      </c>
      <c r="C808" s="752" t="s">
        <v>1192</v>
      </c>
      <c r="D808" s="753" t="s">
        <v>110</v>
      </c>
      <c r="E808" s="511">
        <f t="shared" si="193"/>
        <v>4634260</v>
      </c>
      <c r="F808" s="511">
        <v>0</v>
      </c>
      <c r="G808" s="17">
        <v>0</v>
      </c>
      <c r="H808" s="754">
        <v>0</v>
      </c>
      <c r="I808" s="754">
        <v>1390</v>
      </c>
      <c r="J808" s="755"/>
      <c r="K808" s="510"/>
      <c r="L808" s="511">
        <f t="shared" si="194"/>
        <v>4634260</v>
      </c>
      <c r="M808" s="511">
        <v>0</v>
      </c>
      <c r="N808" s="511">
        <v>0</v>
      </c>
      <c r="O808" s="511">
        <v>0</v>
      </c>
      <c r="P808" s="511">
        <v>0</v>
      </c>
      <c r="Q808" s="511">
        <v>0</v>
      </c>
      <c r="R808" s="511">
        <v>0</v>
      </c>
      <c r="S808" s="511">
        <v>0</v>
      </c>
      <c r="T808" s="511">
        <v>0</v>
      </c>
      <c r="U808" s="511">
        <v>0</v>
      </c>
      <c r="V808" s="511">
        <v>0</v>
      </c>
      <c r="X808" s="38">
        <f>'[2]Приложение 1'!T804</f>
        <v>4180</v>
      </c>
      <c r="Y808" s="9">
        <f t="shared" si="190"/>
        <v>3334</v>
      </c>
      <c r="Z808" s="19">
        <f t="shared" si="191"/>
        <v>846</v>
      </c>
    </row>
    <row r="809" spans="1:26" ht="9" customHeight="1">
      <c r="A809" s="518">
        <v>102</v>
      </c>
      <c r="B809" s="751" t="s">
        <v>724</v>
      </c>
      <c r="C809" s="752" t="s">
        <v>1192</v>
      </c>
      <c r="D809" s="753" t="s">
        <v>110</v>
      </c>
      <c r="E809" s="511">
        <f t="shared" si="193"/>
        <v>4577582</v>
      </c>
      <c r="F809" s="511">
        <v>0</v>
      </c>
      <c r="G809" s="17">
        <v>0</v>
      </c>
      <c r="H809" s="754">
        <v>0</v>
      </c>
      <c r="I809" s="754">
        <v>1373</v>
      </c>
      <c r="J809" s="755"/>
      <c r="K809" s="510"/>
      <c r="L809" s="511">
        <f t="shared" si="194"/>
        <v>4577582</v>
      </c>
      <c r="M809" s="511">
        <v>0</v>
      </c>
      <c r="N809" s="511">
        <v>0</v>
      </c>
      <c r="O809" s="511">
        <v>0</v>
      </c>
      <c r="P809" s="511">
        <v>0</v>
      </c>
      <c r="Q809" s="511">
        <v>0</v>
      </c>
      <c r="R809" s="511">
        <v>0</v>
      </c>
      <c r="S809" s="511">
        <v>0</v>
      </c>
      <c r="T809" s="511">
        <v>0</v>
      </c>
      <c r="U809" s="511">
        <v>0</v>
      </c>
      <c r="V809" s="511">
        <v>0</v>
      </c>
      <c r="X809" s="38">
        <f>'[2]Приложение 1'!T805</f>
        <v>4180</v>
      </c>
      <c r="Y809" s="9">
        <f t="shared" si="190"/>
        <v>3334</v>
      </c>
      <c r="Z809" s="19">
        <f t="shared" si="191"/>
        <v>846</v>
      </c>
    </row>
    <row r="810" spans="1:26" ht="9" customHeight="1">
      <c r="A810" s="518">
        <v>103</v>
      </c>
      <c r="B810" s="751" t="s">
        <v>725</v>
      </c>
      <c r="C810" s="752" t="s">
        <v>1192</v>
      </c>
      <c r="D810" s="753" t="s">
        <v>110</v>
      </c>
      <c r="E810" s="511">
        <f t="shared" si="193"/>
        <v>3200640</v>
      </c>
      <c r="F810" s="511">
        <v>0</v>
      </c>
      <c r="G810" s="17">
        <v>0</v>
      </c>
      <c r="H810" s="754">
        <v>0</v>
      </c>
      <c r="I810" s="754">
        <v>960</v>
      </c>
      <c r="J810" s="755"/>
      <c r="K810" s="510"/>
      <c r="L810" s="511">
        <f t="shared" si="194"/>
        <v>3200640</v>
      </c>
      <c r="M810" s="511">
        <v>0</v>
      </c>
      <c r="N810" s="511">
        <v>0</v>
      </c>
      <c r="O810" s="511">
        <v>0</v>
      </c>
      <c r="P810" s="511">
        <v>0</v>
      </c>
      <c r="Q810" s="511">
        <v>0</v>
      </c>
      <c r="R810" s="511">
        <v>0</v>
      </c>
      <c r="S810" s="511">
        <v>0</v>
      </c>
      <c r="T810" s="511">
        <v>0</v>
      </c>
      <c r="U810" s="511">
        <v>0</v>
      </c>
      <c r="V810" s="511">
        <v>0</v>
      </c>
      <c r="X810" s="38">
        <f>'[2]Приложение 1'!T806</f>
        <v>4180</v>
      </c>
      <c r="Y810" s="9">
        <f t="shared" si="190"/>
        <v>3334</v>
      </c>
      <c r="Z810" s="19">
        <f t="shared" si="191"/>
        <v>846</v>
      </c>
    </row>
    <row r="811" spans="1:26" ht="9" customHeight="1">
      <c r="A811" s="518">
        <v>104</v>
      </c>
      <c r="B811" s="751" t="s">
        <v>726</v>
      </c>
      <c r="C811" s="752" t="s">
        <v>1192</v>
      </c>
      <c r="D811" s="753" t="s">
        <v>110</v>
      </c>
      <c r="E811" s="511">
        <f t="shared" si="193"/>
        <v>1690338</v>
      </c>
      <c r="F811" s="511">
        <v>0</v>
      </c>
      <c r="G811" s="17">
        <v>0</v>
      </c>
      <c r="H811" s="754">
        <v>0</v>
      </c>
      <c r="I811" s="754">
        <v>507</v>
      </c>
      <c r="J811" s="755"/>
      <c r="K811" s="510"/>
      <c r="L811" s="511">
        <f t="shared" si="194"/>
        <v>1690338</v>
      </c>
      <c r="M811" s="511">
        <v>0</v>
      </c>
      <c r="N811" s="511">
        <v>0</v>
      </c>
      <c r="O811" s="511">
        <v>0</v>
      </c>
      <c r="P811" s="511">
        <v>0</v>
      </c>
      <c r="Q811" s="511">
        <v>0</v>
      </c>
      <c r="R811" s="511">
        <v>0</v>
      </c>
      <c r="S811" s="511">
        <v>0</v>
      </c>
      <c r="T811" s="511">
        <v>0</v>
      </c>
      <c r="U811" s="511">
        <v>0</v>
      </c>
      <c r="V811" s="511">
        <v>0</v>
      </c>
      <c r="X811" s="38">
        <f>'[2]Приложение 1'!T807</f>
        <v>4180</v>
      </c>
      <c r="Y811" s="9">
        <f t="shared" si="190"/>
        <v>3334</v>
      </c>
      <c r="Z811" s="19">
        <f t="shared" si="191"/>
        <v>846</v>
      </c>
    </row>
    <row r="812" spans="1:26" ht="9" customHeight="1">
      <c r="A812" s="518">
        <v>105</v>
      </c>
      <c r="B812" s="751" t="s">
        <v>727</v>
      </c>
      <c r="C812" s="752" t="s">
        <v>1192</v>
      </c>
      <c r="D812" s="753" t="s">
        <v>111</v>
      </c>
      <c r="E812" s="511">
        <f t="shared" si="193"/>
        <v>2952642</v>
      </c>
      <c r="F812" s="511">
        <v>0</v>
      </c>
      <c r="G812" s="17">
        <v>0</v>
      </c>
      <c r="H812" s="754">
        <v>0</v>
      </c>
      <c r="I812" s="754">
        <v>913</v>
      </c>
      <c r="J812" s="755"/>
      <c r="K812" s="510"/>
      <c r="L812" s="511">
        <f>ROUND(3234*I812,2)</f>
        <v>2952642</v>
      </c>
      <c r="M812" s="511">
        <v>0</v>
      </c>
      <c r="N812" s="511">
        <v>0</v>
      </c>
      <c r="O812" s="511">
        <v>0</v>
      </c>
      <c r="P812" s="511">
        <v>0</v>
      </c>
      <c r="Q812" s="511">
        <v>0</v>
      </c>
      <c r="R812" s="511">
        <v>0</v>
      </c>
      <c r="S812" s="511">
        <v>0</v>
      </c>
      <c r="T812" s="511">
        <v>0</v>
      </c>
      <c r="U812" s="511">
        <v>0</v>
      </c>
      <c r="V812" s="511">
        <v>0</v>
      </c>
      <c r="X812" s="38">
        <f>'[2]Приложение 1'!T808</f>
        <v>4180</v>
      </c>
      <c r="Y812" s="9">
        <f t="shared" si="190"/>
        <v>3234</v>
      </c>
      <c r="Z812" s="19">
        <f t="shared" si="191"/>
        <v>946</v>
      </c>
    </row>
    <row r="813" spans="1:26" ht="9" customHeight="1">
      <c r="A813" s="518">
        <v>106</v>
      </c>
      <c r="B813" s="751" t="s">
        <v>728</v>
      </c>
      <c r="C813" s="752" t="s">
        <v>1192</v>
      </c>
      <c r="D813" s="753" t="s">
        <v>110</v>
      </c>
      <c r="E813" s="511">
        <f t="shared" si="193"/>
        <v>5197706</v>
      </c>
      <c r="F813" s="511">
        <v>0</v>
      </c>
      <c r="G813" s="17">
        <v>0</v>
      </c>
      <c r="H813" s="754">
        <v>0</v>
      </c>
      <c r="I813" s="754">
        <v>1559</v>
      </c>
      <c r="J813" s="755"/>
      <c r="K813" s="510"/>
      <c r="L813" s="511">
        <f t="shared" ref="L813" si="195">ROUND(3334*I813,2)</f>
        <v>5197706</v>
      </c>
      <c r="M813" s="511">
        <v>0</v>
      </c>
      <c r="N813" s="511">
        <v>0</v>
      </c>
      <c r="O813" s="511">
        <v>0</v>
      </c>
      <c r="P813" s="511">
        <v>0</v>
      </c>
      <c r="Q813" s="511">
        <v>0</v>
      </c>
      <c r="R813" s="511">
        <v>0</v>
      </c>
      <c r="S813" s="511">
        <v>0</v>
      </c>
      <c r="T813" s="511">
        <v>0</v>
      </c>
      <c r="U813" s="511">
        <v>0</v>
      </c>
      <c r="V813" s="511">
        <v>0</v>
      </c>
      <c r="X813" s="38">
        <f>'[2]Приложение 1'!T809</f>
        <v>4503.95</v>
      </c>
      <c r="Y813" s="9">
        <f t="shared" si="190"/>
        <v>3334</v>
      </c>
      <c r="Z813" s="19">
        <f t="shared" si="191"/>
        <v>1169.9499999999998</v>
      </c>
    </row>
    <row r="814" spans="1:26" ht="9" customHeight="1">
      <c r="A814" s="518">
        <v>107</v>
      </c>
      <c r="B814" s="751" t="s">
        <v>729</v>
      </c>
      <c r="C814" s="752" t="s">
        <v>1192</v>
      </c>
      <c r="D814" s="753" t="s">
        <v>111</v>
      </c>
      <c r="E814" s="511">
        <f t="shared" si="193"/>
        <v>1911294</v>
      </c>
      <c r="F814" s="511">
        <v>0</v>
      </c>
      <c r="G814" s="17">
        <v>0</v>
      </c>
      <c r="H814" s="754">
        <v>0</v>
      </c>
      <c r="I814" s="754">
        <v>591</v>
      </c>
      <c r="J814" s="755"/>
      <c r="K814" s="510"/>
      <c r="L814" s="511">
        <f>ROUND(3234*I814,2)</f>
        <v>1911294</v>
      </c>
      <c r="M814" s="511">
        <v>0</v>
      </c>
      <c r="N814" s="511">
        <v>0</v>
      </c>
      <c r="O814" s="511">
        <v>0</v>
      </c>
      <c r="P814" s="511">
        <v>0</v>
      </c>
      <c r="Q814" s="511">
        <v>0</v>
      </c>
      <c r="R814" s="511">
        <v>0</v>
      </c>
      <c r="S814" s="511">
        <v>0</v>
      </c>
      <c r="T814" s="511">
        <v>0</v>
      </c>
      <c r="U814" s="511">
        <v>0</v>
      </c>
      <c r="V814" s="511">
        <v>0</v>
      </c>
      <c r="X814" s="38">
        <f>'[2]Приложение 1'!T810</f>
        <v>4180</v>
      </c>
      <c r="Y814" s="9">
        <f t="shared" si="190"/>
        <v>3234</v>
      </c>
      <c r="Z814" s="19">
        <f t="shared" si="191"/>
        <v>946</v>
      </c>
    </row>
    <row r="815" spans="1:26" ht="9" customHeight="1">
      <c r="A815" s="518">
        <v>108</v>
      </c>
      <c r="B815" s="751" t="s">
        <v>730</v>
      </c>
      <c r="C815" s="752" t="s">
        <v>1192</v>
      </c>
      <c r="D815" s="753" t="s">
        <v>111</v>
      </c>
      <c r="E815" s="511">
        <f t="shared" si="193"/>
        <v>1875720</v>
      </c>
      <c r="F815" s="511">
        <v>0</v>
      </c>
      <c r="G815" s="17">
        <v>0</v>
      </c>
      <c r="H815" s="754">
        <v>0</v>
      </c>
      <c r="I815" s="754">
        <v>580</v>
      </c>
      <c r="J815" s="755"/>
      <c r="K815" s="510"/>
      <c r="L815" s="511">
        <f>ROUND(3234*I815,2)</f>
        <v>1875720</v>
      </c>
      <c r="M815" s="511">
        <v>0</v>
      </c>
      <c r="N815" s="511">
        <v>0</v>
      </c>
      <c r="O815" s="511">
        <v>0</v>
      </c>
      <c r="P815" s="511">
        <v>0</v>
      </c>
      <c r="Q815" s="511">
        <v>0</v>
      </c>
      <c r="R815" s="511">
        <v>0</v>
      </c>
      <c r="S815" s="511">
        <v>0</v>
      </c>
      <c r="T815" s="511">
        <v>0</v>
      </c>
      <c r="U815" s="511">
        <v>0</v>
      </c>
      <c r="V815" s="511">
        <v>0</v>
      </c>
      <c r="X815" s="38">
        <f>'[2]Приложение 1'!T811</f>
        <v>4503.95</v>
      </c>
      <c r="Y815" s="9">
        <f t="shared" si="190"/>
        <v>3234</v>
      </c>
      <c r="Z815" s="19">
        <f t="shared" si="191"/>
        <v>1269.9499999999998</v>
      </c>
    </row>
    <row r="816" spans="1:26" ht="9" customHeight="1">
      <c r="A816" s="518">
        <v>109</v>
      </c>
      <c r="B816" s="751" t="s">
        <v>731</v>
      </c>
      <c r="C816" s="752" t="s">
        <v>1192</v>
      </c>
      <c r="D816" s="753" t="s">
        <v>110</v>
      </c>
      <c r="E816" s="511">
        <f t="shared" si="193"/>
        <v>3394012</v>
      </c>
      <c r="F816" s="511">
        <v>0</v>
      </c>
      <c r="G816" s="17">
        <v>0</v>
      </c>
      <c r="H816" s="754">
        <v>0</v>
      </c>
      <c r="I816" s="754">
        <v>1018</v>
      </c>
      <c r="J816" s="755"/>
      <c r="K816" s="510"/>
      <c r="L816" s="511">
        <f t="shared" ref="L816" si="196">ROUND(3334*I816,2)</f>
        <v>3394012</v>
      </c>
      <c r="M816" s="511">
        <v>0</v>
      </c>
      <c r="N816" s="511">
        <v>0</v>
      </c>
      <c r="O816" s="511">
        <v>0</v>
      </c>
      <c r="P816" s="511">
        <v>0</v>
      </c>
      <c r="Q816" s="511">
        <v>0</v>
      </c>
      <c r="R816" s="511">
        <v>0</v>
      </c>
      <c r="S816" s="511">
        <v>0</v>
      </c>
      <c r="T816" s="511">
        <v>0</v>
      </c>
      <c r="U816" s="511">
        <v>0</v>
      </c>
      <c r="V816" s="511">
        <v>0</v>
      </c>
      <c r="X816" s="38">
        <f>'[2]Приложение 1'!T812</f>
        <v>4503.95</v>
      </c>
      <c r="Y816" s="9">
        <f t="shared" si="190"/>
        <v>3334</v>
      </c>
      <c r="Z816" s="19">
        <f t="shared" si="191"/>
        <v>1169.9499999999998</v>
      </c>
    </row>
    <row r="817" spans="1:26" ht="9" customHeight="1">
      <c r="A817" s="518">
        <v>110</v>
      </c>
      <c r="B817" s="751" t="s">
        <v>732</v>
      </c>
      <c r="C817" s="752" t="s">
        <v>1192</v>
      </c>
      <c r="D817" s="753" t="s">
        <v>111</v>
      </c>
      <c r="E817" s="511">
        <f t="shared" si="193"/>
        <v>5675670</v>
      </c>
      <c r="F817" s="511">
        <v>0</v>
      </c>
      <c r="G817" s="17">
        <v>0</v>
      </c>
      <c r="H817" s="754">
        <v>0</v>
      </c>
      <c r="I817" s="754">
        <v>1755</v>
      </c>
      <c r="J817" s="755"/>
      <c r="K817" s="510"/>
      <c r="L817" s="511">
        <f>ROUND(3234*I817,2)</f>
        <v>5675670</v>
      </c>
      <c r="M817" s="511">
        <v>0</v>
      </c>
      <c r="N817" s="511">
        <v>0</v>
      </c>
      <c r="O817" s="511">
        <v>0</v>
      </c>
      <c r="P817" s="511">
        <v>0</v>
      </c>
      <c r="Q817" s="511">
        <v>0</v>
      </c>
      <c r="R817" s="511">
        <v>0</v>
      </c>
      <c r="S817" s="511">
        <v>0</v>
      </c>
      <c r="T817" s="511">
        <v>0</v>
      </c>
      <c r="U817" s="511">
        <v>0</v>
      </c>
      <c r="V817" s="511">
        <v>0</v>
      </c>
      <c r="X817" s="38">
        <f>'[2]Приложение 1'!T813</f>
        <v>4180</v>
      </c>
      <c r="Y817" s="9">
        <f t="shared" si="190"/>
        <v>3234</v>
      </c>
      <c r="Z817" s="19">
        <f t="shared" si="191"/>
        <v>946</v>
      </c>
    </row>
    <row r="818" spans="1:26" ht="9" customHeight="1">
      <c r="A818" s="518">
        <v>111</v>
      </c>
      <c r="B818" s="751" t="s">
        <v>733</v>
      </c>
      <c r="C818" s="752" t="s">
        <v>1192</v>
      </c>
      <c r="D818" s="753" t="s">
        <v>110</v>
      </c>
      <c r="E818" s="511">
        <f t="shared" si="193"/>
        <v>8835100</v>
      </c>
      <c r="F818" s="511">
        <v>0</v>
      </c>
      <c r="G818" s="17">
        <v>0</v>
      </c>
      <c r="H818" s="754">
        <v>0</v>
      </c>
      <c r="I818" s="754">
        <v>2650</v>
      </c>
      <c r="J818" s="755"/>
      <c r="K818" s="510"/>
      <c r="L818" s="511">
        <f t="shared" ref="L818:L822" si="197">ROUND(3334*I818,2)</f>
        <v>8835100</v>
      </c>
      <c r="M818" s="511">
        <v>0</v>
      </c>
      <c r="N818" s="511">
        <v>0</v>
      </c>
      <c r="O818" s="511">
        <v>0</v>
      </c>
      <c r="P818" s="511">
        <v>0</v>
      </c>
      <c r="Q818" s="511">
        <v>0</v>
      </c>
      <c r="R818" s="511">
        <v>0</v>
      </c>
      <c r="S818" s="511">
        <v>0</v>
      </c>
      <c r="T818" s="511">
        <v>0</v>
      </c>
      <c r="U818" s="511">
        <v>0</v>
      </c>
      <c r="V818" s="511">
        <v>0</v>
      </c>
      <c r="X818" s="38">
        <f>'[2]Приложение 1'!T814</f>
        <v>4503.95</v>
      </c>
      <c r="Y818" s="9">
        <f t="shared" si="190"/>
        <v>3334</v>
      </c>
      <c r="Z818" s="19">
        <f t="shared" si="191"/>
        <v>1169.9499999999998</v>
      </c>
    </row>
    <row r="819" spans="1:26" ht="9" customHeight="1">
      <c r="A819" s="518">
        <v>112</v>
      </c>
      <c r="B819" s="751" t="s">
        <v>734</v>
      </c>
      <c r="C819" s="752" t="s">
        <v>1192</v>
      </c>
      <c r="D819" s="753" t="s">
        <v>110</v>
      </c>
      <c r="E819" s="511">
        <f t="shared" si="193"/>
        <v>7968260</v>
      </c>
      <c r="F819" s="511">
        <v>0</v>
      </c>
      <c r="G819" s="17">
        <v>0</v>
      </c>
      <c r="H819" s="754">
        <v>0</v>
      </c>
      <c r="I819" s="754">
        <v>2390</v>
      </c>
      <c r="J819" s="755"/>
      <c r="K819" s="510"/>
      <c r="L819" s="511">
        <f t="shared" si="197"/>
        <v>7968260</v>
      </c>
      <c r="M819" s="511">
        <v>0</v>
      </c>
      <c r="N819" s="511">
        <v>0</v>
      </c>
      <c r="O819" s="511">
        <v>0</v>
      </c>
      <c r="P819" s="511">
        <v>0</v>
      </c>
      <c r="Q819" s="511">
        <v>0</v>
      </c>
      <c r="R819" s="511">
        <v>0</v>
      </c>
      <c r="S819" s="511">
        <v>0</v>
      </c>
      <c r="T819" s="511">
        <v>0</v>
      </c>
      <c r="U819" s="511">
        <v>0</v>
      </c>
      <c r="V819" s="511">
        <v>0</v>
      </c>
      <c r="X819" s="38">
        <f>'[2]Приложение 1'!T815</f>
        <v>4180</v>
      </c>
      <c r="Y819" s="9">
        <f t="shared" si="190"/>
        <v>3334</v>
      </c>
      <c r="Z819" s="19">
        <f t="shared" si="191"/>
        <v>846</v>
      </c>
    </row>
    <row r="820" spans="1:26" ht="9" customHeight="1">
      <c r="A820" s="518">
        <v>113</v>
      </c>
      <c r="B820" s="751" t="s">
        <v>735</v>
      </c>
      <c r="C820" s="752" t="s">
        <v>1192</v>
      </c>
      <c r="D820" s="753" t="s">
        <v>110</v>
      </c>
      <c r="E820" s="511">
        <f t="shared" si="193"/>
        <v>2767220</v>
      </c>
      <c r="F820" s="511">
        <v>0</v>
      </c>
      <c r="G820" s="17">
        <v>0</v>
      </c>
      <c r="H820" s="754">
        <v>0</v>
      </c>
      <c r="I820" s="754">
        <v>830</v>
      </c>
      <c r="J820" s="755"/>
      <c r="K820" s="510"/>
      <c r="L820" s="511">
        <f t="shared" si="197"/>
        <v>2767220</v>
      </c>
      <c r="M820" s="511">
        <v>0</v>
      </c>
      <c r="N820" s="511">
        <v>0</v>
      </c>
      <c r="O820" s="511">
        <v>0</v>
      </c>
      <c r="P820" s="511">
        <v>0</v>
      </c>
      <c r="Q820" s="511">
        <v>0</v>
      </c>
      <c r="R820" s="511">
        <v>0</v>
      </c>
      <c r="S820" s="511">
        <v>0</v>
      </c>
      <c r="T820" s="511">
        <v>0</v>
      </c>
      <c r="U820" s="511">
        <v>0</v>
      </c>
      <c r="V820" s="511">
        <v>0</v>
      </c>
      <c r="X820" s="38">
        <f>'[2]Приложение 1'!T816</f>
        <v>4180</v>
      </c>
      <c r="Y820" s="9">
        <f t="shared" si="190"/>
        <v>3334</v>
      </c>
      <c r="Z820" s="19">
        <f t="shared" si="191"/>
        <v>846</v>
      </c>
    </row>
    <row r="821" spans="1:26" ht="9" customHeight="1">
      <c r="A821" s="518">
        <v>114</v>
      </c>
      <c r="B821" s="751" t="s">
        <v>736</v>
      </c>
      <c r="C821" s="752" t="s">
        <v>1192</v>
      </c>
      <c r="D821" s="753" t="s">
        <v>110</v>
      </c>
      <c r="E821" s="511">
        <f t="shared" si="193"/>
        <v>4877642</v>
      </c>
      <c r="F821" s="511">
        <v>0</v>
      </c>
      <c r="G821" s="17">
        <v>0</v>
      </c>
      <c r="H821" s="754">
        <v>0</v>
      </c>
      <c r="I821" s="754">
        <v>1463</v>
      </c>
      <c r="J821" s="755"/>
      <c r="K821" s="510"/>
      <c r="L821" s="511">
        <f t="shared" si="197"/>
        <v>4877642</v>
      </c>
      <c r="M821" s="511">
        <v>0</v>
      </c>
      <c r="N821" s="511">
        <v>0</v>
      </c>
      <c r="O821" s="511">
        <v>0</v>
      </c>
      <c r="P821" s="511">
        <v>0</v>
      </c>
      <c r="Q821" s="511">
        <v>0</v>
      </c>
      <c r="R821" s="511">
        <v>0</v>
      </c>
      <c r="S821" s="511">
        <v>0</v>
      </c>
      <c r="T821" s="511">
        <v>0</v>
      </c>
      <c r="U821" s="511">
        <v>0</v>
      </c>
      <c r="V821" s="511">
        <v>0</v>
      </c>
      <c r="X821" s="38">
        <f>'[2]Приложение 1'!T817</f>
        <v>4180</v>
      </c>
      <c r="Y821" s="9">
        <f t="shared" si="190"/>
        <v>3334</v>
      </c>
      <c r="Z821" s="19">
        <f t="shared" si="191"/>
        <v>846</v>
      </c>
    </row>
    <row r="822" spans="1:26" ht="9" customHeight="1">
      <c r="A822" s="518">
        <v>115</v>
      </c>
      <c r="B822" s="751" t="s">
        <v>737</v>
      </c>
      <c r="C822" s="752" t="s">
        <v>1192</v>
      </c>
      <c r="D822" s="753" t="s">
        <v>110</v>
      </c>
      <c r="E822" s="511">
        <f t="shared" si="193"/>
        <v>5204374</v>
      </c>
      <c r="F822" s="511">
        <v>0</v>
      </c>
      <c r="G822" s="17">
        <v>0</v>
      </c>
      <c r="H822" s="754">
        <v>0</v>
      </c>
      <c r="I822" s="754">
        <v>1561</v>
      </c>
      <c r="J822" s="755"/>
      <c r="K822" s="510"/>
      <c r="L822" s="511">
        <f t="shared" si="197"/>
        <v>5204374</v>
      </c>
      <c r="M822" s="511">
        <v>0</v>
      </c>
      <c r="N822" s="511">
        <v>0</v>
      </c>
      <c r="O822" s="511">
        <v>0</v>
      </c>
      <c r="P822" s="511">
        <v>0</v>
      </c>
      <c r="Q822" s="511">
        <v>0</v>
      </c>
      <c r="R822" s="511">
        <v>0</v>
      </c>
      <c r="S822" s="511">
        <v>0</v>
      </c>
      <c r="T822" s="511">
        <v>0</v>
      </c>
      <c r="U822" s="511">
        <v>0</v>
      </c>
      <c r="V822" s="511">
        <v>0</v>
      </c>
      <c r="X822" s="38">
        <f>'[2]Приложение 1'!T818</f>
        <v>4180</v>
      </c>
      <c r="Y822" s="9">
        <f t="shared" si="190"/>
        <v>3334</v>
      </c>
      <c r="Z822" s="19">
        <f t="shared" si="191"/>
        <v>846</v>
      </c>
    </row>
    <row r="823" spans="1:26" ht="9" customHeight="1">
      <c r="A823" s="518">
        <v>116</v>
      </c>
      <c r="B823" s="751" t="s">
        <v>738</v>
      </c>
      <c r="C823" s="752" t="s">
        <v>1192</v>
      </c>
      <c r="D823" s="753" t="s">
        <v>111</v>
      </c>
      <c r="E823" s="511">
        <f t="shared" si="193"/>
        <v>2564562</v>
      </c>
      <c r="F823" s="511">
        <v>0</v>
      </c>
      <c r="G823" s="17">
        <v>0</v>
      </c>
      <c r="H823" s="754">
        <v>0</v>
      </c>
      <c r="I823" s="754">
        <v>793</v>
      </c>
      <c r="J823" s="755"/>
      <c r="K823" s="510"/>
      <c r="L823" s="511">
        <f t="shared" ref="L823:L828" si="198">ROUND(3234*I823,2)</f>
        <v>2564562</v>
      </c>
      <c r="M823" s="511">
        <v>0</v>
      </c>
      <c r="N823" s="511">
        <v>0</v>
      </c>
      <c r="O823" s="511">
        <v>0</v>
      </c>
      <c r="P823" s="511">
        <v>0</v>
      </c>
      <c r="Q823" s="511">
        <v>0</v>
      </c>
      <c r="R823" s="511">
        <v>0</v>
      </c>
      <c r="S823" s="511">
        <v>0</v>
      </c>
      <c r="T823" s="511">
        <v>0</v>
      </c>
      <c r="U823" s="511">
        <v>0</v>
      </c>
      <c r="V823" s="511">
        <v>0</v>
      </c>
      <c r="X823" s="38">
        <f>'[2]Приложение 1'!T819</f>
        <v>4180</v>
      </c>
      <c r="Y823" s="9">
        <f t="shared" si="190"/>
        <v>3234</v>
      </c>
      <c r="Z823" s="19">
        <f t="shared" si="191"/>
        <v>946</v>
      </c>
    </row>
    <row r="824" spans="1:26" ht="9" customHeight="1">
      <c r="A824" s="518">
        <v>117</v>
      </c>
      <c r="B824" s="751" t="s">
        <v>739</v>
      </c>
      <c r="C824" s="752" t="s">
        <v>1192</v>
      </c>
      <c r="D824" s="753" t="s">
        <v>111</v>
      </c>
      <c r="E824" s="511">
        <f t="shared" si="193"/>
        <v>2564562</v>
      </c>
      <c r="F824" s="511">
        <v>0</v>
      </c>
      <c r="G824" s="17">
        <v>0</v>
      </c>
      <c r="H824" s="754">
        <v>0</v>
      </c>
      <c r="I824" s="754">
        <v>793</v>
      </c>
      <c r="J824" s="755"/>
      <c r="K824" s="510"/>
      <c r="L824" s="511">
        <f t="shared" si="198"/>
        <v>2564562</v>
      </c>
      <c r="M824" s="511">
        <v>0</v>
      </c>
      <c r="N824" s="511">
        <v>0</v>
      </c>
      <c r="O824" s="511">
        <v>0</v>
      </c>
      <c r="P824" s="511">
        <v>0</v>
      </c>
      <c r="Q824" s="511">
        <v>0</v>
      </c>
      <c r="R824" s="511">
        <v>0</v>
      </c>
      <c r="S824" s="511">
        <v>0</v>
      </c>
      <c r="T824" s="511">
        <v>0</v>
      </c>
      <c r="U824" s="511">
        <v>0</v>
      </c>
      <c r="V824" s="511">
        <v>0</v>
      </c>
      <c r="X824" s="38">
        <f>'[2]Приложение 1'!T820</f>
        <v>4503.95</v>
      </c>
      <c r="Y824" s="9">
        <f t="shared" si="190"/>
        <v>3234</v>
      </c>
      <c r="Z824" s="19">
        <f t="shared" si="191"/>
        <v>1269.9499999999998</v>
      </c>
    </row>
    <row r="825" spans="1:26" ht="9" customHeight="1">
      <c r="A825" s="518">
        <v>118</v>
      </c>
      <c r="B825" s="751" t="s">
        <v>740</v>
      </c>
      <c r="C825" s="752" t="s">
        <v>1192</v>
      </c>
      <c r="D825" s="753" t="s">
        <v>111</v>
      </c>
      <c r="E825" s="511">
        <f t="shared" si="193"/>
        <v>2564562</v>
      </c>
      <c r="F825" s="511">
        <v>0</v>
      </c>
      <c r="G825" s="17">
        <v>0</v>
      </c>
      <c r="H825" s="754">
        <v>0</v>
      </c>
      <c r="I825" s="754">
        <v>793</v>
      </c>
      <c r="J825" s="755"/>
      <c r="K825" s="510"/>
      <c r="L825" s="511">
        <f t="shared" si="198"/>
        <v>2564562</v>
      </c>
      <c r="M825" s="511">
        <v>0</v>
      </c>
      <c r="N825" s="511">
        <v>0</v>
      </c>
      <c r="O825" s="511">
        <v>0</v>
      </c>
      <c r="P825" s="511">
        <v>0</v>
      </c>
      <c r="Q825" s="511">
        <v>0</v>
      </c>
      <c r="R825" s="511">
        <v>0</v>
      </c>
      <c r="S825" s="511">
        <v>0</v>
      </c>
      <c r="T825" s="511">
        <v>0</v>
      </c>
      <c r="U825" s="511">
        <v>0</v>
      </c>
      <c r="V825" s="511">
        <v>0</v>
      </c>
      <c r="X825" s="38">
        <f>'[2]Приложение 1'!T821</f>
        <v>4503.95</v>
      </c>
      <c r="Y825" s="9">
        <f t="shared" si="190"/>
        <v>3234</v>
      </c>
      <c r="Z825" s="19">
        <f t="shared" si="191"/>
        <v>1269.9499999999998</v>
      </c>
    </row>
    <row r="826" spans="1:26" ht="9" customHeight="1">
      <c r="A826" s="518">
        <v>119</v>
      </c>
      <c r="B826" s="751" t="s">
        <v>741</v>
      </c>
      <c r="C826" s="752" t="s">
        <v>1192</v>
      </c>
      <c r="D826" s="753" t="s">
        <v>111</v>
      </c>
      <c r="E826" s="511">
        <f t="shared" si="193"/>
        <v>2564562</v>
      </c>
      <c r="F826" s="511">
        <v>0</v>
      </c>
      <c r="G826" s="17">
        <v>0</v>
      </c>
      <c r="H826" s="754">
        <v>0</v>
      </c>
      <c r="I826" s="754">
        <v>793</v>
      </c>
      <c r="J826" s="755"/>
      <c r="K826" s="510"/>
      <c r="L826" s="511">
        <f t="shared" si="198"/>
        <v>2564562</v>
      </c>
      <c r="M826" s="511">
        <v>0</v>
      </c>
      <c r="N826" s="511">
        <v>0</v>
      </c>
      <c r="O826" s="511">
        <v>0</v>
      </c>
      <c r="P826" s="511">
        <v>0</v>
      </c>
      <c r="Q826" s="511">
        <v>0</v>
      </c>
      <c r="R826" s="511">
        <v>0</v>
      </c>
      <c r="S826" s="511">
        <v>0</v>
      </c>
      <c r="T826" s="511">
        <v>0</v>
      </c>
      <c r="U826" s="511">
        <v>0</v>
      </c>
      <c r="V826" s="511">
        <v>0</v>
      </c>
      <c r="X826" s="38">
        <f>'[2]Приложение 1'!T822</f>
        <v>4503.95</v>
      </c>
      <c r="Y826" s="9">
        <f t="shared" si="190"/>
        <v>3234</v>
      </c>
      <c r="Z826" s="19">
        <f t="shared" si="191"/>
        <v>1269.9499999999998</v>
      </c>
    </row>
    <row r="827" spans="1:26" ht="9" customHeight="1">
      <c r="A827" s="518">
        <v>120</v>
      </c>
      <c r="B827" s="751" t="s">
        <v>742</v>
      </c>
      <c r="C827" s="752" t="s">
        <v>1192</v>
      </c>
      <c r="D827" s="753" t="s">
        <v>111</v>
      </c>
      <c r="E827" s="511">
        <f t="shared" si="193"/>
        <v>1222452</v>
      </c>
      <c r="F827" s="511">
        <v>0</v>
      </c>
      <c r="G827" s="17">
        <v>0</v>
      </c>
      <c r="H827" s="754">
        <v>0</v>
      </c>
      <c r="I827" s="754">
        <v>378</v>
      </c>
      <c r="J827" s="755"/>
      <c r="K827" s="510"/>
      <c r="L827" s="511">
        <f t="shared" si="198"/>
        <v>1222452</v>
      </c>
      <c r="M827" s="511">
        <v>0</v>
      </c>
      <c r="N827" s="511">
        <v>0</v>
      </c>
      <c r="O827" s="511">
        <v>0</v>
      </c>
      <c r="P827" s="511">
        <v>0</v>
      </c>
      <c r="Q827" s="511">
        <v>0</v>
      </c>
      <c r="R827" s="511">
        <v>0</v>
      </c>
      <c r="S827" s="511">
        <v>0</v>
      </c>
      <c r="T827" s="511">
        <v>0</v>
      </c>
      <c r="U827" s="511">
        <v>0</v>
      </c>
      <c r="V827" s="511">
        <v>0</v>
      </c>
      <c r="X827" s="38">
        <f>'[2]Приложение 1'!T823</f>
        <v>4503.95</v>
      </c>
      <c r="Y827" s="9">
        <f t="shared" ref="Y827:Y895" si="199">L827/I827</f>
        <v>3234</v>
      </c>
      <c r="Z827" s="19">
        <f t="shared" ref="Z827:Z895" si="200">X827-Y827</f>
        <v>1269.9499999999998</v>
      </c>
    </row>
    <row r="828" spans="1:26" ht="9" customHeight="1">
      <c r="A828" s="518">
        <v>121</v>
      </c>
      <c r="B828" s="751" t="s">
        <v>743</v>
      </c>
      <c r="C828" s="752" t="s">
        <v>1192</v>
      </c>
      <c r="D828" s="753" t="s">
        <v>111</v>
      </c>
      <c r="E828" s="511">
        <f t="shared" si="193"/>
        <v>2564562</v>
      </c>
      <c r="F828" s="511">
        <v>0</v>
      </c>
      <c r="G828" s="17">
        <v>0</v>
      </c>
      <c r="H828" s="754">
        <v>0</v>
      </c>
      <c r="I828" s="754">
        <v>793</v>
      </c>
      <c r="J828" s="755"/>
      <c r="K828" s="510"/>
      <c r="L828" s="511">
        <f t="shared" si="198"/>
        <v>2564562</v>
      </c>
      <c r="M828" s="511">
        <v>0</v>
      </c>
      <c r="N828" s="511">
        <v>0</v>
      </c>
      <c r="O828" s="511">
        <v>0</v>
      </c>
      <c r="P828" s="511">
        <v>0</v>
      </c>
      <c r="Q828" s="511">
        <v>0</v>
      </c>
      <c r="R828" s="511">
        <v>0</v>
      </c>
      <c r="S828" s="511">
        <v>0</v>
      </c>
      <c r="T828" s="511">
        <v>0</v>
      </c>
      <c r="U828" s="511">
        <v>0</v>
      </c>
      <c r="V828" s="511">
        <v>0</v>
      </c>
      <c r="X828" s="38">
        <f>'[2]Приложение 1'!T824</f>
        <v>4503.95</v>
      </c>
      <c r="Y828" s="9">
        <f t="shared" si="199"/>
        <v>3234</v>
      </c>
      <c r="Z828" s="19">
        <f t="shared" si="200"/>
        <v>1269.9499999999998</v>
      </c>
    </row>
    <row r="829" spans="1:26" ht="9" customHeight="1">
      <c r="A829" s="518">
        <v>122</v>
      </c>
      <c r="B829" s="756" t="s">
        <v>744</v>
      </c>
      <c r="C829" s="757" t="s">
        <v>1192</v>
      </c>
      <c r="D829" s="758" t="s">
        <v>110</v>
      </c>
      <c r="E829" s="514">
        <f t="shared" si="193"/>
        <v>2050410</v>
      </c>
      <c r="F829" s="514">
        <v>0</v>
      </c>
      <c r="G829" s="708">
        <v>0</v>
      </c>
      <c r="H829" s="759">
        <v>0</v>
      </c>
      <c r="I829" s="759">
        <v>615</v>
      </c>
      <c r="J829" s="760"/>
      <c r="K829" s="512"/>
      <c r="L829" s="514">
        <f t="shared" ref="L829:L830" si="201">ROUND(3334*I829,2)</f>
        <v>2050410</v>
      </c>
      <c r="M829" s="514">
        <v>0</v>
      </c>
      <c r="N829" s="514">
        <v>0</v>
      </c>
      <c r="O829" s="514">
        <v>0</v>
      </c>
      <c r="P829" s="514">
        <v>0</v>
      </c>
      <c r="Q829" s="514">
        <v>0</v>
      </c>
      <c r="R829" s="514">
        <v>0</v>
      </c>
      <c r="S829" s="514">
        <v>0</v>
      </c>
      <c r="T829" s="514">
        <v>0</v>
      </c>
      <c r="U829" s="514">
        <v>0</v>
      </c>
      <c r="V829" s="514">
        <v>0</v>
      </c>
      <c r="X829" s="38">
        <f>'[2]Приложение 1'!T825</f>
        <v>4503.95</v>
      </c>
      <c r="Y829" s="9">
        <f t="shared" si="199"/>
        <v>3334</v>
      </c>
      <c r="Z829" s="19">
        <f t="shared" si="200"/>
        <v>1169.9499999999998</v>
      </c>
    </row>
    <row r="830" spans="1:26" ht="9" customHeight="1">
      <c r="A830" s="518">
        <v>123</v>
      </c>
      <c r="B830" s="761" t="s">
        <v>1066</v>
      </c>
      <c r="C830" s="762" t="s">
        <v>1192</v>
      </c>
      <c r="D830" s="763" t="s">
        <v>110</v>
      </c>
      <c r="E830" s="511">
        <f t="shared" si="193"/>
        <v>5464426</v>
      </c>
      <c r="F830" s="511">
        <v>0</v>
      </c>
      <c r="G830" s="17">
        <v>0</v>
      </c>
      <c r="H830" s="754">
        <v>0</v>
      </c>
      <c r="I830" s="754">
        <v>1639</v>
      </c>
      <c r="J830" s="755"/>
      <c r="K830" s="510"/>
      <c r="L830" s="511">
        <f t="shared" si="201"/>
        <v>5464426</v>
      </c>
      <c r="M830" s="511">
        <v>0</v>
      </c>
      <c r="N830" s="511">
        <v>0</v>
      </c>
      <c r="O830" s="511">
        <v>0</v>
      </c>
      <c r="P830" s="511">
        <v>0</v>
      </c>
      <c r="Q830" s="511">
        <v>0</v>
      </c>
      <c r="R830" s="511">
        <v>0</v>
      </c>
      <c r="S830" s="511">
        <v>0</v>
      </c>
      <c r="T830" s="511">
        <v>0</v>
      </c>
      <c r="U830" s="511">
        <v>0</v>
      </c>
      <c r="V830" s="511">
        <v>0</v>
      </c>
      <c r="X830" s="38">
        <f>'[2]Приложение 1'!T826</f>
        <v>4180</v>
      </c>
      <c r="Y830" s="9">
        <f t="shared" si="199"/>
        <v>3334</v>
      </c>
      <c r="Z830" s="19">
        <f t="shared" si="200"/>
        <v>846</v>
      </c>
    </row>
    <row r="831" spans="1:26" ht="9" customHeight="1">
      <c r="A831" s="518">
        <v>124</v>
      </c>
      <c r="B831" s="761" t="s">
        <v>1067</v>
      </c>
      <c r="C831" s="762" t="s">
        <v>1008</v>
      </c>
      <c r="D831" s="763" t="s">
        <v>110</v>
      </c>
      <c r="E831" s="511">
        <f t="shared" si="193"/>
        <v>8883812.7100000009</v>
      </c>
      <c r="F831" s="511">
        <f>ROUND(3307.5*(370+1200+270+220+303.05),2)</f>
        <v>7815787.8799999999</v>
      </c>
      <c r="G831" s="17">
        <v>0</v>
      </c>
      <c r="H831" s="754">
        <v>0</v>
      </c>
      <c r="I831" s="754">
        <v>0</v>
      </c>
      <c r="J831" s="755"/>
      <c r="K831" s="510"/>
      <c r="L831" s="511">
        <v>0</v>
      </c>
      <c r="M831" s="511">
        <v>0</v>
      </c>
      <c r="N831" s="511">
        <v>0</v>
      </c>
      <c r="O831" s="511">
        <v>0</v>
      </c>
      <c r="P831" s="511">
        <v>0</v>
      </c>
      <c r="Q831" s="511">
        <v>0</v>
      </c>
      <c r="R831" s="511">
        <v>0</v>
      </c>
      <c r="S831" s="511">
        <v>0</v>
      </c>
      <c r="T831" s="511">
        <v>0</v>
      </c>
      <c r="U831" s="511">
        <f>ROUND(3307.5*322.91,2)</f>
        <v>1068024.83</v>
      </c>
      <c r="V831" s="511">
        <v>0</v>
      </c>
      <c r="X831" s="38">
        <f>'[2]Приложение 1'!T827</f>
        <v>4180</v>
      </c>
      <c r="Y831" s="9" t="e">
        <f t="shared" si="199"/>
        <v>#DIV/0!</v>
      </c>
      <c r="Z831" s="19" t="e">
        <f t="shared" si="200"/>
        <v>#DIV/0!</v>
      </c>
    </row>
    <row r="832" spans="1:26" ht="9" customHeight="1">
      <c r="A832" s="518">
        <v>125</v>
      </c>
      <c r="B832" s="756" t="s">
        <v>1068</v>
      </c>
      <c r="C832" s="757" t="s">
        <v>1192</v>
      </c>
      <c r="D832" s="758" t="s">
        <v>110</v>
      </c>
      <c r="E832" s="514">
        <f t="shared" si="193"/>
        <v>5404414</v>
      </c>
      <c r="F832" s="514">
        <v>0</v>
      </c>
      <c r="G832" s="708">
        <v>0</v>
      </c>
      <c r="H832" s="759">
        <v>0</v>
      </c>
      <c r="I832" s="759">
        <v>1621</v>
      </c>
      <c r="J832" s="760"/>
      <c r="K832" s="512"/>
      <c r="L832" s="514">
        <f t="shared" ref="L832" si="202">ROUND(3334*I832,2)</f>
        <v>5404414</v>
      </c>
      <c r="M832" s="514">
        <v>0</v>
      </c>
      <c r="N832" s="514">
        <v>0</v>
      </c>
      <c r="O832" s="514">
        <v>0</v>
      </c>
      <c r="P832" s="514">
        <v>0</v>
      </c>
      <c r="Q832" s="514">
        <v>0</v>
      </c>
      <c r="R832" s="514">
        <v>0</v>
      </c>
      <c r="S832" s="514">
        <v>0</v>
      </c>
      <c r="T832" s="514">
        <v>0</v>
      </c>
      <c r="U832" s="514">
        <v>0</v>
      </c>
      <c r="V832" s="514">
        <v>0</v>
      </c>
      <c r="X832" s="38">
        <f>'[2]Приложение 1'!T828</f>
        <v>5307.5599999999995</v>
      </c>
      <c r="Y832" s="9">
        <f t="shared" si="199"/>
        <v>3334</v>
      </c>
      <c r="Z832" s="19">
        <f t="shared" si="200"/>
        <v>1973.5599999999995</v>
      </c>
    </row>
    <row r="833" spans="1:26" ht="9" customHeight="1">
      <c r="A833" s="518">
        <v>126</v>
      </c>
      <c r="B833" s="751" t="s">
        <v>1087</v>
      </c>
      <c r="C833" s="670"/>
      <c r="D833" s="671"/>
      <c r="E833" s="514">
        <f t="shared" si="193"/>
        <v>7854387.2000000002</v>
      </c>
      <c r="F833" s="514">
        <v>0</v>
      </c>
      <c r="G833" s="708">
        <v>4</v>
      </c>
      <c r="H833" s="511">
        <f>ROUND(G833*1963596.8,2)</f>
        <v>7854387.2000000002</v>
      </c>
      <c r="I833" s="514">
        <v>0</v>
      </c>
      <c r="J833" s="760"/>
      <c r="K833" s="512"/>
      <c r="L833" s="514">
        <v>0</v>
      </c>
      <c r="M833" s="514">
        <v>0</v>
      </c>
      <c r="N833" s="514">
        <v>0</v>
      </c>
      <c r="O833" s="514">
        <v>0</v>
      </c>
      <c r="P833" s="514">
        <v>0</v>
      </c>
      <c r="Q833" s="514">
        <v>0</v>
      </c>
      <c r="R833" s="514">
        <v>0</v>
      </c>
      <c r="S833" s="514">
        <v>0</v>
      </c>
      <c r="T833" s="514">
        <v>0</v>
      </c>
      <c r="U833" s="514">
        <v>0</v>
      </c>
      <c r="V833" s="514">
        <v>0</v>
      </c>
      <c r="X833" s="38">
        <f>'[2]Приложение 1'!T829</f>
        <v>4180</v>
      </c>
      <c r="Y833" s="9" t="e">
        <f t="shared" si="199"/>
        <v>#DIV/0!</v>
      </c>
      <c r="Z833" s="19" t="e">
        <f t="shared" si="200"/>
        <v>#DIV/0!</v>
      </c>
    </row>
    <row r="834" spans="1:26" ht="9" customHeight="1">
      <c r="A834" s="518">
        <v>127</v>
      </c>
      <c r="B834" s="751" t="s">
        <v>1088</v>
      </c>
      <c r="C834" s="670"/>
      <c r="D834" s="671"/>
      <c r="E834" s="514">
        <f t="shared" si="193"/>
        <v>9817984</v>
      </c>
      <c r="F834" s="514">
        <v>0</v>
      </c>
      <c r="G834" s="708">
        <v>5</v>
      </c>
      <c r="H834" s="511">
        <f>ROUND(G834*1963596.8,2)</f>
        <v>9817984</v>
      </c>
      <c r="I834" s="511">
        <v>0</v>
      </c>
      <c r="J834" s="760"/>
      <c r="K834" s="512"/>
      <c r="L834" s="514">
        <v>0</v>
      </c>
      <c r="M834" s="514">
        <v>0</v>
      </c>
      <c r="N834" s="514">
        <v>0</v>
      </c>
      <c r="O834" s="514">
        <v>0</v>
      </c>
      <c r="P834" s="514">
        <v>0</v>
      </c>
      <c r="Q834" s="514">
        <v>0</v>
      </c>
      <c r="R834" s="514">
        <v>0</v>
      </c>
      <c r="S834" s="514">
        <v>0</v>
      </c>
      <c r="T834" s="514">
        <v>0</v>
      </c>
      <c r="U834" s="514">
        <v>0</v>
      </c>
      <c r="V834" s="514">
        <v>0</v>
      </c>
      <c r="X834" s="38">
        <f>'[2]Приложение 1'!T830</f>
        <v>1510.7925245068081</v>
      </c>
      <c r="Y834" s="9" t="e">
        <f t="shared" si="199"/>
        <v>#DIV/0!</v>
      </c>
      <c r="Z834" s="19" t="e">
        <f t="shared" si="200"/>
        <v>#DIV/0!</v>
      </c>
    </row>
    <row r="835" spans="1:26" s="683" customFormat="1" ht="9" customHeight="1">
      <c r="A835" s="518">
        <v>128</v>
      </c>
      <c r="B835" s="633" t="s">
        <v>1110</v>
      </c>
      <c r="C835" s="807"/>
      <c r="D835" s="808"/>
      <c r="E835" s="713">
        <f t="shared" si="193"/>
        <v>10322064</v>
      </c>
      <c r="F835" s="713">
        <v>0</v>
      </c>
      <c r="G835" s="764">
        <v>0</v>
      </c>
      <c r="H835" s="713">
        <v>0</v>
      </c>
      <c r="I835" s="713">
        <v>3096</v>
      </c>
      <c r="J835" s="809"/>
      <c r="K835" s="810"/>
      <c r="L835" s="713">
        <f t="shared" ref="L835:L837" si="203">ROUND(3334*I835,2)</f>
        <v>10322064</v>
      </c>
      <c r="M835" s="713">
        <v>0</v>
      </c>
      <c r="N835" s="713">
        <v>0</v>
      </c>
      <c r="O835" s="713">
        <v>0</v>
      </c>
      <c r="P835" s="713">
        <v>0</v>
      </c>
      <c r="Q835" s="713">
        <v>0</v>
      </c>
      <c r="R835" s="713">
        <v>0</v>
      </c>
      <c r="S835" s="713">
        <v>0</v>
      </c>
      <c r="T835" s="713">
        <v>0</v>
      </c>
      <c r="U835" s="713">
        <v>0</v>
      </c>
      <c r="V835" s="713">
        <v>0</v>
      </c>
      <c r="X835" s="684"/>
      <c r="Z835" s="685"/>
    </row>
    <row r="836" spans="1:26" s="683" customFormat="1" ht="9" customHeight="1">
      <c r="A836" s="518">
        <v>129</v>
      </c>
      <c r="B836" s="816" t="s">
        <v>1111</v>
      </c>
      <c r="C836" s="678"/>
      <c r="D836" s="679"/>
      <c r="E836" s="680">
        <f t="shared" ref="E836:E838" si="204">F836+H836+L836+N836+P836+R836+S836+T836+U836+V836</f>
        <v>4037474</v>
      </c>
      <c r="F836" s="680">
        <v>0</v>
      </c>
      <c r="G836" s="681">
        <v>0</v>
      </c>
      <c r="H836" s="680">
        <v>0</v>
      </c>
      <c r="I836" s="680">
        <v>1211</v>
      </c>
      <c r="J836" s="682"/>
      <c r="K836" s="676"/>
      <c r="L836" s="680">
        <f t="shared" si="203"/>
        <v>4037474</v>
      </c>
      <c r="M836" s="680">
        <v>0</v>
      </c>
      <c r="N836" s="680">
        <v>0</v>
      </c>
      <c r="O836" s="680">
        <v>0</v>
      </c>
      <c r="P836" s="680">
        <v>0</v>
      </c>
      <c r="Q836" s="680">
        <v>0</v>
      </c>
      <c r="R836" s="680">
        <v>0</v>
      </c>
      <c r="S836" s="680">
        <v>0</v>
      </c>
      <c r="T836" s="680">
        <v>0</v>
      </c>
      <c r="U836" s="680">
        <v>0</v>
      </c>
      <c r="V836" s="680">
        <v>0</v>
      </c>
      <c r="X836" s="684"/>
      <c r="Z836" s="685"/>
    </row>
    <row r="837" spans="1:26" s="683" customFormat="1" ht="9" customHeight="1">
      <c r="A837" s="518">
        <v>130</v>
      </c>
      <c r="B837" s="816" t="s">
        <v>1112</v>
      </c>
      <c r="C837" s="678"/>
      <c r="D837" s="679"/>
      <c r="E837" s="680">
        <f t="shared" si="204"/>
        <v>2440488</v>
      </c>
      <c r="F837" s="680">
        <v>0</v>
      </c>
      <c r="G837" s="681">
        <v>0</v>
      </c>
      <c r="H837" s="680">
        <v>0</v>
      </c>
      <c r="I837" s="680">
        <v>732</v>
      </c>
      <c r="J837" s="682"/>
      <c r="K837" s="676"/>
      <c r="L837" s="680">
        <f t="shared" si="203"/>
        <v>2440488</v>
      </c>
      <c r="M837" s="680">
        <v>0</v>
      </c>
      <c r="N837" s="680">
        <v>0</v>
      </c>
      <c r="O837" s="680">
        <v>0</v>
      </c>
      <c r="P837" s="680">
        <v>0</v>
      </c>
      <c r="Q837" s="680">
        <v>0</v>
      </c>
      <c r="R837" s="680">
        <v>0</v>
      </c>
      <c r="S837" s="680">
        <v>0</v>
      </c>
      <c r="T837" s="680">
        <v>0</v>
      </c>
      <c r="U837" s="680">
        <v>0</v>
      </c>
      <c r="V837" s="680">
        <v>0</v>
      </c>
      <c r="X837" s="684"/>
      <c r="Z837" s="685"/>
    </row>
    <row r="838" spans="1:26" s="683" customFormat="1" ht="9" customHeight="1">
      <c r="A838" s="518">
        <v>131</v>
      </c>
      <c r="B838" s="816" t="s">
        <v>1113</v>
      </c>
      <c r="C838" s="678"/>
      <c r="D838" s="679"/>
      <c r="E838" s="680">
        <f t="shared" si="204"/>
        <v>3654420</v>
      </c>
      <c r="F838" s="680">
        <v>0</v>
      </c>
      <c r="G838" s="681">
        <v>0</v>
      </c>
      <c r="H838" s="680">
        <v>0</v>
      </c>
      <c r="I838" s="680">
        <v>1130</v>
      </c>
      <c r="J838" s="682"/>
      <c r="K838" s="676"/>
      <c r="L838" s="680">
        <f>ROUND(3234*I838,2)</f>
        <v>3654420</v>
      </c>
      <c r="M838" s="680">
        <v>0</v>
      </c>
      <c r="N838" s="680">
        <v>0</v>
      </c>
      <c r="O838" s="680">
        <v>0</v>
      </c>
      <c r="P838" s="680">
        <v>0</v>
      </c>
      <c r="Q838" s="680">
        <v>0</v>
      </c>
      <c r="R838" s="680">
        <v>0</v>
      </c>
      <c r="S838" s="680">
        <v>0</v>
      </c>
      <c r="T838" s="680">
        <v>0</v>
      </c>
      <c r="U838" s="680">
        <v>0</v>
      </c>
      <c r="V838" s="680">
        <v>0</v>
      </c>
      <c r="X838" s="684"/>
      <c r="Z838" s="685"/>
    </row>
    <row r="839" spans="1:26" s="683" customFormat="1" ht="9" customHeight="1">
      <c r="A839" s="518">
        <v>132</v>
      </c>
      <c r="B839" s="816" t="s">
        <v>1162</v>
      </c>
      <c r="C839" s="678"/>
      <c r="D839" s="679"/>
      <c r="E839" s="680">
        <f t="shared" ref="E839" si="205">F839+H839+L839+N839+P839+R839+S839+T839+U839+V839</f>
        <v>5271420</v>
      </c>
      <c r="F839" s="680">
        <v>0</v>
      </c>
      <c r="G839" s="681">
        <v>0</v>
      </c>
      <c r="H839" s="680">
        <v>0</v>
      </c>
      <c r="I839" s="680">
        <v>1630</v>
      </c>
      <c r="J839" s="682"/>
      <c r="K839" s="676"/>
      <c r="L839" s="680">
        <f>ROUND(3234*I839,2)</f>
        <v>5271420</v>
      </c>
      <c r="M839" s="680">
        <v>0</v>
      </c>
      <c r="N839" s="680">
        <v>0</v>
      </c>
      <c r="O839" s="680">
        <v>0</v>
      </c>
      <c r="P839" s="680">
        <v>0</v>
      </c>
      <c r="Q839" s="680">
        <v>0</v>
      </c>
      <c r="R839" s="680">
        <v>0</v>
      </c>
      <c r="S839" s="680">
        <v>0</v>
      </c>
      <c r="T839" s="680">
        <v>0</v>
      </c>
      <c r="U839" s="680">
        <v>0</v>
      </c>
      <c r="V839" s="680">
        <v>0</v>
      </c>
      <c r="X839" s="684"/>
      <c r="Z839" s="685"/>
    </row>
    <row r="840" spans="1:26" ht="9.75" customHeight="1">
      <c r="A840" s="882" t="s">
        <v>221</v>
      </c>
      <c r="B840" s="882"/>
      <c r="C840" s="882"/>
      <c r="D840" s="882"/>
      <c r="E840" s="882"/>
      <c r="F840" s="882"/>
      <c r="G840" s="882"/>
      <c r="H840" s="882"/>
      <c r="I840" s="882"/>
      <c r="J840" s="882"/>
      <c r="K840" s="882"/>
      <c r="L840" s="882"/>
      <c r="M840" s="882"/>
      <c r="N840" s="882"/>
      <c r="O840" s="882"/>
      <c r="P840" s="882"/>
      <c r="Q840" s="882"/>
      <c r="R840" s="882"/>
      <c r="S840" s="882"/>
      <c r="T840" s="882"/>
      <c r="U840" s="882"/>
      <c r="V840" s="882"/>
      <c r="X840" s="38">
        <f>'[2]Приложение 1'!T835</f>
        <v>4503.95</v>
      </c>
      <c r="Y840" s="9" t="e">
        <f t="shared" si="199"/>
        <v>#DIV/0!</v>
      </c>
      <c r="Z840" s="19" t="e">
        <f t="shared" si="200"/>
        <v>#DIV/0!</v>
      </c>
    </row>
    <row r="841" spans="1:26" ht="22.5" customHeight="1">
      <c r="A841" s="900" t="s">
        <v>220</v>
      </c>
      <c r="B841" s="900"/>
      <c r="C841" s="58"/>
      <c r="D841" s="58"/>
      <c r="E841" s="519">
        <f t="shared" ref="E841:V841" si="206">SUM(E842:E848)</f>
        <v>27471625.599999998</v>
      </c>
      <c r="F841" s="519">
        <f t="shared" si="206"/>
        <v>0</v>
      </c>
      <c r="G841" s="17">
        <f t="shared" si="206"/>
        <v>0</v>
      </c>
      <c r="H841" s="519">
        <f t="shared" si="206"/>
        <v>0</v>
      </c>
      <c r="I841" s="519">
        <f>SUM(I842:I848)</f>
        <v>8348.4000000000015</v>
      </c>
      <c r="J841" s="519">
        <f t="shared" si="206"/>
        <v>0</v>
      </c>
      <c r="K841" s="519">
        <f t="shared" si="206"/>
        <v>0</v>
      </c>
      <c r="L841" s="519">
        <f t="shared" si="206"/>
        <v>27471625.599999998</v>
      </c>
      <c r="M841" s="519">
        <f t="shared" si="206"/>
        <v>0</v>
      </c>
      <c r="N841" s="519">
        <f t="shared" si="206"/>
        <v>0</v>
      </c>
      <c r="O841" s="519">
        <f t="shared" si="206"/>
        <v>0</v>
      </c>
      <c r="P841" s="519">
        <f t="shared" si="206"/>
        <v>0</v>
      </c>
      <c r="Q841" s="519">
        <f t="shared" si="206"/>
        <v>0</v>
      </c>
      <c r="R841" s="519">
        <f t="shared" si="206"/>
        <v>0</v>
      </c>
      <c r="S841" s="519">
        <f t="shared" si="206"/>
        <v>0</v>
      </c>
      <c r="T841" s="519">
        <f t="shared" si="206"/>
        <v>0</v>
      </c>
      <c r="U841" s="519">
        <f t="shared" si="206"/>
        <v>0</v>
      </c>
      <c r="V841" s="519">
        <f t="shared" si="206"/>
        <v>0</v>
      </c>
      <c r="X841" s="38">
        <f>'[2]Приложение 1'!T836</f>
        <v>0</v>
      </c>
      <c r="Y841" s="9">
        <f t="shared" si="199"/>
        <v>3290.6455847827119</v>
      </c>
      <c r="Z841" s="19">
        <f t="shared" si="200"/>
        <v>-3290.6455847827119</v>
      </c>
    </row>
    <row r="842" spans="1:26" ht="9" customHeight="1">
      <c r="A842" s="57">
        <v>128</v>
      </c>
      <c r="B842" s="817" t="s">
        <v>755</v>
      </c>
      <c r="C842" s="818" t="s">
        <v>1192</v>
      </c>
      <c r="D842" s="819" t="s">
        <v>111</v>
      </c>
      <c r="E842" s="519">
        <f t="shared" ref="E842:E848" si="207">F842+H842+L842+N842+P842+R842+S842+T842+U842+V842</f>
        <v>1911617.4</v>
      </c>
      <c r="F842" s="519">
        <v>0</v>
      </c>
      <c r="G842" s="17">
        <v>0</v>
      </c>
      <c r="H842" s="519">
        <v>0</v>
      </c>
      <c r="I842" s="519">
        <v>591.1</v>
      </c>
      <c r="J842" s="519"/>
      <c r="K842" s="519"/>
      <c r="L842" s="519">
        <f>ROUND(3234*I842,2)</f>
        <v>1911617.4</v>
      </c>
      <c r="M842" s="519">
        <v>0</v>
      </c>
      <c r="N842" s="519">
        <v>0</v>
      </c>
      <c r="O842" s="519">
        <v>0</v>
      </c>
      <c r="P842" s="519">
        <v>0</v>
      </c>
      <c r="Q842" s="519">
        <v>0</v>
      </c>
      <c r="R842" s="519">
        <v>0</v>
      </c>
      <c r="S842" s="519">
        <v>0</v>
      </c>
      <c r="T842" s="519">
        <v>0</v>
      </c>
      <c r="U842" s="519">
        <v>0</v>
      </c>
      <c r="V842" s="519">
        <v>0</v>
      </c>
      <c r="X842" s="38">
        <f>'[2]Приложение 1'!T837</f>
        <v>0</v>
      </c>
      <c r="Y842" s="9">
        <f t="shared" si="199"/>
        <v>3233.9999999999995</v>
      </c>
      <c r="Z842" s="19">
        <f t="shared" si="200"/>
        <v>-3233.9999999999995</v>
      </c>
    </row>
    <row r="843" spans="1:26" ht="9" customHeight="1">
      <c r="A843" s="57">
        <v>129</v>
      </c>
      <c r="B843" s="817" t="s">
        <v>756</v>
      </c>
      <c r="C843" s="818" t="s">
        <v>1192</v>
      </c>
      <c r="D843" s="819" t="s">
        <v>110</v>
      </c>
      <c r="E843" s="519">
        <f t="shared" si="207"/>
        <v>2812895.8</v>
      </c>
      <c r="F843" s="519">
        <v>0</v>
      </c>
      <c r="G843" s="17">
        <v>0</v>
      </c>
      <c r="H843" s="519">
        <v>0</v>
      </c>
      <c r="I843" s="519">
        <v>843.7</v>
      </c>
      <c r="J843" s="519"/>
      <c r="K843" s="519"/>
      <c r="L843" s="519">
        <f t="shared" ref="L843:L845" si="208">ROUND(3334*I843,2)</f>
        <v>2812895.8</v>
      </c>
      <c r="M843" s="519">
        <v>0</v>
      </c>
      <c r="N843" s="519">
        <v>0</v>
      </c>
      <c r="O843" s="519">
        <v>0</v>
      </c>
      <c r="P843" s="519">
        <v>0</v>
      </c>
      <c r="Q843" s="519">
        <v>0</v>
      </c>
      <c r="R843" s="519">
        <v>0</v>
      </c>
      <c r="S843" s="519">
        <v>0</v>
      </c>
      <c r="T843" s="519">
        <v>0</v>
      </c>
      <c r="U843" s="519">
        <v>0</v>
      </c>
      <c r="V843" s="519">
        <v>0</v>
      </c>
      <c r="X843" s="38">
        <f>'[2]Приложение 1'!T838</f>
        <v>4503.95</v>
      </c>
      <c r="Y843" s="9">
        <f t="shared" si="199"/>
        <v>3333.9999999999995</v>
      </c>
      <c r="Z843" s="19">
        <f t="shared" si="200"/>
        <v>1169.9500000000003</v>
      </c>
    </row>
    <row r="844" spans="1:26" ht="9" customHeight="1">
      <c r="A844" s="57">
        <v>130</v>
      </c>
      <c r="B844" s="817" t="s">
        <v>757</v>
      </c>
      <c r="C844" s="818" t="s">
        <v>1192</v>
      </c>
      <c r="D844" s="819" t="s">
        <v>110</v>
      </c>
      <c r="E844" s="519">
        <f t="shared" si="207"/>
        <v>6842701.5999999996</v>
      </c>
      <c r="F844" s="519">
        <v>0</v>
      </c>
      <c r="G844" s="17">
        <v>0</v>
      </c>
      <c r="H844" s="519">
        <v>0</v>
      </c>
      <c r="I844" s="519">
        <v>2052.4</v>
      </c>
      <c r="J844" s="519"/>
      <c r="K844" s="519"/>
      <c r="L844" s="519">
        <f t="shared" si="208"/>
        <v>6842701.5999999996</v>
      </c>
      <c r="M844" s="519">
        <v>0</v>
      </c>
      <c r="N844" s="519">
        <v>0</v>
      </c>
      <c r="O844" s="519">
        <v>0</v>
      </c>
      <c r="P844" s="519">
        <v>0</v>
      </c>
      <c r="Q844" s="519">
        <v>0</v>
      </c>
      <c r="R844" s="519">
        <v>0</v>
      </c>
      <c r="S844" s="519">
        <v>0</v>
      </c>
      <c r="T844" s="519">
        <v>0</v>
      </c>
      <c r="U844" s="519">
        <v>0</v>
      </c>
      <c r="V844" s="519">
        <v>0</v>
      </c>
      <c r="X844" s="38">
        <f>'[2]Приложение 1'!T839</f>
        <v>4180</v>
      </c>
      <c r="Y844" s="9">
        <f t="shared" si="199"/>
        <v>3333.9999999999995</v>
      </c>
      <c r="Z844" s="19">
        <f t="shared" si="200"/>
        <v>846.00000000000045</v>
      </c>
    </row>
    <row r="845" spans="1:26" ht="9" customHeight="1">
      <c r="A845" s="57">
        <v>131</v>
      </c>
      <c r="B845" s="817" t="s">
        <v>758</v>
      </c>
      <c r="C845" s="818" t="s">
        <v>1192</v>
      </c>
      <c r="D845" s="819" t="s">
        <v>110</v>
      </c>
      <c r="E845" s="519">
        <f t="shared" si="207"/>
        <v>6110888.5999999996</v>
      </c>
      <c r="F845" s="519">
        <v>0</v>
      </c>
      <c r="G845" s="17">
        <v>0</v>
      </c>
      <c r="H845" s="519">
        <v>0</v>
      </c>
      <c r="I845" s="519">
        <v>1832.9</v>
      </c>
      <c r="J845" s="519"/>
      <c r="K845" s="519"/>
      <c r="L845" s="519">
        <f t="shared" si="208"/>
        <v>6110888.5999999996</v>
      </c>
      <c r="M845" s="519">
        <v>0</v>
      </c>
      <c r="N845" s="519">
        <v>0</v>
      </c>
      <c r="O845" s="519">
        <v>0</v>
      </c>
      <c r="P845" s="519">
        <v>0</v>
      </c>
      <c r="Q845" s="519">
        <v>0</v>
      </c>
      <c r="R845" s="519">
        <v>0</v>
      </c>
      <c r="S845" s="519">
        <v>0</v>
      </c>
      <c r="T845" s="519">
        <v>0</v>
      </c>
      <c r="U845" s="519">
        <v>0</v>
      </c>
      <c r="V845" s="519">
        <v>0</v>
      </c>
      <c r="X845" s="38">
        <f>'[2]Приложение 1'!T840</f>
        <v>4180</v>
      </c>
      <c r="Y845" s="9">
        <f t="shared" si="199"/>
        <v>3333.9999999999995</v>
      </c>
      <c r="Z845" s="19">
        <f t="shared" si="200"/>
        <v>846.00000000000045</v>
      </c>
    </row>
    <row r="846" spans="1:26" ht="9" customHeight="1">
      <c r="A846" s="57">
        <v>132</v>
      </c>
      <c r="B846" s="817" t="s">
        <v>759</v>
      </c>
      <c r="C846" s="818" t="s">
        <v>1192</v>
      </c>
      <c r="D846" s="819" t="s">
        <v>111</v>
      </c>
      <c r="E846" s="519">
        <f t="shared" si="207"/>
        <v>3069389.4</v>
      </c>
      <c r="F846" s="519">
        <v>0</v>
      </c>
      <c r="G846" s="17">
        <v>0</v>
      </c>
      <c r="H846" s="519">
        <v>0</v>
      </c>
      <c r="I846" s="519">
        <v>949.1</v>
      </c>
      <c r="J846" s="519"/>
      <c r="K846" s="519"/>
      <c r="L846" s="519">
        <f>ROUND(3234*I846,2)</f>
        <v>3069389.4</v>
      </c>
      <c r="M846" s="519">
        <v>0</v>
      </c>
      <c r="N846" s="519">
        <v>0</v>
      </c>
      <c r="O846" s="519">
        <v>0</v>
      </c>
      <c r="P846" s="519">
        <v>0</v>
      </c>
      <c r="Q846" s="519">
        <v>0</v>
      </c>
      <c r="R846" s="519">
        <v>0</v>
      </c>
      <c r="S846" s="519">
        <v>0</v>
      </c>
      <c r="T846" s="519">
        <v>0</v>
      </c>
      <c r="U846" s="519">
        <v>0</v>
      </c>
      <c r="V846" s="519">
        <v>0</v>
      </c>
      <c r="X846" s="38">
        <f>'[2]Приложение 1'!T841</f>
        <v>4180</v>
      </c>
      <c r="Y846" s="9">
        <f t="shared" si="199"/>
        <v>3234</v>
      </c>
      <c r="Z846" s="19">
        <f t="shared" si="200"/>
        <v>946</v>
      </c>
    </row>
    <row r="847" spans="1:26" ht="9" customHeight="1">
      <c r="A847" s="57">
        <v>133</v>
      </c>
      <c r="B847" s="817" t="s">
        <v>760</v>
      </c>
      <c r="C847" s="818" t="s">
        <v>1192</v>
      </c>
      <c r="D847" s="819" t="s">
        <v>111</v>
      </c>
      <c r="E847" s="519">
        <f t="shared" si="207"/>
        <v>3069712.8</v>
      </c>
      <c r="F847" s="519">
        <v>0</v>
      </c>
      <c r="G847" s="17">
        <v>0</v>
      </c>
      <c r="H847" s="519">
        <v>0</v>
      </c>
      <c r="I847" s="519">
        <v>949.2</v>
      </c>
      <c r="J847" s="519"/>
      <c r="K847" s="519"/>
      <c r="L847" s="519">
        <f>ROUND(3234*I847,2)</f>
        <v>3069712.8</v>
      </c>
      <c r="M847" s="519">
        <v>0</v>
      </c>
      <c r="N847" s="519">
        <v>0</v>
      </c>
      <c r="O847" s="519">
        <v>0</v>
      </c>
      <c r="P847" s="519">
        <v>0</v>
      </c>
      <c r="Q847" s="519">
        <v>0</v>
      </c>
      <c r="R847" s="519">
        <v>0</v>
      </c>
      <c r="S847" s="519">
        <v>0</v>
      </c>
      <c r="T847" s="519">
        <v>0</v>
      </c>
      <c r="U847" s="519">
        <v>0</v>
      </c>
      <c r="V847" s="519">
        <v>0</v>
      </c>
      <c r="X847" s="38">
        <f>'[2]Приложение 1'!T842</f>
        <v>4503.95</v>
      </c>
      <c r="Y847" s="9">
        <f t="shared" si="199"/>
        <v>3233.9999999999995</v>
      </c>
      <c r="Z847" s="19">
        <f t="shared" si="200"/>
        <v>1269.9500000000003</v>
      </c>
    </row>
    <row r="848" spans="1:26" ht="9" customHeight="1">
      <c r="A848" s="811">
        <v>134</v>
      </c>
      <c r="B848" s="812" t="s">
        <v>761</v>
      </c>
      <c r="C848" s="813" t="s">
        <v>1192</v>
      </c>
      <c r="D848" s="814" t="s">
        <v>111</v>
      </c>
      <c r="E848" s="520">
        <f t="shared" si="207"/>
        <v>3654420</v>
      </c>
      <c r="F848" s="520">
        <v>0</v>
      </c>
      <c r="G848" s="815">
        <v>0</v>
      </c>
      <c r="H848" s="520">
        <v>0</v>
      </c>
      <c r="I848" s="520">
        <v>1130</v>
      </c>
      <c r="J848" s="520"/>
      <c r="K848" s="520"/>
      <c r="L848" s="520">
        <f>ROUND(3234*I848,2)</f>
        <v>3654420</v>
      </c>
      <c r="M848" s="520">
        <v>0</v>
      </c>
      <c r="N848" s="520">
        <v>0</v>
      </c>
      <c r="O848" s="520">
        <v>0</v>
      </c>
      <c r="P848" s="520">
        <v>0</v>
      </c>
      <c r="Q848" s="520">
        <v>0</v>
      </c>
      <c r="R848" s="520">
        <v>0</v>
      </c>
      <c r="S848" s="520">
        <v>0</v>
      </c>
      <c r="T848" s="520">
        <v>0</v>
      </c>
      <c r="U848" s="520">
        <v>0</v>
      </c>
      <c r="V848" s="520">
        <v>0</v>
      </c>
      <c r="X848" s="38">
        <f>'[2]Приложение 1'!T843</f>
        <v>4503.95</v>
      </c>
      <c r="Y848" s="9">
        <f t="shared" si="199"/>
        <v>3234</v>
      </c>
      <c r="Z848" s="19">
        <f t="shared" si="200"/>
        <v>1269.9499999999998</v>
      </c>
    </row>
    <row r="849" spans="1:26">
      <c r="A849" s="882" t="s">
        <v>232</v>
      </c>
      <c r="B849" s="882"/>
      <c r="C849" s="882"/>
      <c r="D849" s="882"/>
      <c r="E849" s="882"/>
      <c r="F849" s="882"/>
      <c r="G849" s="882"/>
      <c r="H849" s="882"/>
      <c r="I849" s="882"/>
      <c r="J849" s="882"/>
      <c r="K849" s="882"/>
      <c r="L849" s="882"/>
      <c r="M849" s="882"/>
      <c r="N849" s="882"/>
      <c r="O849" s="882"/>
      <c r="P849" s="882"/>
      <c r="Q849" s="882"/>
      <c r="R849" s="882"/>
      <c r="S849" s="882"/>
      <c r="T849" s="882"/>
      <c r="U849" s="882"/>
      <c r="V849" s="882"/>
      <c r="X849" s="38">
        <f>'[2]Приложение 1'!T844</f>
        <v>4503.95</v>
      </c>
      <c r="Y849" s="9" t="e">
        <f t="shared" si="199"/>
        <v>#DIV/0!</v>
      </c>
      <c r="Z849" s="19" t="e">
        <f t="shared" si="200"/>
        <v>#DIV/0!</v>
      </c>
    </row>
    <row r="850" spans="1:26" ht="24.75" customHeight="1">
      <c r="A850" s="900" t="s">
        <v>239</v>
      </c>
      <c r="B850" s="900"/>
      <c r="C850" s="58"/>
      <c r="D850" s="58"/>
      <c r="E850" s="511">
        <f>SUM(E851:E862)</f>
        <v>45220080</v>
      </c>
      <c r="F850" s="511">
        <f t="shared" ref="F850:V850" si="209">SUM(F851:F862)</f>
        <v>0</v>
      </c>
      <c r="G850" s="17">
        <f t="shared" si="209"/>
        <v>0</v>
      </c>
      <c r="H850" s="511">
        <f t="shared" si="209"/>
        <v>0</v>
      </c>
      <c r="I850" s="511">
        <f>SUM(I851:I862)</f>
        <v>13570</v>
      </c>
      <c r="J850" s="511">
        <f t="shared" si="209"/>
        <v>0</v>
      </c>
      <c r="K850" s="511">
        <f t="shared" si="209"/>
        <v>0</v>
      </c>
      <c r="L850" s="511">
        <f t="shared" si="209"/>
        <v>45220080</v>
      </c>
      <c r="M850" s="511">
        <f t="shared" si="209"/>
        <v>0</v>
      </c>
      <c r="N850" s="511">
        <f t="shared" si="209"/>
        <v>0</v>
      </c>
      <c r="O850" s="511">
        <f t="shared" si="209"/>
        <v>0</v>
      </c>
      <c r="P850" s="511">
        <f t="shared" si="209"/>
        <v>0</v>
      </c>
      <c r="Q850" s="511">
        <f t="shared" si="209"/>
        <v>0</v>
      </c>
      <c r="R850" s="511">
        <f t="shared" si="209"/>
        <v>0</v>
      </c>
      <c r="S850" s="511">
        <f t="shared" si="209"/>
        <v>0</v>
      </c>
      <c r="T850" s="511">
        <f t="shared" si="209"/>
        <v>0</v>
      </c>
      <c r="U850" s="511">
        <f t="shared" si="209"/>
        <v>0</v>
      </c>
      <c r="V850" s="511">
        <f t="shared" si="209"/>
        <v>0</v>
      </c>
      <c r="X850" s="38">
        <f>'[2]Приложение 1'!T845</f>
        <v>0</v>
      </c>
      <c r="Y850" s="9">
        <f t="shared" si="199"/>
        <v>3332.3566691230658</v>
      </c>
      <c r="Z850" s="19">
        <f t="shared" si="200"/>
        <v>-3332.3566691230658</v>
      </c>
    </row>
    <row r="851" spans="1:26" ht="9" customHeight="1">
      <c r="A851" s="510">
        <v>135</v>
      </c>
      <c r="B851" s="765" t="s">
        <v>777</v>
      </c>
      <c r="C851" s="766" t="s">
        <v>1192</v>
      </c>
      <c r="D851" s="767" t="s">
        <v>110</v>
      </c>
      <c r="E851" s="511">
        <f t="shared" ref="E851:E862" si="210">F851+H851+L851+N851+P851+R851+S851+T851+U851+V851</f>
        <v>3990798</v>
      </c>
      <c r="F851" s="511">
        <v>0</v>
      </c>
      <c r="G851" s="17">
        <v>0</v>
      </c>
      <c r="H851" s="511">
        <v>0</v>
      </c>
      <c r="I851" s="18">
        <v>1197</v>
      </c>
      <c r="J851" s="18"/>
      <c r="K851" s="18"/>
      <c r="L851" s="511">
        <f t="shared" ref="L851:L861" si="211">ROUND(3334*I851,2)</f>
        <v>3990798</v>
      </c>
      <c r="M851" s="511">
        <v>0</v>
      </c>
      <c r="N851" s="511">
        <v>0</v>
      </c>
      <c r="O851" s="511">
        <v>0</v>
      </c>
      <c r="P851" s="511">
        <v>0</v>
      </c>
      <c r="Q851" s="511">
        <v>0</v>
      </c>
      <c r="R851" s="511">
        <v>0</v>
      </c>
      <c r="S851" s="511">
        <v>0</v>
      </c>
      <c r="T851" s="511">
        <v>0</v>
      </c>
      <c r="U851" s="511">
        <v>0</v>
      </c>
      <c r="V851" s="511">
        <v>0</v>
      </c>
      <c r="X851" s="38">
        <f>'[2]Приложение 1'!T846</f>
        <v>0</v>
      </c>
      <c r="Y851" s="9">
        <f t="shared" si="199"/>
        <v>3334</v>
      </c>
      <c r="Z851" s="19">
        <f t="shared" si="200"/>
        <v>-3334</v>
      </c>
    </row>
    <row r="852" spans="1:26" ht="9" customHeight="1">
      <c r="A852" s="510">
        <v>136</v>
      </c>
      <c r="B852" s="765" t="s">
        <v>778</v>
      </c>
      <c r="C852" s="766" t="s">
        <v>1192</v>
      </c>
      <c r="D852" s="767" t="s">
        <v>110</v>
      </c>
      <c r="E852" s="511">
        <f t="shared" si="210"/>
        <v>2683870</v>
      </c>
      <c r="F852" s="511">
        <v>0</v>
      </c>
      <c r="G852" s="17">
        <v>0</v>
      </c>
      <c r="H852" s="511">
        <v>0</v>
      </c>
      <c r="I852" s="18">
        <v>805</v>
      </c>
      <c r="J852" s="18"/>
      <c r="K852" s="18"/>
      <c r="L852" s="511">
        <f t="shared" si="211"/>
        <v>2683870</v>
      </c>
      <c r="M852" s="511">
        <v>0</v>
      </c>
      <c r="N852" s="511">
        <v>0</v>
      </c>
      <c r="O852" s="511">
        <v>0</v>
      </c>
      <c r="P852" s="511">
        <v>0</v>
      </c>
      <c r="Q852" s="511">
        <v>0</v>
      </c>
      <c r="R852" s="511">
        <v>0</v>
      </c>
      <c r="S852" s="511">
        <v>0</v>
      </c>
      <c r="T852" s="511">
        <v>0</v>
      </c>
      <c r="U852" s="511">
        <v>0</v>
      </c>
      <c r="V852" s="511">
        <v>0</v>
      </c>
      <c r="X852" s="38">
        <f>'[2]Приложение 1'!T847</f>
        <v>4180</v>
      </c>
      <c r="Y852" s="9">
        <f t="shared" si="199"/>
        <v>3334</v>
      </c>
      <c r="Z852" s="19">
        <f t="shared" si="200"/>
        <v>846</v>
      </c>
    </row>
    <row r="853" spans="1:26" ht="9" customHeight="1">
      <c r="A853" s="510">
        <v>137</v>
      </c>
      <c r="B853" s="765" t="s">
        <v>779</v>
      </c>
      <c r="C853" s="766" t="s">
        <v>1192</v>
      </c>
      <c r="D853" s="767" t="s">
        <v>110</v>
      </c>
      <c r="E853" s="511">
        <f t="shared" si="210"/>
        <v>6688004</v>
      </c>
      <c r="F853" s="511">
        <v>0</v>
      </c>
      <c r="G853" s="17">
        <v>0</v>
      </c>
      <c r="H853" s="511">
        <v>0</v>
      </c>
      <c r="I853" s="18">
        <v>2006</v>
      </c>
      <c r="J853" s="18"/>
      <c r="K853" s="18"/>
      <c r="L853" s="511">
        <f t="shared" si="211"/>
        <v>6688004</v>
      </c>
      <c r="M853" s="511">
        <v>0</v>
      </c>
      <c r="N853" s="511">
        <v>0</v>
      </c>
      <c r="O853" s="511">
        <v>0</v>
      </c>
      <c r="P853" s="511">
        <v>0</v>
      </c>
      <c r="Q853" s="511">
        <v>0</v>
      </c>
      <c r="R853" s="511">
        <v>0</v>
      </c>
      <c r="S853" s="511">
        <v>0</v>
      </c>
      <c r="T853" s="511">
        <v>0</v>
      </c>
      <c r="U853" s="511">
        <v>0</v>
      </c>
      <c r="V853" s="511">
        <v>0</v>
      </c>
      <c r="X853" s="38">
        <f>'[2]Приложение 1'!T848</f>
        <v>4180</v>
      </c>
      <c r="Y853" s="9">
        <f t="shared" si="199"/>
        <v>3334</v>
      </c>
      <c r="Z853" s="19">
        <f t="shared" si="200"/>
        <v>846</v>
      </c>
    </row>
    <row r="854" spans="1:26" ht="9" customHeight="1">
      <c r="A854" s="510">
        <v>138</v>
      </c>
      <c r="B854" s="765" t="s">
        <v>780</v>
      </c>
      <c r="C854" s="766" t="s">
        <v>1192</v>
      </c>
      <c r="D854" s="767" t="s">
        <v>110</v>
      </c>
      <c r="E854" s="511">
        <f t="shared" si="210"/>
        <v>4044142</v>
      </c>
      <c r="F854" s="511">
        <v>0</v>
      </c>
      <c r="G854" s="17">
        <v>0</v>
      </c>
      <c r="H854" s="511">
        <v>0</v>
      </c>
      <c r="I854" s="18">
        <v>1213</v>
      </c>
      <c r="J854" s="18"/>
      <c r="K854" s="18"/>
      <c r="L854" s="511">
        <f t="shared" si="211"/>
        <v>4044142</v>
      </c>
      <c r="M854" s="511">
        <v>0</v>
      </c>
      <c r="N854" s="511">
        <v>0</v>
      </c>
      <c r="O854" s="511">
        <v>0</v>
      </c>
      <c r="P854" s="511">
        <v>0</v>
      </c>
      <c r="Q854" s="511">
        <v>0</v>
      </c>
      <c r="R854" s="511">
        <v>0</v>
      </c>
      <c r="S854" s="511">
        <v>0</v>
      </c>
      <c r="T854" s="511">
        <v>0</v>
      </c>
      <c r="U854" s="511">
        <v>0</v>
      </c>
      <c r="V854" s="511">
        <v>0</v>
      </c>
      <c r="X854" s="38">
        <f>'[2]Приложение 1'!T849</f>
        <v>4180</v>
      </c>
      <c r="Y854" s="9">
        <f t="shared" si="199"/>
        <v>3334</v>
      </c>
      <c r="Z854" s="19">
        <f t="shared" si="200"/>
        <v>846</v>
      </c>
    </row>
    <row r="855" spans="1:26" ht="9" customHeight="1">
      <c r="A855" s="510">
        <v>139</v>
      </c>
      <c r="B855" s="765" t="s">
        <v>781</v>
      </c>
      <c r="C855" s="766" t="s">
        <v>1192</v>
      </c>
      <c r="D855" s="767" t="s">
        <v>110</v>
      </c>
      <c r="E855" s="511">
        <f t="shared" si="210"/>
        <v>2737214</v>
      </c>
      <c r="F855" s="511">
        <v>0</v>
      </c>
      <c r="G855" s="17">
        <v>0</v>
      </c>
      <c r="H855" s="511">
        <v>0</v>
      </c>
      <c r="I855" s="18">
        <v>821</v>
      </c>
      <c r="J855" s="18"/>
      <c r="K855" s="18"/>
      <c r="L855" s="511">
        <f t="shared" si="211"/>
        <v>2737214</v>
      </c>
      <c r="M855" s="511">
        <v>0</v>
      </c>
      <c r="N855" s="511">
        <v>0</v>
      </c>
      <c r="O855" s="511">
        <v>0</v>
      </c>
      <c r="P855" s="511">
        <v>0</v>
      </c>
      <c r="Q855" s="511">
        <v>0</v>
      </c>
      <c r="R855" s="511">
        <v>0</v>
      </c>
      <c r="S855" s="511">
        <v>0</v>
      </c>
      <c r="T855" s="511">
        <v>0</v>
      </c>
      <c r="U855" s="511">
        <v>0</v>
      </c>
      <c r="V855" s="511">
        <v>0</v>
      </c>
      <c r="X855" s="38">
        <f>'[2]Приложение 1'!T850</f>
        <v>4180</v>
      </c>
      <c r="Y855" s="9">
        <f t="shared" si="199"/>
        <v>3334</v>
      </c>
      <c r="Z855" s="19">
        <f t="shared" si="200"/>
        <v>846</v>
      </c>
    </row>
    <row r="856" spans="1:26" ht="9" customHeight="1">
      <c r="A856" s="510">
        <v>140</v>
      </c>
      <c r="B856" s="765" t="s">
        <v>782</v>
      </c>
      <c r="C856" s="766" t="s">
        <v>1192</v>
      </c>
      <c r="D856" s="767" t="s">
        <v>110</v>
      </c>
      <c r="E856" s="511">
        <f t="shared" si="210"/>
        <v>5241048</v>
      </c>
      <c r="F856" s="511">
        <v>0</v>
      </c>
      <c r="G856" s="17">
        <v>0</v>
      </c>
      <c r="H856" s="511">
        <v>0</v>
      </c>
      <c r="I856" s="18">
        <v>1572</v>
      </c>
      <c r="J856" s="18"/>
      <c r="K856" s="18"/>
      <c r="L856" s="511">
        <f t="shared" si="211"/>
        <v>5241048</v>
      </c>
      <c r="M856" s="511">
        <v>0</v>
      </c>
      <c r="N856" s="511">
        <v>0</v>
      </c>
      <c r="O856" s="511">
        <v>0</v>
      </c>
      <c r="P856" s="511">
        <v>0</v>
      </c>
      <c r="Q856" s="511">
        <v>0</v>
      </c>
      <c r="R856" s="511">
        <v>0</v>
      </c>
      <c r="S856" s="511">
        <v>0</v>
      </c>
      <c r="T856" s="511">
        <v>0</v>
      </c>
      <c r="U856" s="511">
        <v>0</v>
      </c>
      <c r="V856" s="511">
        <v>0</v>
      </c>
      <c r="X856" s="38">
        <f>'[2]Приложение 1'!T851</f>
        <v>4180</v>
      </c>
      <c r="Y856" s="9">
        <f t="shared" si="199"/>
        <v>3334</v>
      </c>
      <c r="Z856" s="19">
        <f t="shared" si="200"/>
        <v>846</v>
      </c>
    </row>
    <row r="857" spans="1:26" ht="9" customHeight="1">
      <c r="A857" s="510">
        <v>141</v>
      </c>
      <c r="B857" s="765" t="s">
        <v>783</v>
      </c>
      <c r="C857" s="766" t="s">
        <v>1192</v>
      </c>
      <c r="D857" s="767" t="s">
        <v>110</v>
      </c>
      <c r="E857" s="511">
        <f t="shared" si="210"/>
        <v>2213776</v>
      </c>
      <c r="F857" s="511">
        <v>0</v>
      </c>
      <c r="G857" s="17">
        <v>0</v>
      </c>
      <c r="H857" s="511">
        <v>0</v>
      </c>
      <c r="I857" s="18">
        <v>664</v>
      </c>
      <c r="J857" s="18"/>
      <c r="K857" s="18"/>
      <c r="L857" s="511">
        <f t="shared" si="211"/>
        <v>2213776</v>
      </c>
      <c r="M857" s="511">
        <v>0</v>
      </c>
      <c r="N857" s="511">
        <v>0</v>
      </c>
      <c r="O857" s="511">
        <v>0</v>
      </c>
      <c r="P857" s="511">
        <v>0</v>
      </c>
      <c r="Q857" s="511">
        <v>0</v>
      </c>
      <c r="R857" s="511">
        <v>0</v>
      </c>
      <c r="S857" s="511">
        <v>0</v>
      </c>
      <c r="T857" s="511">
        <v>0</v>
      </c>
      <c r="U857" s="511">
        <v>0</v>
      </c>
      <c r="V857" s="511">
        <v>0</v>
      </c>
      <c r="X857" s="38">
        <f>'[2]Приложение 1'!T852</f>
        <v>4180</v>
      </c>
      <c r="Y857" s="9">
        <f t="shared" si="199"/>
        <v>3334</v>
      </c>
      <c r="Z857" s="19">
        <f t="shared" si="200"/>
        <v>846</v>
      </c>
    </row>
    <row r="858" spans="1:26" ht="9" customHeight="1">
      <c r="A858" s="510">
        <v>142</v>
      </c>
      <c r="B858" s="765" t="s">
        <v>784</v>
      </c>
      <c r="C858" s="766" t="s">
        <v>1192</v>
      </c>
      <c r="D858" s="767" t="s">
        <v>110</v>
      </c>
      <c r="E858" s="511">
        <f t="shared" si="210"/>
        <v>2193772</v>
      </c>
      <c r="F858" s="511">
        <v>0</v>
      </c>
      <c r="G858" s="17">
        <v>0</v>
      </c>
      <c r="H858" s="511">
        <v>0</v>
      </c>
      <c r="I858" s="18">
        <v>658</v>
      </c>
      <c r="J858" s="18"/>
      <c r="K858" s="18"/>
      <c r="L858" s="511">
        <f t="shared" si="211"/>
        <v>2193772</v>
      </c>
      <c r="M858" s="511">
        <v>0</v>
      </c>
      <c r="N858" s="511">
        <v>0</v>
      </c>
      <c r="O858" s="511">
        <v>0</v>
      </c>
      <c r="P858" s="511">
        <v>0</v>
      </c>
      <c r="Q858" s="511">
        <v>0</v>
      </c>
      <c r="R858" s="511">
        <v>0</v>
      </c>
      <c r="S858" s="511">
        <v>0</v>
      </c>
      <c r="T858" s="511">
        <v>0</v>
      </c>
      <c r="U858" s="511">
        <v>0</v>
      </c>
      <c r="V858" s="511">
        <v>0</v>
      </c>
      <c r="X858" s="38">
        <f>'[2]Приложение 1'!T853</f>
        <v>4180</v>
      </c>
      <c r="Y858" s="9">
        <f t="shared" si="199"/>
        <v>3334</v>
      </c>
      <c r="Z858" s="19">
        <f t="shared" si="200"/>
        <v>846</v>
      </c>
    </row>
    <row r="859" spans="1:26" ht="9" customHeight="1">
      <c r="A859" s="510">
        <v>143</v>
      </c>
      <c r="B859" s="765" t="s">
        <v>785</v>
      </c>
      <c r="C859" s="766" t="s">
        <v>1192</v>
      </c>
      <c r="D859" s="767" t="s">
        <v>110</v>
      </c>
      <c r="E859" s="511">
        <f t="shared" si="210"/>
        <v>5874508</v>
      </c>
      <c r="F859" s="511">
        <v>0</v>
      </c>
      <c r="G859" s="17">
        <v>0</v>
      </c>
      <c r="H859" s="511">
        <v>0</v>
      </c>
      <c r="I859" s="18">
        <v>1762</v>
      </c>
      <c r="J859" s="18"/>
      <c r="K859" s="18"/>
      <c r="L859" s="511">
        <f t="shared" si="211"/>
        <v>5874508</v>
      </c>
      <c r="M859" s="511">
        <v>0</v>
      </c>
      <c r="N859" s="511">
        <v>0</v>
      </c>
      <c r="O859" s="511">
        <v>0</v>
      </c>
      <c r="P859" s="511">
        <v>0</v>
      </c>
      <c r="Q859" s="511">
        <v>0</v>
      </c>
      <c r="R859" s="511">
        <v>0</v>
      </c>
      <c r="S859" s="511">
        <v>0</v>
      </c>
      <c r="T859" s="511">
        <v>0</v>
      </c>
      <c r="U859" s="511">
        <v>0</v>
      </c>
      <c r="V859" s="511">
        <v>0</v>
      </c>
      <c r="X859" s="38">
        <f>'[2]Приложение 1'!T854</f>
        <v>4180</v>
      </c>
      <c r="Y859" s="9">
        <f t="shared" si="199"/>
        <v>3334</v>
      </c>
      <c r="Z859" s="19">
        <f t="shared" si="200"/>
        <v>846</v>
      </c>
    </row>
    <row r="860" spans="1:26" ht="10.5" customHeight="1">
      <c r="A860" s="510">
        <v>144</v>
      </c>
      <c r="B860" s="765" t="s">
        <v>786</v>
      </c>
      <c r="C860" s="766" t="s">
        <v>1192</v>
      </c>
      <c r="D860" s="767" t="s">
        <v>110</v>
      </c>
      <c r="E860" s="511">
        <f t="shared" si="210"/>
        <v>6084550</v>
      </c>
      <c r="F860" s="511">
        <v>0</v>
      </c>
      <c r="G860" s="17">
        <v>0</v>
      </c>
      <c r="H860" s="511">
        <v>0</v>
      </c>
      <c r="I860" s="18">
        <v>1825</v>
      </c>
      <c r="J860" s="18"/>
      <c r="K860" s="18"/>
      <c r="L860" s="511">
        <f t="shared" si="211"/>
        <v>6084550</v>
      </c>
      <c r="M860" s="511">
        <v>0</v>
      </c>
      <c r="N860" s="511">
        <v>0</v>
      </c>
      <c r="O860" s="511">
        <v>0</v>
      </c>
      <c r="P860" s="511">
        <v>0</v>
      </c>
      <c r="Q860" s="511">
        <v>0</v>
      </c>
      <c r="R860" s="511">
        <v>0</v>
      </c>
      <c r="S860" s="511">
        <v>0</v>
      </c>
      <c r="T860" s="511">
        <v>0</v>
      </c>
      <c r="U860" s="511">
        <v>0</v>
      </c>
      <c r="V860" s="511">
        <v>0</v>
      </c>
      <c r="X860" s="38">
        <f>'[2]Приложение 1'!T855</f>
        <v>4180</v>
      </c>
      <c r="Y860" s="9">
        <f t="shared" si="199"/>
        <v>3334</v>
      </c>
      <c r="Z860" s="19">
        <f t="shared" si="200"/>
        <v>846</v>
      </c>
    </row>
    <row r="861" spans="1:26" ht="9" customHeight="1">
      <c r="A861" s="510">
        <v>145</v>
      </c>
      <c r="B861" s="765" t="s">
        <v>787</v>
      </c>
      <c r="C861" s="766" t="s">
        <v>1192</v>
      </c>
      <c r="D861" s="767" t="s">
        <v>110</v>
      </c>
      <c r="E861" s="511">
        <f t="shared" si="210"/>
        <v>2747216</v>
      </c>
      <c r="F861" s="511">
        <v>0</v>
      </c>
      <c r="G861" s="17">
        <v>0</v>
      </c>
      <c r="H861" s="511">
        <v>0</v>
      </c>
      <c r="I861" s="18">
        <v>824</v>
      </c>
      <c r="J861" s="18"/>
      <c r="K861" s="18"/>
      <c r="L861" s="511">
        <f t="shared" si="211"/>
        <v>2747216</v>
      </c>
      <c r="M861" s="511">
        <v>0</v>
      </c>
      <c r="N861" s="511">
        <v>0</v>
      </c>
      <c r="O861" s="511">
        <v>0</v>
      </c>
      <c r="P861" s="511">
        <v>0</v>
      </c>
      <c r="Q861" s="511">
        <v>0</v>
      </c>
      <c r="R861" s="511">
        <v>0</v>
      </c>
      <c r="S861" s="511">
        <v>0</v>
      </c>
      <c r="T861" s="511">
        <v>0</v>
      </c>
      <c r="U861" s="511">
        <v>0</v>
      </c>
      <c r="V861" s="511">
        <v>0</v>
      </c>
      <c r="X861" s="38">
        <f>'[2]Приложение 1'!T856</f>
        <v>4180</v>
      </c>
      <c r="Y861" s="9">
        <f t="shared" si="199"/>
        <v>3334</v>
      </c>
      <c r="Z861" s="19">
        <f t="shared" si="200"/>
        <v>846</v>
      </c>
    </row>
    <row r="862" spans="1:26" ht="9" customHeight="1">
      <c r="A862" s="510">
        <v>146</v>
      </c>
      <c r="B862" s="720" t="s">
        <v>762</v>
      </c>
      <c r="C862" s="721" t="s">
        <v>1192</v>
      </c>
      <c r="D862" s="722" t="s">
        <v>111</v>
      </c>
      <c r="E862" s="511">
        <f t="shared" si="210"/>
        <v>721182</v>
      </c>
      <c r="F862" s="511">
        <v>0</v>
      </c>
      <c r="G862" s="17">
        <v>0</v>
      </c>
      <c r="H862" s="511">
        <v>0</v>
      </c>
      <c r="I862" s="18">
        <v>223</v>
      </c>
      <c r="J862" s="18"/>
      <c r="K862" s="18"/>
      <c r="L862" s="511">
        <f>ROUND(3234*I862,2)</f>
        <v>721182</v>
      </c>
      <c r="M862" s="511">
        <v>0</v>
      </c>
      <c r="N862" s="511">
        <v>0</v>
      </c>
      <c r="O862" s="511">
        <v>0</v>
      </c>
      <c r="P862" s="511">
        <v>0</v>
      </c>
      <c r="Q862" s="511">
        <v>0</v>
      </c>
      <c r="R862" s="511">
        <v>0</v>
      </c>
      <c r="S862" s="511">
        <v>0</v>
      </c>
      <c r="T862" s="511">
        <v>0</v>
      </c>
      <c r="U862" s="511">
        <v>0</v>
      </c>
      <c r="V862" s="511">
        <v>0</v>
      </c>
      <c r="X862" s="38">
        <f>'[2]Приложение 1'!T857</f>
        <v>4180</v>
      </c>
      <c r="Y862" s="9">
        <f t="shared" si="199"/>
        <v>3234</v>
      </c>
      <c r="Z862" s="19">
        <f t="shared" si="200"/>
        <v>946</v>
      </c>
    </row>
    <row r="863" spans="1:26" ht="12.75" customHeight="1">
      <c r="A863" s="882" t="s">
        <v>242</v>
      </c>
      <c r="B863" s="882"/>
      <c r="C863" s="882"/>
      <c r="D863" s="882"/>
      <c r="E863" s="882"/>
      <c r="F863" s="882"/>
      <c r="G863" s="882"/>
      <c r="H863" s="882"/>
      <c r="I863" s="882"/>
      <c r="J863" s="882"/>
      <c r="K863" s="882"/>
      <c r="L863" s="882"/>
      <c r="M863" s="882"/>
      <c r="N863" s="882"/>
      <c r="O863" s="882"/>
      <c r="P863" s="882"/>
      <c r="Q863" s="882"/>
      <c r="R863" s="882"/>
      <c r="S863" s="882"/>
      <c r="T863" s="882"/>
      <c r="U863" s="882"/>
      <c r="V863" s="882"/>
      <c r="X863" s="38">
        <f>'[2]Приложение 1'!T858</f>
        <v>4503.95</v>
      </c>
      <c r="Y863" s="9" t="e">
        <f t="shared" si="199"/>
        <v>#DIV/0!</v>
      </c>
      <c r="Z863" s="19" t="e">
        <f t="shared" si="200"/>
        <v>#DIV/0!</v>
      </c>
    </row>
    <row r="864" spans="1:26" ht="24" customHeight="1">
      <c r="A864" s="900" t="s">
        <v>243</v>
      </c>
      <c r="B864" s="900"/>
      <c r="C864" s="58"/>
      <c r="D864" s="58"/>
      <c r="E864" s="511">
        <f>SUM(E865:E867)</f>
        <v>7496176</v>
      </c>
      <c r="F864" s="511">
        <f t="shared" ref="F864:V864" si="212">SUM(F865:F867)</f>
        <v>0</v>
      </c>
      <c r="G864" s="8">
        <f t="shared" si="212"/>
        <v>0</v>
      </c>
      <c r="H864" s="511">
        <f t="shared" si="212"/>
        <v>0</v>
      </c>
      <c r="I864" s="511">
        <f>SUM(I865:I867)</f>
        <v>2264</v>
      </c>
      <c r="J864" s="511">
        <f t="shared" si="212"/>
        <v>0</v>
      </c>
      <c r="K864" s="511">
        <f t="shared" si="212"/>
        <v>0</v>
      </c>
      <c r="L864" s="511">
        <f t="shared" si="212"/>
        <v>7496176</v>
      </c>
      <c r="M864" s="511">
        <f t="shared" si="212"/>
        <v>0</v>
      </c>
      <c r="N864" s="511">
        <f t="shared" si="212"/>
        <v>0</v>
      </c>
      <c r="O864" s="511">
        <f t="shared" si="212"/>
        <v>0</v>
      </c>
      <c r="P864" s="511">
        <f t="shared" si="212"/>
        <v>0</v>
      </c>
      <c r="Q864" s="511">
        <f t="shared" si="212"/>
        <v>0</v>
      </c>
      <c r="R864" s="511">
        <f t="shared" si="212"/>
        <v>0</v>
      </c>
      <c r="S864" s="511">
        <f t="shared" si="212"/>
        <v>0</v>
      </c>
      <c r="T864" s="511">
        <f t="shared" si="212"/>
        <v>0</v>
      </c>
      <c r="U864" s="511">
        <f t="shared" si="212"/>
        <v>0</v>
      </c>
      <c r="V864" s="511">
        <f t="shared" si="212"/>
        <v>0</v>
      </c>
      <c r="X864" s="38">
        <f>'[2]Приложение 1'!T859</f>
        <v>0</v>
      </c>
      <c r="Y864" s="9">
        <f t="shared" si="199"/>
        <v>3311.0318021201415</v>
      </c>
      <c r="Z864" s="19">
        <f t="shared" si="200"/>
        <v>-3311.0318021201415</v>
      </c>
    </row>
    <row r="865" spans="1:26" ht="9" customHeight="1">
      <c r="A865" s="513">
        <v>147</v>
      </c>
      <c r="B865" s="768" t="s">
        <v>1019</v>
      </c>
      <c r="C865" s="769" t="s">
        <v>1192</v>
      </c>
      <c r="D865" s="770" t="s">
        <v>111</v>
      </c>
      <c r="E865" s="511">
        <f t="shared" ref="E865:E867" si="213">F865+H865+L865+N865+P865+R865+S865+T865+U865+V865</f>
        <v>1681680</v>
      </c>
      <c r="F865" s="511">
        <v>0</v>
      </c>
      <c r="G865" s="17">
        <v>0</v>
      </c>
      <c r="H865" s="511">
        <v>0</v>
      </c>
      <c r="I865" s="511">
        <v>520</v>
      </c>
      <c r="J865" s="511"/>
      <c r="K865" s="511"/>
      <c r="L865" s="511">
        <f>ROUND(3234*I865,2)</f>
        <v>1681680</v>
      </c>
      <c r="M865" s="511">
        <v>0</v>
      </c>
      <c r="N865" s="511">
        <v>0</v>
      </c>
      <c r="O865" s="511">
        <v>0</v>
      </c>
      <c r="P865" s="511">
        <v>0</v>
      </c>
      <c r="Q865" s="511">
        <v>0</v>
      </c>
      <c r="R865" s="511">
        <v>0</v>
      </c>
      <c r="S865" s="511">
        <v>0</v>
      </c>
      <c r="T865" s="511">
        <v>0</v>
      </c>
      <c r="U865" s="511">
        <v>0</v>
      </c>
      <c r="V865" s="511">
        <v>0</v>
      </c>
      <c r="X865" s="38">
        <f>'[2]Приложение 1'!T860</f>
        <v>0</v>
      </c>
      <c r="Y865" s="9">
        <f t="shared" si="199"/>
        <v>3234</v>
      </c>
      <c r="Z865" s="19">
        <f t="shared" si="200"/>
        <v>-3234</v>
      </c>
    </row>
    <row r="866" spans="1:26" ht="9" customHeight="1">
      <c r="A866" s="513">
        <v>148</v>
      </c>
      <c r="B866" s="768" t="s">
        <v>1020</v>
      </c>
      <c r="C866" s="769" t="s">
        <v>1192</v>
      </c>
      <c r="D866" s="770" t="s">
        <v>110</v>
      </c>
      <c r="E866" s="511">
        <f t="shared" si="213"/>
        <v>3027272</v>
      </c>
      <c r="F866" s="511">
        <v>0</v>
      </c>
      <c r="G866" s="17">
        <v>0</v>
      </c>
      <c r="H866" s="511">
        <v>0</v>
      </c>
      <c r="I866" s="511">
        <v>908</v>
      </c>
      <c r="J866" s="511"/>
      <c r="K866" s="511"/>
      <c r="L866" s="511">
        <f t="shared" ref="L866:L867" si="214">ROUND(3334*I866,2)</f>
        <v>3027272</v>
      </c>
      <c r="M866" s="511">
        <v>0</v>
      </c>
      <c r="N866" s="511">
        <v>0</v>
      </c>
      <c r="O866" s="511">
        <v>0</v>
      </c>
      <c r="P866" s="511">
        <v>0</v>
      </c>
      <c r="Q866" s="511">
        <v>0</v>
      </c>
      <c r="R866" s="511">
        <v>0</v>
      </c>
      <c r="S866" s="511">
        <v>0</v>
      </c>
      <c r="T866" s="511">
        <v>0</v>
      </c>
      <c r="U866" s="511">
        <v>0</v>
      </c>
      <c r="V866" s="511">
        <v>0</v>
      </c>
      <c r="X866" s="38">
        <f>'[2]Приложение 1'!T861</f>
        <v>4503.95</v>
      </c>
      <c r="Y866" s="9">
        <f t="shared" si="199"/>
        <v>3334</v>
      </c>
      <c r="Z866" s="19">
        <f t="shared" si="200"/>
        <v>1169.9499999999998</v>
      </c>
    </row>
    <row r="867" spans="1:26" ht="9" customHeight="1">
      <c r="A867" s="513">
        <v>149</v>
      </c>
      <c r="B867" s="771" t="s">
        <v>1069</v>
      </c>
      <c r="C867" s="772" t="s">
        <v>1192</v>
      </c>
      <c r="D867" s="773" t="s">
        <v>110</v>
      </c>
      <c r="E867" s="511">
        <f t="shared" si="213"/>
        <v>2787224</v>
      </c>
      <c r="F867" s="511">
        <v>0</v>
      </c>
      <c r="G867" s="17">
        <v>0</v>
      </c>
      <c r="H867" s="511">
        <v>0</v>
      </c>
      <c r="I867" s="511">
        <v>836</v>
      </c>
      <c r="J867" s="511"/>
      <c r="K867" s="511"/>
      <c r="L867" s="511">
        <f t="shared" si="214"/>
        <v>2787224</v>
      </c>
      <c r="M867" s="511">
        <v>0</v>
      </c>
      <c r="N867" s="511">
        <v>0</v>
      </c>
      <c r="O867" s="511">
        <v>0</v>
      </c>
      <c r="P867" s="511">
        <v>0</v>
      </c>
      <c r="Q867" s="511">
        <v>0</v>
      </c>
      <c r="R867" s="511">
        <v>0</v>
      </c>
      <c r="S867" s="511">
        <v>0</v>
      </c>
      <c r="T867" s="511">
        <v>0</v>
      </c>
      <c r="U867" s="511">
        <v>0</v>
      </c>
      <c r="V867" s="511">
        <v>0</v>
      </c>
      <c r="X867" s="38">
        <f>'[2]Приложение 1'!T862</f>
        <v>4180</v>
      </c>
      <c r="Y867" s="9">
        <f t="shared" si="199"/>
        <v>3334</v>
      </c>
      <c r="Z867" s="19">
        <f t="shared" si="200"/>
        <v>846</v>
      </c>
    </row>
    <row r="868" spans="1:26">
      <c r="A868" s="882" t="s">
        <v>251</v>
      </c>
      <c r="B868" s="882"/>
      <c r="C868" s="882"/>
      <c r="D868" s="882"/>
      <c r="E868" s="882"/>
      <c r="F868" s="882"/>
      <c r="G868" s="882"/>
      <c r="H868" s="882"/>
      <c r="I868" s="882"/>
      <c r="J868" s="882"/>
      <c r="K868" s="882"/>
      <c r="L868" s="882"/>
      <c r="M868" s="882"/>
      <c r="N868" s="882"/>
      <c r="O868" s="882"/>
      <c r="P868" s="882"/>
      <c r="Q868" s="882"/>
      <c r="R868" s="882"/>
      <c r="S868" s="882"/>
      <c r="T868" s="882"/>
      <c r="U868" s="882"/>
      <c r="V868" s="882"/>
      <c r="X868" s="38">
        <f>'[2]Приложение 1'!T863</f>
        <v>4180</v>
      </c>
      <c r="Y868" s="9" t="e">
        <f t="shared" si="199"/>
        <v>#DIV/0!</v>
      </c>
      <c r="Z868" s="19" t="e">
        <f t="shared" si="200"/>
        <v>#DIV/0!</v>
      </c>
    </row>
    <row r="869" spans="1:26" ht="24.75" customHeight="1">
      <c r="A869" s="900" t="s">
        <v>250</v>
      </c>
      <c r="B869" s="900"/>
      <c r="C869" s="58"/>
      <c r="D869" s="58"/>
      <c r="E869" s="511">
        <f t="shared" ref="E869:V869" si="215">SUM(E870:E874)</f>
        <v>7661022.5999999996</v>
      </c>
      <c r="F869" s="511">
        <f t="shared" si="215"/>
        <v>0</v>
      </c>
      <c r="G869" s="17">
        <f t="shared" si="215"/>
        <v>0</v>
      </c>
      <c r="H869" s="511">
        <f t="shared" si="215"/>
        <v>0</v>
      </c>
      <c r="I869" s="511">
        <f>SUM(I870:I874)</f>
        <v>2368.9</v>
      </c>
      <c r="J869" s="511">
        <f t="shared" si="215"/>
        <v>0</v>
      </c>
      <c r="K869" s="511">
        <f t="shared" si="215"/>
        <v>0</v>
      </c>
      <c r="L869" s="511">
        <f t="shared" si="215"/>
        <v>7661022.5999999996</v>
      </c>
      <c r="M869" s="511">
        <f t="shared" si="215"/>
        <v>0</v>
      </c>
      <c r="N869" s="511">
        <f t="shared" si="215"/>
        <v>0</v>
      </c>
      <c r="O869" s="511">
        <f t="shared" si="215"/>
        <v>0</v>
      </c>
      <c r="P869" s="511">
        <f t="shared" si="215"/>
        <v>0</v>
      </c>
      <c r="Q869" s="511">
        <f t="shared" si="215"/>
        <v>0</v>
      </c>
      <c r="R869" s="511">
        <f t="shared" si="215"/>
        <v>0</v>
      </c>
      <c r="S869" s="511">
        <f t="shared" si="215"/>
        <v>0</v>
      </c>
      <c r="T869" s="511">
        <f t="shared" si="215"/>
        <v>0</v>
      </c>
      <c r="U869" s="511">
        <f t="shared" si="215"/>
        <v>0</v>
      </c>
      <c r="V869" s="511">
        <f t="shared" si="215"/>
        <v>0</v>
      </c>
      <c r="X869" s="38">
        <f>'[2]Приложение 1'!T864</f>
        <v>0</v>
      </c>
      <c r="Y869" s="9">
        <f t="shared" si="199"/>
        <v>3233.9999999999995</v>
      </c>
      <c r="Z869" s="19">
        <f t="shared" si="200"/>
        <v>-3233.9999999999995</v>
      </c>
    </row>
    <row r="870" spans="1:26" ht="9" customHeight="1">
      <c r="A870" s="512">
        <v>150</v>
      </c>
      <c r="B870" s="774" t="s">
        <v>798</v>
      </c>
      <c r="C870" s="775" t="s">
        <v>1192</v>
      </c>
      <c r="D870" s="776" t="s">
        <v>111</v>
      </c>
      <c r="E870" s="514">
        <f t="shared" ref="E870:E874" si="216">F870+H870+L870+N870+P870+R870+S870+T870+U870+V870</f>
        <v>1781934</v>
      </c>
      <c r="F870" s="514">
        <v>0</v>
      </c>
      <c r="G870" s="708">
        <v>0</v>
      </c>
      <c r="H870" s="514">
        <v>0</v>
      </c>
      <c r="I870" s="514">
        <v>551</v>
      </c>
      <c r="J870" s="514"/>
      <c r="K870" s="514"/>
      <c r="L870" s="514">
        <f>ROUND(3234*I870,2)</f>
        <v>1781934</v>
      </c>
      <c r="M870" s="514">
        <v>0</v>
      </c>
      <c r="N870" s="514">
        <v>0</v>
      </c>
      <c r="O870" s="514">
        <v>0</v>
      </c>
      <c r="P870" s="514">
        <v>0</v>
      </c>
      <c r="Q870" s="514">
        <v>0</v>
      </c>
      <c r="R870" s="514">
        <v>0</v>
      </c>
      <c r="S870" s="514">
        <v>0</v>
      </c>
      <c r="T870" s="514">
        <v>0</v>
      </c>
      <c r="U870" s="514">
        <v>0</v>
      </c>
      <c r="V870" s="514">
        <v>0</v>
      </c>
      <c r="X870" s="38">
        <f>'[2]Приложение 1'!T865</f>
        <v>0</v>
      </c>
      <c r="Y870" s="9">
        <f t="shared" si="199"/>
        <v>3234</v>
      </c>
      <c r="Z870" s="19">
        <f t="shared" si="200"/>
        <v>-3234</v>
      </c>
    </row>
    <row r="871" spans="1:26" ht="9" customHeight="1">
      <c r="A871" s="510">
        <v>151</v>
      </c>
      <c r="B871" s="777" t="s">
        <v>799</v>
      </c>
      <c r="C871" s="58" t="s">
        <v>1192</v>
      </c>
      <c r="D871" s="59" t="s">
        <v>111</v>
      </c>
      <c r="E871" s="511">
        <f t="shared" si="216"/>
        <v>336012.6</v>
      </c>
      <c r="F871" s="511">
        <v>0</v>
      </c>
      <c r="G871" s="17">
        <v>0</v>
      </c>
      <c r="H871" s="511">
        <v>0</v>
      </c>
      <c r="I871" s="511">
        <v>103.9</v>
      </c>
      <c r="J871" s="511"/>
      <c r="K871" s="511"/>
      <c r="L871" s="511">
        <f>ROUND(3234*I871,2)</f>
        <v>336012.6</v>
      </c>
      <c r="M871" s="511">
        <v>0</v>
      </c>
      <c r="N871" s="511">
        <v>0</v>
      </c>
      <c r="O871" s="511">
        <v>0</v>
      </c>
      <c r="P871" s="511">
        <v>0</v>
      </c>
      <c r="Q871" s="511">
        <v>0</v>
      </c>
      <c r="R871" s="511">
        <v>0</v>
      </c>
      <c r="S871" s="511">
        <v>0</v>
      </c>
      <c r="T871" s="511">
        <v>0</v>
      </c>
      <c r="U871" s="511">
        <v>0</v>
      </c>
      <c r="V871" s="511">
        <v>0</v>
      </c>
      <c r="X871" s="38">
        <f>'[2]Приложение 1'!T866</f>
        <v>4503.95</v>
      </c>
      <c r="Y871" s="9">
        <f t="shared" si="199"/>
        <v>3233.9999999999995</v>
      </c>
      <c r="Z871" s="19">
        <f t="shared" si="200"/>
        <v>1269.9500000000003</v>
      </c>
    </row>
    <row r="872" spans="1:26" ht="9" customHeight="1">
      <c r="A872" s="512">
        <v>152</v>
      </c>
      <c r="B872" s="777" t="s">
        <v>800</v>
      </c>
      <c r="C872" s="58" t="s">
        <v>1192</v>
      </c>
      <c r="D872" s="59" t="s">
        <v>111</v>
      </c>
      <c r="E872" s="511">
        <f t="shared" si="216"/>
        <v>1969506</v>
      </c>
      <c r="F872" s="511">
        <v>0</v>
      </c>
      <c r="G872" s="17">
        <v>0</v>
      </c>
      <c r="H872" s="511">
        <v>0</v>
      </c>
      <c r="I872" s="511">
        <v>609</v>
      </c>
      <c r="J872" s="511"/>
      <c r="K872" s="511"/>
      <c r="L872" s="511">
        <f>ROUND(3234*I872,2)</f>
        <v>1969506</v>
      </c>
      <c r="M872" s="511">
        <v>0</v>
      </c>
      <c r="N872" s="511">
        <v>0</v>
      </c>
      <c r="O872" s="511">
        <v>0</v>
      </c>
      <c r="P872" s="511">
        <v>0</v>
      </c>
      <c r="Q872" s="511">
        <v>0</v>
      </c>
      <c r="R872" s="511">
        <v>0</v>
      </c>
      <c r="S872" s="511">
        <v>0</v>
      </c>
      <c r="T872" s="511">
        <v>0</v>
      </c>
      <c r="U872" s="511">
        <v>0</v>
      </c>
      <c r="V872" s="511">
        <v>0</v>
      </c>
      <c r="X872" s="38">
        <f>'[2]Приложение 1'!T867</f>
        <v>4503.95</v>
      </c>
      <c r="Y872" s="9">
        <f t="shared" si="199"/>
        <v>3234</v>
      </c>
      <c r="Z872" s="19">
        <f t="shared" si="200"/>
        <v>1269.9499999999998</v>
      </c>
    </row>
    <row r="873" spans="1:26" ht="9" customHeight="1">
      <c r="A873" s="510">
        <v>153</v>
      </c>
      <c r="B873" s="777" t="s">
        <v>801</v>
      </c>
      <c r="C873" s="58" t="s">
        <v>1192</v>
      </c>
      <c r="D873" s="59" t="s">
        <v>111</v>
      </c>
      <c r="E873" s="511">
        <f t="shared" si="216"/>
        <v>2108568</v>
      </c>
      <c r="F873" s="511">
        <v>0</v>
      </c>
      <c r="G873" s="17">
        <v>0</v>
      </c>
      <c r="H873" s="511">
        <v>0</v>
      </c>
      <c r="I873" s="511">
        <v>652</v>
      </c>
      <c r="J873" s="511"/>
      <c r="K873" s="511"/>
      <c r="L873" s="511">
        <f>ROUND(3234*I873,2)</f>
        <v>2108568</v>
      </c>
      <c r="M873" s="511">
        <v>0</v>
      </c>
      <c r="N873" s="511">
        <v>0</v>
      </c>
      <c r="O873" s="511">
        <v>0</v>
      </c>
      <c r="P873" s="511">
        <v>0</v>
      </c>
      <c r="Q873" s="511">
        <v>0</v>
      </c>
      <c r="R873" s="511">
        <v>0</v>
      </c>
      <c r="S873" s="511">
        <v>0</v>
      </c>
      <c r="T873" s="511">
        <v>0</v>
      </c>
      <c r="U873" s="511">
        <v>0</v>
      </c>
      <c r="V873" s="511">
        <v>0</v>
      </c>
      <c r="X873" s="38">
        <f>'[2]Приложение 1'!T868</f>
        <v>4503.95</v>
      </c>
      <c r="Y873" s="9">
        <f t="shared" si="199"/>
        <v>3234</v>
      </c>
      <c r="Z873" s="19">
        <f t="shared" si="200"/>
        <v>1269.9499999999998</v>
      </c>
    </row>
    <row r="874" spans="1:26" ht="9" customHeight="1">
      <c r="A874" s="512">
        <v>154</v>
      </c>
      <c r="B874" s="777" t="s">
        <v>802</v>
      </c>
      <c r="C874" s="58" t="s">
        <v>1192</v>
      </c>
      <c r="D874" s="59" t="s">
        <v>111</v>
      </c>
      <c r="E874" s="511">
        <f t="shared" si="216"/>
        <v>1465002</v>
      </c>
      <c r="F874" s="511">
        <v>0</v>
      </c>
      <c r="G874" s="17">
        <v>0</v>
      </c>
      <c r="H874" s="511">
        <v>0</v>
      </c>
      <c r="I874" s="511">
        <v>453</v>
      </c>
      <c r="J874" s="511"/>
      <c r="K874" s="511"/>
      <c r="L874" s="511">
        <f>ROUND(3234*I874,2)</f>
        <v>1465002</v>
      </c>
      <c r="M874" s="511">
        <v>0</v>
      </c>
      <c r="N874" s="511">
        <v>0</v>
      </c>
      <c r="O874" s="511">
        <v>0</v>
      </c>
      <c r="P874" s="511">
        <v>0</v>
      </c>
      <c r="Q874" s="511">
        <v>0</v>
      </c>
      <c r="R874" s="511">
        <v>0</v>
      </c>
      <c r="S874" s="511">
        <v>0</v>
      </c>
      <c r="T874" s="511">
        <v>0</v>
      </c>
      <c r="U874" s="511">
        <v>0</v>
      </c>
      <c r="V874" s="511">
        <v>0</v>
      </c>
      <c r="X874" s="38">
        <f>'[2]Приложение 1'!T869</f>
        <v>4503.95</v>
      </c>
      <c r="Y874" s="9">
        <f t="shared" si="199"/>
        <v>3234</v>
      </c>
      <c r="Z874" s="19">
        <f t="shared" si="200"/>
        <v>1269.9499999999998</v>
      </c>
    </row>
    <row r="875" spans="1:26" ht="12.75" customHeight="1">
      <c r="A875" s="893" t="s">
        <v>259</v>
      </c>
      <c r="B875" s="893"/>
      <c r="C875" s="893"/>
      <c r="D875" s="893"/>
      <c r="E875" s="893"/>
      <c r="F875" s="893"/>
      <c r="G875" s="893"/>
      <c r="H875" s="893"/>
      <c r="I875" s="893"/>
      <c r="J875" s="893"/>
      <c r="K875" s="893"/>
      <c r="L875" s="893"/>
      <c r="M875" s="893"/>
      <c r="N875" s="893"/>
      <c r="O875" s="893"/>
      <c r="P875" s="893"/>
      <c r="Q875" s="893"/>
      <c r="R875" s="893"/>
      <c r="S875" s="893"/>
      <c r="T875" s="893"/>
      <c r="U875" s="893"/>
      <c r="V875" s="893"/>
      <c r="X875" s="38">
        <f>'[2]Приложение 1'!T870</f>
        <v>4503.95</v>
      </c>
      <c r="Y875" s="9" t="e">
        <f t="shared" si="199"/>
        <v>#DIV/0!</v>
      </c>
      <c r="Z875" s="19" t="e">
        <f t="shared" si="200"/>
        <v>#DIV/0!</v>
      </c>
    </row>
    <row r="876" spans="1:26" ht="20.25" customHeight="1">
      <c r="A876" s="901" t="s">
        <v>262</v>
      </c>
      <c r="B876" s="901"/>
      <c r="C876" s="73"/>
      <c r="D876" s="63"/>
      <c r="E876" s="44">
        <f t="shared" ref="E876:V876" si="217">SUM(E877:E878)</f>
        <v>5181256.08</v>
      </c>
      <c r="F876" s="44">
        <f t="shared" si="217"/>
        <v>0</v>
      </c>
      <c r="G876" s="46">
        <f t="shared" si="217"/>
        <v>0</v>
      </c>
      <c r="H876" s="44">
        <f t="shared" si="217"/>
        <v>0</v>
      </c>
      <c r="I876" s="44">
        <f>SUM(I877:I878)</f>
        <v>1602.12</v>
      </c>
      <c r="J876" s="44">
        <f t="shared" si="217"/>
        <v>0</v>
      </c>
      <c r="K876" s="44">
        <f t="shared" si="217"/>
        <v>0</v>
      </c>
      <c r="L876" s="44">
        <f t="shared" si="217"/>
        <v>5181256.08</v>
      </c>
      <c r="M876" s="44">
        <f t="shared" si="217"/>
        <v>0</v>
      </c>
      <c r="N876" s="44">
        <f t="shared" si="217"/>
        <v>0</v>
      </c>
      <c r="O876" s="44">
        <f t="shared" si="217"/>
        <v>0</v>
      </c>
      <c r="P876" s="44">
        <f t="shared" si="217"/>
        <v>0</v>
      </c>
      <c r="Q876" s="44">
        <f t="shared" si="217"/>
        <v>0</v>
      </c>
      <c r="R876" s="44">
        <f t="shared" si="217"/>
        <v>0</v>
      </c>
      <c r="S876" s="44">
        <f t="shared" si="217"/>
        <v>0</v>
      </c>
      <c r="T876" s="44">
        <f t="shared" si="217"/>
        <v>0</v>
      </c>
      <c r="U876" s="44">
        <f t="shared" si="217"/>
        <v>0</v>
      </c>
      <c r="V876" s="44">
        <f t="shared" si="217"/>
        <v>0</v>
      </c>
      <c r="X876" s="38">
        <f>'[2]Приложение 1'!T871</f>
        <v>0</v>
      </c>
      <c r="Y876" s="9">
        <f t="shared" si="199"/>
        <v>3234.0000000000005</v>
      </c>
      <c r="Z876" s="19">
        <f t="shared" si="200"/>
        <v>-3234.0000000000005</v>
      </c>
    </row>
    <row r="877" spans="1:26" ht="9" customHeight="1">
      <c r="A877" s="778">
        <v>155</v>
      </c>
      <c r="B877" s="509" t="s">
        <v>807</v>
      </c>
      <c r="C877" s="58" t="s">
        <v>1192</v>
      </c>
      <c r="D877" s="59" t="s">
        <v>111</v>
      </c>
      <c r="E877" s="511">
        <f t="shared" ref="E877:E878" si="218">F877+H877+L877+N877+P877+R877+S877+T877+U877+V877</f>
        <v>2076616.08</v>
      </c>
      <c r="F877" s="47">
        <v>0</v>
      </c>
      <c r="G877" s="46">
        <v>0</v>
      </c>
      <c r="H877" s="47">
        <v>0</v>
      </c>
      <c r="I877" s="47">
        <v>642.12</v>
      </c>
      <c r="J877" s="511"/>
      <c r="K877" s="511"/>
      <c r="L877" s="511">
        <f>ROUND(3234*I877,2)</f>
        <v>2076616.08</v>
      </c>
      <c r="M877" s="47">
        <v>0</v>
      </c>
      <c r="N877" s="47">
        <v>0</v>
      </c>
      <c r="O877" s="47">
        <v>0</v>
      </c>
      <c r="P877" s="47">
        <v>0</v>
      </c>
      <c r="Q877" s="47">
        <v>0</v>
      </c>
      <c r="R877" s="47">
        <v>0</v>
      </c>
      <c r="S877" s="47">
        <v>0</v>
      </c>
      <c r="T877" s="47">
        <v>0</v>
      </c>
      <c r="U877" s="47">
        <v>0</v>
      </c>
      <c r="V877" s="47">
        <v>0</v>
      </c>
      <c r="X877" s="38">
        <f>'[2]Приложение 1'!T872</f>
        <v>0</v>
      </c>
      <c r="Y877" s="9">
        <f t="shared" si="199"/>
        <v>3234</v>
      </c>
      <c r="Z877" s="19">
        <f t="shared" si="200"/>
        <v>-3234</v>
      </c>
    </row>
    <row r="878" spans="1:26" ht="9" customHeight="1">
      <c r="A878" s="41">
        <v>156</v>
      </c>
      <c r="B878" s="509" t="s">
        <v>808</v>
      </c>
      <c r="C878" s="58" t="s">
        <v>1192</v>
      </c>
      <c r="D878" s="59" t="s">
        <v>111</v>
      </c>
      <c r="E878" s="511">
        <f t="shared" si="218"/>
        <v>3104640</v>
      </c>
      <c r="F878" s="47">
        <v>0</v>
      </c>
      <c r="G878" s="46">
        <v>0</v>
      </c>
      <c r="H878" s="47">
        <v>0</v>
      </c>
      <c r="I878" s="47">
        <v>960</v>
      </c>
      <c r="J878" s="511"/>
      <c r="K878" s="511"/>
      <c r="L878" s="511">
        <f>ROUND(3234*I878,2)</f>
        <v>3104640</v>
      </c>
      <c r="M878" s="47">
        <v>0</v>
      </c>
      <c r="N878" s="47">
        <v>0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X878" s="38">
        <f>'[2]Приложение 1'!T873</f>
        <v>4503.95</v>
      </c>
      <c r="Y878" s="9">
        <f t="shared" si="199"/>
        <v>3234</v>
      </c>
      <c r="Z878" s="19">
        <f t="shared" si="200"/>
        <v>1269.9499999999998</v>
      </c>
    </row>
    <row r="879" spans="1:26" ht="12" customHeight="1">
      <c r="A879" s="882" t="s">
        <v>395</v>
      </c>
      <c r="B879" s="882"/>
      <c r="C879" s="882"/>
      <c r="D879" s="882"/>
      <c r="E879" s="882"/>
      <c r="F879" s="882"/>
      <c r="G879" s="882"/>
      <c r="H879" s="882"/>
      <c r="I879" s="882"/>
      <c r="J879" s="882"/>
      <c r="K879" s="882"/>
      <c r="L879" s="882"/>
      <c r="M879" s="882"/>
      <c r="N879" s="882"/>
      <c r="O879" s="882"/>
      <c r="P879" s="882"/>
      <c r="Q879" s="882"/>
      <c r="R879" s="882"/>
      <c r="S879" s="882"/>
      <c r="T879" s="882"/>
      <c r="U879" s="882"/>
      <c r="V879" s="882"/>
      <c r="X879" s="38">
        <f>'[2]Приложение 1'!T874</f>
        <v>4503.95</v>
      </c>
      <c r="Y879" s="9" t="e">
        <f t="shared" si="199"/>
        <v>#DIV/0!</v>
      </c>
      <c r="Z879" s="19" t="e">
        <f t="shared" si="200"/>
        <v>#DIV/0!</v>
      </c>
    </row>
    <row r="880" spans="1:26" ht="20.25" customHeight="1">
      <c r="A880" s="900" t="s">
        <v>271</v>
      </c>
      <c r="B880" s="900"/>
      <c r="C880" s="58"/>
      <c r="D880" s="58"/>
      <c r="E880" s="511">
        <f t="shared" ref="E880:V880" si="219">SUM(E881:E893)</f>
        <v>25726012.629999995</v>
      </c>
      <c r="F880" s="511">
        <f t="shared" si="219"/>
        <v>1098324.55</v>
      </c>
      <c r="G880" s="17">
        <f t="shared" si="219"/>
        <v>0</v>
      </c>
      <c r="H880" s="511">
        <f t="shared" si="219"/>
        <v>0</v>
      </c>
      <c r="I880" s="511">
        <f>SUM(I881:I893)</f>
        <v>7438.4500000000007</v>
      </c>
      <c r="J880" s="511">
        <f t="shared" si="219"/>
        <v>0</v>
      </c>
      <c r="K880" s="511">
        <f t="shared" si="219"/>
        <v>0</v>
      </c>
      <c r="L880" s="511">
        <f t="shared" si="219"/>
        <v>24473692.299999997</v>
      </c>
      <c r="M880" s="511">
        <f t="shared" si="219"/>
        <v>0</v>
      </c>
      <c r="N880" s="511">
        <f t="shared" si="219"/>
        <v>0</v>
      </c>
      <c r="O880" s="511">
        <f t="shared" si="219"/>
        <v>0</v>
      </c>
      <c r="P880" s="511">
        <f t="shared" si="219"/>
        <v>0</v>
      </c>
      <c r="Q880" s="511">
        <f t="shared" si="219"/>
        <v>0</v>
      </c>
      <c r="R880" s="511">
        <f t="shared" si="219"/>
        <v>0</v>
      </c>
      <c r="S880" s="511">
        <f t="shared" si="219"/>
        <v>0</v>
      </c>
      <c r="T880" s="511">
        <f t="shared" si="219"/>
        <v>0</v>
      </c>
      <c r="U880" s="511">
        <f t="shared" si="219"/>
        <v>153995.78</v>
      </c>
      <c r="V880" s="511">
        <f t="shared" si="219"/>
        <v>0</v>
      </c>
      <c r="X880" s="38">
        <f>'[2]Приложение 1'!T875</f>
        <v>0</v>
      </c>
      <c r="Y880" s="9">
        <f t="shared" si="199"/>
        <v>3290.1602215515322</v>
      </c>
      <c r="Z880" s="19">
        <f t="shared" si="200"/>
        <v>-3290.1602215515322</v>
      </c>
    </row>
    <row r="881" spans="1:26" ht="9" customHeight="1">
      <c r="A881" s="510">
        <v>157</v>
      </c>
      <c r="B881" s="509" t="s">
        <v>829</v>
      </c>
      <c r="C881" s="58" t="s">
        <v>1192</v>
      </c>
      <c r="D881" s="59" t="s">
        <v>110</v>
      </c>
      <c r="E881" s="511">
        <f t="shared" ref="E881:E893" si="220">F881+H881+L881+N881+P881+R881+S881+T881+U881+V881</f>
        <v>1500300</v>
      </c>
      <c r="F881" s="511">
        <v>0</v>
      </c>
      <c r="G881" s="17">
        <v>0</v>
      </c>
      <c r="H881" s="511">
        <v>0</v>
      </c>
      <c r="I881" s="511">
        <v>450</v>
      </c>
      <c r="J881" s="511"/>
      <c r="K881" s="511"/>
      <c r="L881" s="511">
        <f t="shared" ref="L881:L883" si="221">ROUND(3334*I881,2)</f>
        <v>1500300</v>
      </c>
      <c r="M881" s="511">
        <v>0</v>
      </c>
      <c r="N881" s="511">
        <v>0</v>
      </c>
      <c r="O881" s="511">
        <v>0</v>
      </c>
      <c r="P881" s="511">
        <v>0</v>
      </c>
      <c r="Q881" s="511">
        <v>0</v>
      </c>
      <c r="R881" s="511">
        <v>0</v>
      </c>
      <c r="S881" s="511">
        <v>0</v>
      </c>
      <c r="T881" s="511">
        <v>0</v>
      </c>
      <c r="U881" s="511">
        <v>0</v>
      </c>
      <c r="V881" s="511">
        <v>0</v>
      </c>
      <c r="X881" s="38">
        <f>'[2]Приложение 1'!T876</f>
        <v>0</v>
      </c>
      <c r="Y881" s="9">
        <f t="shared" si="199"/>
        <v>3334</v>
      </c>
      <c r="Z881" s="19">
        <f t="shared" si="200"/>
        <v>-3334</v>
      </c>
    </row>
    <row r="882" spans="1:26" ht="9" customHeight="1">
      <c r="A882" s="510">
        <v>158</v>
      </c>
      <c r="B882" s="509" t="s">
        <v>830</v>
      </c>
      <c r="C882" s="58" t="s">
        <v>1192</v>
      </c>
      <c r="D882" s="59" t="s">
        <v>110</v>
      </c>
      <c r="E882" s="511">
        <f t="shared" si="220"/>
        <v>1500300</v>
      </c>
      <c r="F882" s="511">
        <v>0</v>
      </c>
      <c r="G882" s="17">
        <v>0</v>
      </c>
      <c r="H882" s="511">
        <v>0</v>
      </c>
      <c r="I882" s="511">
        <v>450</v>
      </c>
      <c r="J882" s="511"/>
      <c r="K882" s="511"/>
      <c r="L882" s="511">
        <f t="shared" si="221"/>
        <v>1500300</v>
      </c>
      <c r="M882" s="511">
        <v>0</v>
      </c>
      <c r="N882" s="511">
        <v>0</v>
      </c>
      <c r="O882" s="511">
        <v>0</v>
      </c>
      <c r="P882" s="511">
        <v>0</v>
      </c>
      <c r="Q882" s="511">
        <v>0</v>
      </c>
      <c r="R882" s="511">
        <v>0</v>
      </c>
      <c r="S882" s="511">
        <v>0</v>
      </c>
      <c r="T882" s="511">
        <v>0</v>
      </c>
      <c r="U882" s="511">
        <v>0</v>
      </c>
      <c r="V882" s="511">
        <v>0</v>
      </c>
      <c r="X882" s="38">
        <f>'[2]Приложение 1'!T877</f>
        <v>4180</v>
      </c>
      <c r="Y882" s="9">
        <f t="shared" si="199"/>
        <v>3334</v>
      </c>
      <c r="Z882" s="19">
        <f t="shared" si="200"/>
        <v>846</v>
      </c>
    </row>
    <row r="883" spans="1:26" ht="9" customHeight="1">
      <c r="A883" s="510">
        <v>159</v>
      </c>
      <c r="B883" s="509" t="s">
        <v>831</v>
      </c>
      <c r="C883" s="58" t="s">
        <v>1192</v>
      </c>
      <c r="D883" s="59" t="s">
        <v>110</v>
      </c>
      <c r="E883" s="511">
        <f t="shared" si="220"/>
        <v>1500300</v>
      </c>
      <c r="F883" s="511">
        <v>0</v>
      </c>
      <c r="G883" s="17">
        <v>0</v>
      </c>
      <c r="H883" s="511">
        <v>0</v>
      </c>
      <c r="I883" s="511">
        <v>450</v>
      </c>
      <c r="J883" s="511"/>
      <c r="K883" s="511"/>
      <c r="L883" s="511">
        <f t="shared" si="221"/>
        <v>1500300</v>
      </c>
      <c r="M883" s="511">
        <v>0</v>
      </c>
      <c r="N883" s="511">
        <v>0</v>
      </c>
      <c r="O883" s="511">
        <v>0</v>
      </c>
      <c r="P883" s="511">
        <v>0</v>
      </c>
      <c r="Q883" s="511">
        <v>0</v>
      </c>
      <c r="R883" s="511">
        <v>0</v>
      </c>
      <c r="S883" s="511">
        <v>0</v>
      </c>
      <c r="T883" s="511">
        <v>0</v>
      </c>
      <c r="U883" s="511">
        <v>0</v>
      </c>
      <c r="V883" s="511">
        <v>0</v>
      </c>
      <c r="X883" s="38">
        <f>'[2]Приложение 1'!T878</f>
        <v>4180</v>
      </c>
      <c r="Y883" s="9">
        <f t="shared" si="199"/>
        <v>3334</v>
      </c>
      <c r="Z883" s="19">
        <f t="shared" si="200"/>
        <v>846</v>
      </c>
    </row>
    <row r="884" spans="1:26" ht="9" customHeight="1">
      <c r="A884" s="510">
        <v>160</v>
      </c>
      <c r="B884" s="509" t="s">
        <v>832</v>
      </c>
      <c r="C884" s="58" t="s">
        <v>1192</v>
      </c>
      <c r="D884" s="59" t="s">
        <v>111</v>
      </c>
      <c r="E884" s="511">
        <f t="shared" si="220"/>
        <v>3596208</v>
      </c>
      <c r="F884" s="511">
        <v>0</v>
      </c>
      <c r="G884" s="17">
        <v>0</v>
      </c>
      <c r="H884" s="511">
        <v>0</v>
      </c>
      <c r="I884" s="511">
        <v>1112</v>
      </c>
      <c r="J884" s="511"/>
      <c r="K884" s="511"/>
      <c r="L884" s="511">
        <f>ROUND(3234*I884,2)</f>
        <v>3596208</v>
      </c>
      <c r="M884" s="511">
        <v>0</v>
      </c>
      <c r="N884" s="511">
        <v>0</v>
      </c>
      <c r="O884" s="511">
        <v>0</v>
      </c>
      <c r="P884" s="511">
        <v>0</v>
      </c>
      <c r="Q884" s="511">
        <v>0</v>
      </c>
      <c r="R884" s="511">
        <v>0</v>
      </c>
      <c r="S884" s="511">
        <v>0</v>
      </c>
      <c r="T884" s="511">
        <v>0</v>
      </c>
      <c r="U884" s="511">
        <v>0</v>
      </c>
      <c r="V884" s="511">
        <v>0</v>
      </c>
      <c r="X884" s="38">
        <f>'[2]Приложение 1'!T879</f>
        <v>4180</v>
      </c>
      <c r="Y884" s="9">
        <f t="shared" si="199"/>
        <v>3234</v>
      </c>
      <c r="Z884" s="19">
        <f t="shared" si="200"/>
        <v>946</v>
      </c>
    </row>
    <row r="885" spans="1:26" ht="9" customHeight="1">
      <c r="A885" s="510">
        <v>161</v>
      </c>
      <c r="B885" s="509" t="s">
        <v>833</v>
      </c>
      <c r="C885" s="58" t="s">
        <v>1192</v>
      </c>
      <c r="D885" s="59" t="s">
        <v>110</v>
      </c>
      <c r="E885" s="511">
        <f t="shared" si="220"/>
        <v>2572514.4</v>
      </c>
      <c r="F885" s="511">
        <v>0</v>
      </c>
      <c r="G885" s="17">
        <v>0</v>
      </c>
      <c r="H885" s="511">
        <v>0</v>
      </c>
      <c r="I885" s="511">
        <v>771.6</v>
      </c>
      <c r="J885" s="511"/>
      <c r="K885" s="511"/>
      <c r="L885" s="511">
        <f t="shared" ref="L885" si="222">ROUND(3334*I885,2)</f>
        <v>2572514.4</v>
      </c>
      <c r="M885" s="511">
        <v>0</v>
      </c>
      <c r="N885" s="511">
        <v>0</v>
      </c>
      <c r="O885" s="511">
        <v>0</v>
      </c>
      <c r="P885" s="511">
        <v>0</v>
      </c>
      <c r="Q885" s="511">
        <v>0</v>
      </c>
      <c r="R885" s="511">
        <v>0</v>
      </c>
      <c r="S885" s="511">
        <v>0</v>
      </c>
      <c r="T885" s="511">
        <v>0</v>
      </c>
      <c r="U885" s="511">
        <v>0</v>
      </c>
      <c r="V885" s="511">
        <v>0</v>
      </c>
      <c r="X885" s="38">
        <f>'[2]Приложение 1'!T880</f>
        <v>4503.95</v>
      </c>
      <c r="Y885" s="9">
        <f t="shared" si="199"/>
        <v>3334</v>
      </c>
      <c r="Z885" s="19">
        <f t="shared" si="200"/>
        <v>1169.9499999999998</v>
      </c>
    </row>
    <row r="886" spans="1:26" ht="9" customHeight="1">
      <c r="A886" s="510">
        <v>162</v>
      </c>
      <c r="B886" s="509" t="s">
        <v>834</v>
      </c>
      <c r="C886" s="58" t="s">
        <v>1192</v>
      </c>
      <c r="D886" s="59" t="s">
        <v>111</v>
      </c>
      <c r="E886" s="511">
        <f t="shared" si="220"/>
        <v>3104640</v>
      </c>
      <c r="F886" s="511">
        <v>0</v>
      </c>
      <c r="G886" s="17">
        <v>0</v>
      </c>
      <c r="H886" s="511">
        <v>0</v>
      </c>
      <c r="I886" s="511">
        <v>960</v>
      </c>
      <c r="J886" s="511"/>
      <c r="K886" s="511"/>
      <c r="L886" s="511">
        <f>ROUND(3234*I886,2)</f>
        <v>3104640</v>
      </c>
      <c r="M886" s="511">
        <v>0</v>
      </c>
      <c r="N886" s="511">
        <v>0</v>
      </c>
      <c r="O886" s="511">
        <v>0</v>
      </c>
      <c r="P886" s="511">
        <v>0</v>
      </c>
      <c r="Q886" s="511">
        <v>0</v>
      </c>
      <c r="R886" s="511">
        <v>0</v>
      </c>
      <c r="S886" s="511">
        <v>0</v>
      </c>
      <c r="T886" s="511">
        <v>0</v>
      </c>
      <c r="U886" s="511">
        <v>0</v>
      </c>
      <c r="V886" s="511">
        <v>0</v>
      </c>
      <c r="X886" s="38">
        <f>'[2]Приложение 1'!T881</f>
        <v>4180</v>
      </c>
      <c r="Y886" s="9">
        <f t="shared" si="199"/>
        <v>3234</v>
      </c>
      <c r="Z886" s="19">
        <f t="shared" si="200"/>
        <v>946</v>
      </c>
    </row>
    <row r="887" spans="1:26" ht="9" customHeight="1">
      <c r="A887" s="510">
        <v>163</v>
      </c>
      <c r="B887" s="509" t="s">
        <v>835</v>
      </c>
      <c r="C887" s="58" t="s">
        <v>1192</v>
      </c>
      <c r="D887" s="59" t="s">
        <v>111</v>
      </c>
      <c r="E887" s="511">
        <f t="shared" si="220"/>
        <v>3104640</v>
      </c>
      <c r="F887" s="511">
        <v>0</v>
      </c>
      <c r="G887" s="17">
        <v>0</v>
      </c>
      <c r="H887" s="511">
        <v>0</v>
      </c>
      <c r="I887" s="511">
        <v>960</v>
      </c>
      <c r="J887" s="511"/>
      <c r="K887" s="511"/>
      <c r="L887" s="511">
        <f>ROUND(3234*I887,2)</f>
        <v>3104640</v>
      </c>
      <c r="M887" s="511">
        <v>0</v>
      </c>
      <c r="N887" s="511">
        <v>0</v>
      </c>
      <c r="O887" s="511">
        <v>0</v>
      </c>
      <c r="P887" s="511">
        <v>0</v>
      </c>
      <c r="Q887" s="511">
        <v>0</v>
      </c>
      <c r="R887" s="511">
        <v>0</v>
      </c>
      <c r="S887" s="511">
        <v>0</v>
      </c>
      <c r="T887" s="511">
        <v>0</v>
      </c>
      <c r="U887" s="511">
        <v>0</v>
      </c>
      <c r="V887" s="511">
        <v>0</v>
      </c>
      <c r="X887" s="38">
        <f>'[2]Приложение 1'!T882</f>
        <v>4503.95</v>
      </c>
      <c r="Y887" s="9">
        <f t="shared" si="199"/>
        <v>3234</v>
      </c>
      <c r="Z887" s="19">
        <f t="shared" si="200"/>
        <v>1269.9499999999998</v>
      </c>
    </row>
    <row r="888" spans="1:26" ht="9" customHeight="1">
      <c r="A888" s="510">
        <v>164</v>
      </c>
      <c r="B888" s="509" t="s">
        <v>836</v>
      </c>
      <c r="C888" s="58" t="s">
        <v>1192</v>
      </c>
      <c r="D888" s="59" t="s">
        <v>111</v>
      </c>
      <c r="E888" s="511">
        <f t="shared" si="220"/>
        <v>740586</v>
      </c>
      <c r="F888" s="511">
        <v>0</v>
      </c>
      <c r="G888" s="17">
        <v>0</v>
      </c>
      <c r="H888" s="511">
        <v>0</v>
      </c>
      <c r="I888" s="511">
        <v>229</v>
      </c>
      <c r="J888" s="511"/>
      <c r="K888" s="511"/>
      <c r="L888" s="511">
        <f>ROUND(3234*I888,2)</f>
        <v>740586</v>
      </c>
      <c r="M888" s="511">
        <v>0</v>
      </c>
      <c r="N888" s="511">
        <v>0</v>
      </c>
      <c r="O888" s="511">
        <v>0</v>
      </c>
      <c r="P888" s="511">
        <v>0</v>
      </c>
      <c r="Q888" s="511">
        <v>0</v>
      </c>
      <c r="R888" s="511">
        <v>0</v>
      </c>
      <c r="S888" s="511">
        <v>0</v>
      </c>
      <c r="T888" s="511">
        <v>0</v>
      </c>
      <c r="U888" s="511">
        <v>0</v>
      </c>
      <c r="V888" s="511">
        <v>0</v>
      </c>
      <c r="X888" s="38">
        <f>'[2]Приложение 1'!T883</f>
        <v>4503.95</v>
      </c>
      <c r="Y888" s="9">
        <f t="shared" si="199"/>
        <v>3234</v>
      </c>
      <c r="Z888" s="19">
        <f t="shared" si="200"/>
        <v>1269.9499999999998</v>
      </c>
    </row>
    <row r="889" spans="1:26" ht="9" customHeight="1">
      <c r="A889" s="510">
        <v>165</v>
      </c>
      <c r="B889" s="509" t="s">
        <v>837</v>
      </c>
      <c r="C889" s="58" t="s">
        <v>1192</v>
      </c>
      <c r="D889" s="59" t="s">
        <v>110</v>
      </c>
      <c r="E889" s="511">
        <f t="shared" si="220"/>
        <v>3485030.2</v>
      </c>
      <c r="F889" s="511">
        <v>0</v>
      </c>
      <c r="G889" s="17">
        <v>0</v>
      </c>
      <c r="H889" s="511">
        <v>0</v>
      </c>
      <c r="I889" s="511">
        <v>1045.3</v>
      </c>
      <c r="J889" s="511"/>
      <c r="K889" s="511"/>
      <c r="L889" s="511">
        <f t="shared" ref="L889:L892" si="223">ROUND(3334*I889,2)</f>
        <v>3485030.2</v>
      </c>
      <c r="M889" s="511">
        <v>0</v>
      </c>
      <c r="N889" s="511">
        <v>0</v>
      </c>
      <c r="O889" s="511">
        <v>0</v>
      </c>
      <c r="P889" s="511">
        <v>0</v>
      </c>
      <c r="Q889" s="511">
        <v>0</v>
      </c>
      <c r="R889" s="511">
        <v>0</v>
      </c>
      <c r="S889" s="511">
        <v>0</v>
      </c>
      <c r="T889" s="511">
        <v>0</v>
      </c>
      <c r="U889" s="511">
        <v>0</v>
      </c>
      <c r="V889" s="511">
        <v>0</v>
      </c>
      <c r="X889" s="38">
        <f>'[2]Приложение 1'!T884</f>
        <v>4503.95</v>
      </c>
      <c r="Y889" s="9">
        <f t="shared" si="199"/>
        <v>3334.0000000000005</v>
      </c>
      <c r="Z889" s="19">
        <f t="shared" si="200"/>
        <v>1169.9499999999994</v>
      </c>
    </row>
    <row r="890" spans="1:26" ht="9" customHeight="1">
      <c r="A890" s="510">
        <v>166</v>
      </c>
      <c r="B890" s="509" t="s">
        <v>838</v>
      </c>
      <c r="C890" s="58" t="s">
        <v>1192</v>
      </c>
      <c r="D890" s="59" t="s">
        <v>110</v>
      </c>
      <c r="E890" s="511">
        <f t="shared" si="220"/>
        <v>733480</v>
      </c>
      <c r="F890" s="511">
        <v>0</v>
      </c>
      <c r="G890" s="17">
        <v>0</v>
      </c>
      <c r="H890" s="511">
        <v>0</v>
      </c>
      <c r="I890" s="511">
        <v>220</v>
      </c>
      <c r="J890" s="511"/>
      <c r="K890" s="511"/>
      <c r="L890" s="511">
        <f t="shared" si="223"/>
        <v>733480</v>
      </c>
      <c r="M890" s="511">
        <v>0</v>
      </c>
      <c r="N890" s="511">
        <v>0</v>
      </c>
      <c r="O890" s="511">
        <v>0</v>
      </c>
      <c r="P890" s="511">
        <v>0</v>
      </c>
      <c r="Q890" s="511">
        <v>0</v>
      </c>
      <c r="R890" s="511">
        <v>0</v>
      </c>
      <c r="S890" s="511">
        <v>0</v>
      </c>
      <c r="T890" s="511">
        <v>0</v>
      </c>
      <c r="U890" s="511">
        <v>0</v>
      </c>
      <c r="V890" s="511">
        <v>0</v>
      </c>
      <c r="X890" s="38">
        <f>'[2]Приложение 1'!T885</f>
        <v>4180</v>
      </c>
      <c r="Y890" s="9">
        <f t="shared" si="199"/>
        <v>3334</v>
      </c>
      <c r="Z890" s="19">
        <f t="shared" si="200"/>
        <v>846</v>
      </c>
    </row>
    <row r="891" spans="1:26" ht="9" customHeight="1">
      <c r="A891" s="510">
        <v>167</v>
      </c>
      <c r="B891" s="509" t="s">
        <v>824</v>
      </c>
      <c r="C891" s="58" t="s">
        <v>1192</v>
      </c>
      <c r="D891" s="59" t="s">
        <v>110</v>
      </c>
      <c r="E891" s="511">
        <f t="shared" si="220"/>
        <v>988697.7</v>
      </c>
      <c r="F891" s="511">
        <v>0</v>
      </c>
      <c r="G891" s="17">
        <v>0</v>
      </c>
      <c r="H891" s="511">
        <v>0</v>
      </c>
      <c r="I891" s="511">
        <v>296.55</v>
      </c>
      <c r="J891" s="511"/>
      <c r="K891" s="511"/>
      <c r="L891" s="511">
        <f t="shared" si="223"/>
        <v>988697.7</v>
      </c>
      <c r="M891" s="511">
        <v>0</v>
      </c>
      <c r="N891" s="511">
        <v>0</v>
      </c>
      <c r="O891" s="511">
        <v>0</v>
      </c>
      <c r="P891" s="511">
        <v>0</v>
      </c>
      <c r="Q891" s="511">
        <v>0</v>
      </c>
      <c r="R891" s="511">
        <v>0</v>
      </c>
      <c r="S891" s="511">
        <v>0</v>
      </c>
      <c r="T891" s="511">
        <v>0</v>
      </c>
      <c r="U891" s="511">
        <v>0</v>
      </c>
      <c r="V891" s="511">
        <v>0</v>
      </c>
      <c r="X891" s="38">
        <f>'[2]Приложение 1'!T886</f>
        <v>4180</v>
      </c>
      <c r="Y891" s="9">
        <f t="shared" si="199"/>
        <v>3333.9999999999995</v>
      </c>
      <c r="Z891" s="19">
        <f t="shared" si="200"/>
        <v>846.00000000000045</v>
      </c>
    </row>
    <row r="892" spans="1:26" ht="9" customHeight="1">
      <c r="A892" s="510">
        <v>168</v>
      </c>
      <c r="B892" s="509" t="s">
        <v>839</v>
      </c>
      <c r="C892" s="58" t="s">
        <v>1192</v>
      </c>
      <c r="D892" s="59" t="s">
        <v>110</v>
      </c>
      <c r="E892" s="511">
        <f t="shared" si="220"/>
        <v>1646996</v>
      </c>
      <c r="F892" s="511">
        <v>0</v>
      </c>
      <c r="G892" s="17">
        <v>0</v>
      </c>
      <c r="H892" s="511">
        <v>0</v>
      </c>
      <c r="I892" s="511">
        <v>494</v>
      </c>
      <c r="J892" s="511"/>
      <c r="K892" s="511"/>
      <c r="L892" s="511">
        <f t="shared" si="223"/>
        <v>1646996</v>
      </c>
      <c r="M892" s="511">
        <v>0</v>
      </c>
      <c r="N892" s="511">
        <v>0</v>
      </c>
      <c r="O892" s="511">
        <v>0</v>
      </c>
      <c r="P892" s="511">
        <v>0</v>
      </c>
      <c r="Q892" s="511">
        <v>0</v>
      </c>
      <c r="R892" s="511">
        <v>0</v>
      </c>
      <c r="S892" s="511">
        <v>0</v>
      </c>
      <c r="T892" s="511">
        <v>0</v>
      </c>
      <c r="U892" s="511">
        <v>0</v>
      </c>
      <c r="V892" s="511">
        <v>0</v>
      </c>
      <c r="X892" s="38">
        <f>'[2]Приложение 1'!T887</f>
        <v>4180</v>
      </c>
      <c r="Y892" s="9">
        <f t="shared" si="199"/>
        <v>3334</v>
      </c>
      <c r="Z892" s="19">
        <f t="shared" si="200"/>
        <v>846</v>
      </c>
    </row>
    <row r="893" spans="1:26" ht="9" customHeight="1">
      <c r="A893" s="510">
        <v>169</v>
      </c>
      <c r="B893" s="509" t="s">
        <v>840</v>
      </c>
      <c r="C893" s="58" t="s">
        <v>1198</v>
      </c>
      <c r="D893" s="59" t="s">
        <v>111</v>
      </c>
      <c r="E893" s="511">
        <f t="shared" si="220"/>
        <v>1252320.33</v>
      </c>
      <c r="F893" s="511">
        <f>ROUND(476.9*(370+1200+210+220+303.05),2)</f>
        <v>1098324.55</v>
      </c>
      <c r="G893" s="17">
        <v>0</v>
      </c>
      <c r="H893" s="511">
        <v>0</v>
      </c>
      <c r="I893" s="511">
        <v>0</v>
      </c>
      <c r="J893" s="511"/>
      <c r="K893" s="511"/>
      <c r="L893" s="511">
        <v>0</v>
      </c>
      <c r="M893" s="511">
        <v>0</v>
      </c>
      <c r="N893" s="511">
        <v>0</v>
      </c>
      <c r="O893" s="511">
        <v>0</v>
      </c>
      <c r="P893" s="511">
        <v>0</v>
      </c>
      <c r="Q893" s="511">
        <v>0</v>
      </c>
      <c r="R893" s="511">
        <v>0</v>
      </c>
      <c r="S893" s="511">
        <v>0</v>
      </c>
      <c r="T893" s="511">
        <v>0</v>
      </c>
      <c r="U893" s="511">
        <f>ROUND(476.9*322.91,2)</f>
        <v>153995.78</v>
      </c>
      <c r="V893" s="511">
        <v>0</v>
      </c>
      <c r="X893" s="38">
        <f>'[2]Приложение 1'!T888</f>
        <v>4180</v>
      </c>
      <c r="Y893" s="9" t="e">
        <f t="shared" si="199"/>
        <v>#DIV/0!</v>
      </c>
      <c r="Z893" s="19" t="e">
        <f t="shared" si="200"/>
        <v>#DIV/0!</v>
      </c>
    </row>
    <row r="894" spans="1:26">
      <c r="A894" s="886" t="s">
        <v>445</v>
      </c>
      <c r="B894" s="886"/>
      <c r="C894" s="886"/>
      <c r="D894" s="886"/>
      <c r="E894" s="886"/>
      <c r="F894" s="886"/>
      <c r="G894" s="886"/>
      <c r="H894" s="886"/>
      <c r="I894" s="886"/>
      <c r="J894" s="886"/>
      <c r="K894" s="886"/>
      <c r="L894" s="886"/>
      <c r="M894" s="886"/>
      <c r="N894" s="886"/>
      <c r="O894" s="886"/>
      <c r="P894" s="886"/>
      <c r="Q894" s="886"/>
      <c r="R894" s="886"/>
      <c r="S894" s="886"/>
      <c r="T894" s="886"/>
      <c r="U894" s="886"/>
      <c r="V894" s="886"/>
      <c r="X894" s="38">
        <f>'[2]Приложение 1'!T889</f>
        <v>5307.56</v>
      </c>
      <c r="Y894" s="9" t="e">
        <f t="shared" si="199"/>
        <v>#DIV/0!</v>
      </c>
      <c r="Z894" s="19" t="e">
        <f t="shared" si="200"/>
        <v>#DIV/0!</v>
      </c>
    </row>
    <row r="895" spans="1:26" ht="20.25" customHeight="1">
      <c r="A895" s="900" t="s">
        <v>446</v>
      </c>
      <c r="B895" s="900"/>
      <c r="C895" s="58"/>
      <c r="D895" s="58"/>
      <c r="E895" s="20">
        <f t="shared" ref="E895:V895" si="224">SUM(E896:E896)</f>
        <v>2037420</v>
      </c>
      <c r="F895" s="20">
        <f t="shared" si="224"/>
        <v>0</v>
      </c>
      <c r="G895" s="33">
        <f t="shared" si="224"/>
        <v>0</v>
      </c>
      <c r="H895" s="20">
        <f t="shared" si="224"/>
        <v>0</v>
      </c>
      <c r="I895" s="20">
        <f t="shared" si="224"/>
        <v>630</v>
      </c>
      <c r="J895" s="20">
        <f t="shared" si="224"/>
        <v>0</v>
      </c>
      <c r="K895" s="20">
        <f t="shared" si="224"/>
        <v>0</v>
      </c>
      <c r="L895" s="20">
        <f t="shared" si="224"/>
        <v>2037420</v>
      </c>
      <c r="M895" s="20">
        <f t="shared" si="224"/>
        <v>0</v>
      </c>
      <c r="N895" s="20">
        <f t="shared" si="224"/>
        <v>0</v>
      </c>
      <c r="O895" s="20">
        <f t="shared" si="224"/>
        <v>0</v>
      </c>
      <c r="P895" s="20">
        <f t="shared" si="224"/>
        <v>0</v>
      </c>
      <c r="Q895" s="20">
        <f t="shared" si="224"/>
        <v>0</v>
      </c>
      <c r="R895" s="20">
        <f t="shared" si="224"/>
        <v>0</v>
      </c>
      <c r="S895" s="20">
        <f t="shared" si="224"/>
        <v>0</v>
      </c>
      <c r="T895" s="20">
        <f t="shared" si="224"/>
        <v>0</v>
      </c>
      <c r="U895" s="20">
        <f t="shared" si="224"/>
        <v>0</v>
      </c>
      <c r="V895" s="20">
        <f t="shared" si="224"/>
        <v>0</v>
      </c>
      <c r="X895" s="38">
        <f>'[2]Приложение 1'!T890</f>
        <v>0</v>
      </c>
      <c r="Y895" s="9">
        <f t="shared" si="199"/>
        <v>3234</v>
      </c>
      <c r="Z895" s="19">
        <f t="shared" si="200"/>
        <v>-3234</v>
      </c>
    </row>
    <row r="896" spans="1:26" ht="9" customHeight="1">
      <c r="A896" s="21">
        <v>170</v>
      </c>
      <c r="B896" s="509" t="s">
        <v>847</v>
      </c>
      <c r="C896" s="58" t="s">
        <v>1192</v>
      </c>
      <c r="D896" s="59" t="s">
        <v>111</v>
      </c>
      <c r="E896" s="511">
        <f t="shared" ref="E896" si="225">F896+H896+L896+N896+P896+R896+S896+T896+U896+V896</f>
        <v>2037420</v>
      </c>
      <c r="F896" s="20">
        <v>0</v>
      </c>
      <c r="G896" s="33">
        <v>0</v>
      </c>
      <c r="H896" s="20">
        <v>0</v>
      </c>
      <c r="I896" s="43">
        <v>630</v>
      </c>
      <c r="J896" s="21"/>
      <c r="K896" s="511"/>
      <c r="L896" s="511">
        <f>ROUND(3234*I896,2)</f>
        <v>2037420</v>
      </c>
      <c r="M896" s="43">
        <v>0</v>
      </c>
      <c r="N896" s="43">
        <v>0</v>
      </c>
      <c r="O896" s="43">
        <v>0</v>
      </c>
      <c r="P896" s="43">
        <v>0</v>
      </c>
      <c r="Q896" s="43">
        <v>0</v>
      </c>
      <c r="R896" s="43">
        <v>0</v>
      </c>
      <c r="S896" s="43">
        <v>0</v>
      </c>
      <c r="T896" s="43">
        <v>0</v>
      </c>
      <c r="U896" s="43">
        <v>0</v>
      </c>
      <c r="V896" s="43">
        <v>0</v>
      </c>
      <c r="X896" s="38">
        <f>'[2]Приложение 1'!T891</f>
        <v>0</v>
      </c>
      <c r="Y896" s="9">
        <f t="shared" ref="Y896:Y959" si="226">L896/I896</f>
        <v>3234</v>
      </c>
      <c r="Z896" s="19">
        <f t="shared" ref="Z896:Z959" si="227">X896-Y896</f>
        <v>-3234</v>
      </c>
    </row>
    <row r="897" spans="1:26" ht="11.25" customHeight="1">
      <c r="A897" s="886" t="s">
        <v>397</v>
      </c>
      <c r="B897" s="886"/>
      <c r="C897" s="886"/>
      <c r="D897" s="886"/>
      <c r="E897" s="886"/>
      <c r="F897" s="886"/>
      <c r="G897" s="886"/>
      <c r="H897" s="886"/>
      <c r="I897" s="886"/>
      <c r="J897" s="886"/>
      <c r="K897" s="886"/>
      <c r="L897" s="886"/>
      <c r="M897" s="886"/>
      <c r="N897" s="886"/>
      <c r="O897" s="886"/>
      <c r="P897" s="886"/>
      <c r="Q897" s="886"/>
      <c r="R897" s="886"/>
      <c r="S897" s="886"/>
      <c r="T897" s="886"/>
      <c r="U897" s="886"/>
      <c r="V897" s="886"/>
      <c r="X897" s="38">
        <f>'[2]Приложение 1'!T892</f>
        <v>4503.95</v>
      </c>
      <c r="Y897" s="9" t="e">
        <f t="shared" si="226"/>
        <v>#DIV/0!</v>
      </c>
      <c r="Z897" s="19" t="e">
        <f t="shared" si="227"/>
        <v>#DIV/0!</v>
      </c>
    </row>
    <row r="898" spans="1:26" ht="19.5" customHeight="1">
      <c r="A898" s="902" t="s">
        <v>398</v>
      </c>
      <c r="B898" s="902"/>
      <c r="C898" s="66"/>
      <c r="D898" s="66"/>
      <c r="E898" s="20">
        <f t="shared" ref="E898:V898" si="228">SUM(E899:E900)</f>
        <v>2800560</v>
      </c>
      <c r="F898" s="20">
        <f t="shared" si="228"/>
        <v>0</v>
      </c>
      <c r="G898" s="33">
        <f t="shared" si="228"/>
        <v>0</v>
      </c>
      <c r="H898" s="20">
        <f t="shared" si="228"/>
        <v>0</v>
      </c>
      <c r="I898" s="20">
        <f t="shared" si="228"/>
        <v>840</v>
      </c>
      <c r="J898" s="20">
        <f t="shared" si="228"/>
        <v>0</v>
      </c>
      <c r="K898" s="20">
        <f t="shared" si="228"/>
        <v>0</v>
      </c>
      <c r="L898" s="20">
        <f t="shared" si="228"/>
        <v>2800560</v>
      </c>
      <c r="M898" s="20">
        <f t="shared" si="228"/>
        <v>0</v>
      </c>
      <c r="N898" s="20">
        <f t="shared" si="228"/>
        <v>0</v>
      </c>
      <c r="O898" s="20">
        <f t="shared" si="228"/>
        <v>0</v>
      </c>
      <c r="P898" s="20">
        <f t="shared" si="228"/>
        <v>0</v>
      </c>
      <c r="Q898" s="20">
        <f t="shared" si="228"/>
        <v>0</v>
      </c>
      <c r="R898" s="20">
        <f t="shared" si="228"/>
        <v>0</v>
      </c>
      <c r="S898" s="20">
        <f t="shared" si="228"/>
        <v>0</v>
      </c>
      <c r="T898" s="20">
        <f t="shared" si="228"/>
        <v>0</v>
      </c>
      <c r="U898" s="20">
        <f t="shared" si="228"/>
        <v>0</v>
      </c>
      <c r="V898" s="20">
        <f t="shared" si="228"/>
        <v>0</v>
      </c>
      <c r="X898" s="38">
        <f>'[2]Приложение 1'!T893</f>
        <v>0</v>
      </c>
      <c r="Y898" s="9">
        <f t="shared" si="226"/>
        <v>3334</v>
      </c>
      <c r="Z898" s="19">
        <f t="shared" si="227"/>
        <v>-3334</v>
      </c>
    </row>
    <row r="899" spans="1:26" ht="9" customHeight="1">
      <c r="A899" s="21">
        <v>171</v>
      </c>
      <c r="B899" s="509" t="s">
        <v>848</v>
      </c>
      <c r="C899" s="58" t="s">
        <v>1192</v>
      </c>
      <c r="D899" s="59" t="s">
        <v>110</v>
      </c>
      <c r="E899" s="511">
        <f t="shared" ref="E899:E900" si="229">F899+H899+L899+N899+P899+R899+S899+T899+U899+V899</f>
        <v>1400280</v>
      </c>
      <c r="F899" s="20">
        <v>0</v>
      </c>
      <c r="G899" s="33">
        <v>0</v>
      </c>
      <c r="H899" s="20">
        <v>0</v>
      </c>
      <c r="I899" s="20">
        <v>420</v>
      </c>
      <c r="J899" s="21"/>
      <c r="K899" s="511"/>
      <c r="L899" s="511">
        <f t="shared" ref="L899:L900" si="230">ROUND(3334*I899,2)</f>
        <v>1400280</v>
      </c>
      <c r="M899" s="43">
        <v>0</v>
      </c>
      <c r="N899" s="43">
        <v>0</v>
      </c>
      <c r="O899" s="43">
        <v>0</v>
      </c>
      <c r="P899" s="43">
        <v>0</v>
      </c>
      <c r="Q899" s="43">
        <v>0</v>
      </c>
      <c r="R899" s="43">
        <v>0</v>
      </c>
      <c r="S899" s="43">
        <v>0</v>
      </c>
      <c r="T899" s="43">
        <v>0</v>
      </c>
      <c r="U899" s="43">
        <v>0</v>
      </c>
      <c r="V899" s="43">
        <v>0</v>
      </c>
      <c r="X899" s="38">
        <f>'[2]Приложение 1'!T894</f>
        <v>0</v>
      </c>
      <c r="Y899" s="9">
        <f t="shared" si="226"/>
        <v>3334</v>
      </c>
      <c r="Z899" s="19">
        <f t="shared" si="227"/>
        <v>-3334</v>
      </c>
    </row>
    <row r="900" spans="1:26" ht="9" customHeight="1">
      <c r="A900" s="21">
        <v>172</v>
      </c>
      <c r="B900" s="509" t="s">
        <v>849</v>
      </c>
      <c r="C900" s="58" t="s">
        <v>1192</v>
      </c>
      <c r="D900" s="59" t="s">
        <v>110</v>
      </c>
      <c r="E900" s="511">
        <f t="shared" si="229"/>
        <v>1400280</v>
      </c>
      <c r="F900" s="20">
        <v>0</v>
      </c>
      <c r="G900" s="33">
        <v>0</v>
      </c>
      <c r="H900" s="20">
        <v>0</v>
      </c>
      <c r="I900" s="20">
        <v>420</v>
      </c>
      <c r="J900" s="21"/>
      <c r="K900" s="511"/>
      <c r="L900" s="511">
        <f t="shared" si="230"/>
        <v>1400280</v>
      </c>
      <c r="M900" s="43">
        <v>0</v>
      </c>
      <c r="N900" s="43">
        <v>0</v>
      </c>
      <c r="O900" s="43">
        <v>0</v>
      </c>
      <c r="P900" s="43">
        <v>0</v>
      </c>
      <c r="Q900" s="43">
        <v>0</v>
      </c>
      <c r="R900" s="43">
        <v>0</v>
      </c>
      <c r="S900" s="43">
        <v>0</v>
      </c>
      <c r="T900" s="43">
        <v>0</v>
      </c>
      <c r="U900" s="43">
        <v>0</v>
      </c>
      <c r="V900" s="43">
        <v>0</v>
      </c>
      <c r="X900" s="38">
        <f>'[2]Приложение 1'!T895</f>
        <v>4180</v>
      </c>
      <c r="Y900" s="9">
        <f t="shared" si="226"/>
        <v>3334</v>
      </c>
      <c r="Z900" s="19">
        <f t="shared" si="227"/>
        <v>846</v>
      </c>
    </row>
    <row r="901" spans="1:26">
      <c r="A901" s="882" t="s">
        <v>442</v>
      </c>
      <c r="B901" s="882"/>
      <c r="C901" s="882"/>
      <c r="D901" s="882"/>
      <c r="E901" s="882"/>
      <c r="F901" s="882"/>
      <c r="G901" s="882"/>
      <c r="H901" s="882"/>
      <c r="I901" s="882"/>
      <c r="J901" s="882"/>
      <c r="K901" s="882"/>
      <c r="L901" s="882"/>
      <c r="M901" s="882"/>
      <c r="N901" s="882"/>
      <c r="O901" s="882"/>
      <c r="P901" s="882"/>
      <c r="Q901" s="882"/>
      <c r="R901" s="882"/>
      <c r="S901" s="882"/>
      <c r="T901" s="882"/>
      <c r="U901" s="882"/>
      <c r="V901" s="882"/>
      <c r="X901" s="38">
        <f>'[2]Приложение 1'!T896</f>
        <v>4180</v>
      </c>
      <c r="Y901" s="9" t="e">
        <f t="shared" si="226"/>
        <v>#DIV/0!</v>
      </c>
      <c r="Z901" s="19" t="e">
        <f t="shared" si="227"/>
        <v>#DIV/0!</v>
      </c>
    </row>
    <row r="902" spans="1:26" ht="31.5" customHeight="1">
      <c r="A902" s="900" t="s">
        <v>443</v>
      </c>
      <c r="B902" s="900"/>
      <c r="C902" s="58"/>
      <c r="D902" s="58"/>
      <c r="E902" s="511">
        <f>SUM(E903:E904)</f>
        <v>1427127.98</v>
      </c>
      <c r="F902" s="511">
        <f t="shared" ref="F902:V902" si="231">SUM(F903:F904)</f>
        <v>930492.4</v>
      </c>
      <c r="G902" s="17">
        <f t="shared" si="231"/>
        <v>0</v>
      </c>
      <c r="H902" s="511">
        <f t="shared" si="231"/>
        <v>0</v>
      </c>
      <c r="I902" s="511">
        <f t="shared" si="231"/>
        <v>0</v>
      </c>
      <c r="J902" s="511">
        <f t="shared" si="231"/>
        <v>0</v>
      </c>
      <c r="K902" s="511">
        <f t="shared" si="231"/>
        <v>3615.7</v>
      </c>
      <c r="L902" s="511">
        <f t="shared" si="231"/>
        <v>0</v>
      </c>
      <c r="M902" s="511">
        <f t="shared" si="231"/>
        <v>0</v>
      </c>
      <c r="N902" s="511">
        <f t="shared" si="231"/>
        <v>0</v>
      </c>
      <c r="O902" s="511">
        <f t="shared" si="231"/>
        <v>0</v>
      </c>
      <c r="P902" s="511">
        <f t="shared" si="231"/>
        <v>0</v>
      </c>
      <c r="Q902" s="511">
        <f t="shared" si="231"/>
        <v>0</v>
      </c>
      <c r="R902" s="511">
        <f t="shared" si="231"/>
        <v>0</v>
      </c>
      <c r="S902" s="511">
        <f t="shared" si="231"/>
        <v>0</v>
      </c>
      <c r="T902" s="511">
        <f t="shared" si="231"/>
        <v>0</v>
      </c>
      <c r="U902" s="511">
        <f t="shared" si="231"/>
        <v>496635.58</v>
      </c>
      <c r="V902" s="511">
        <f t="shared" si="231"/>
        <v>0</v>
      </c>
      <c r="X902" s="38">
        <f>'[2]Приложение 1'!T897</f>
        <v>0</v>
      </c>
      <c r="Y902" s="9" t="e">
        <f t="shared" si="226"/>
        <v>#DIV/0!</v>
      </c>
      <c r="Z902" s="19" t="e">
        <f t="shared" si="227"/>
        <v>#DIV/0!</v>
      </c>
    </row>
    <row r="903" spans="1:26" ht="11.25" customHeight="1">
      <c r="A903" s="510">
        <v>173</v>
      </c>
      <c r="B903" s="509" t="s">
        <v>850</v>
      </c>
      <c r="C903" s="58" t="s">
        <v>1198</v>
      </c>
      <c r="D903" s="59" t="s">
        <v>111</v>
      </c>
      <c r="E903" s="511">
        <f t="shared" ref="E903:E904" si="232">F903+H903+L903+N903+P903+R903+S903+T903+U903+V903</f>
        <v>1157975.58</v>
      </c>
      <c r="F903" s="511">
        <f>ROUND(1538*(220+210),2)</f>
        <v>661340</v>
      </c>
      <c r="G903" s="17">
        <v>0</v>
      </c>
      <c r="H903" s="511">
        <v>0</v>
      </c>
      <c r="I903" s="511">
        <v>0</v>
      </c>
      <c r="J903" s="511" t="s">
        <v>290</v>
      </c>
      <c r="K903" s="511">
        <f t="shared" ref="K903:K904" si="233">(190+910+260+200+170)*1.045</f>
        <v>1807.85</v>
      </c>
      <c r="L903" s="511">
        <v>0</v>
      </c>
      <c r="M903" s="511">
        <v>0</v>
      </c>
      <c r="N903" s="511">
        <v>0</v>
      </c>
      <c r="O903" s="511">
        <v>0</v>
      </c>
      <c r="P903" s="511">
        <v>0</v>
      </c>
      <c r="Q903" s="511">
        <v>0</v>
      </c>
      <c r="R903" s="511">
        <v>0</v>
      </c>
      <c r="S903" s="511">
        <v>0</v>
      </c>
      <c r="T903" s="511">
        <v>0</v>
      </c>
      <c r="U903" s="511">
        <f>ROUND(1538*322.91,2)</f>
        <v>496635.58</v>
      </c>
      <c r="V903" s="511">
        <v>0</v>
      </c>
      <c r="X903" s="38">
        <f>'[2]Приложение 1'!T898</f>
        <v>0</v>
      </c>
      <c r="Y903" s="9" t="e">
        <f t="shared" si="226"/>
        <v>#DIV/0!</v>
      </c>
      <c r="Z903" s="19" t="e">
        <f t="shared" si="227"/>
        <v>#DIV/0!</v>
      </c>
    </row>
    <row r="904" spans="1:26" ht="9" customHeight="1">
      <c r="A904" s="510">
        <v>174</v>
      </c>
      <c r="B904" s="509" t="s">
        <v>851</v>
      </c>
      <c r="C904" s="58" t="s">
        <v>1008</v>
      </c>
      <c r="D904" s="59" t="s">
        <v>111</v>
      </c>
      <c r="E904" s="511">
        <f t="shared" si="232"/>
        <v>269152.40000000002</v>
      </c>
      <c r="F904" s="511">
        <f>ROUND(1223.42*220,2)</f>
        <v>269152.40000000002</v>
      </c>
      <c r="G904" s="17">
        <v>0</v>
      </c>
      <c r="H904" s="511">
        <v>0</v>
      </c>
      <c r="I904" s="511">
        <v>0</v>
      </c>
      <c r="J904" s="511" t="s">
        <v>290</v>
      </c>
      <c r="K904" s="511">
        <f t="shared" si="233"/>
        <v>1807.85</v>
      </c>
      <c r="L904" s="511">
        <v>0</v>
      </c>
      <c r="M904" s="511">
        <v>0</v>
      </c>
      <c r="N904" s="511">
        <v>0</v>
      </c>
      <c r="O904" s="511">
        <v>0</v>
      </c>
      <c r="P904" s="511">
        <v>0</v>
      </c>
      <c r="Q904" s="511">
        <v>0</v>
      </c>
      <c r="R904" s="511">
        <v>0</v>
      </c>
      <c r="S904" s="511">
        <v>0</v>
      </c>
      <c r="T904" s="511">
        <v>0</v>
      </c>
      <c r="U904" s="511">
        <v>0</v>
      </c>
      <c r="V904" s="511">
        <v>0</v>
      </c>
      <c r="X904" s="38">
        <f>'[2]Приложение 1'!T899</f>
        <v>5307.56</v>
      </c>
      <c r="Y904" s="9" t="e">
        <f t="shared" si="226"/>
        <v>#DIV/0!</v>
      </c>
      <c r="Z904" s="19" t="e">
        <f t="shared" si="227"/>
        <v>#DIV/0!</v>
      </c>
    </row>
    <row r="905" spans="1:26" ht="10.5" customHeight="1">
      <c r="A905" s="882" t="s">
        <v>1214</v>
      </c>
      <c r="B905" s="882"/>
      <c r="C905" s="882"/>
      <c r="D905" s="882"/>
      <c r="E905" s="882"/>
      <c r="F905" s="882"/>
      <c r="G905" s="882"/>
      <c r="H905" s="882"/>
      <c r="I905" s="882"/>
      <c r="J905" s="882"/>
      <c r="K905" s="882"/>
      <c r="L905" s="882"/>
      <c r="M905" s="882"/>
      <c r="N905" s="882"/>
      <c r="O905" s="882"/>
      <c r="P905" s="882"/>
      <c r="Q905" s="882"/>
      <c r="R905" s="882"/>
      <c r="S905" s="882"/>
      <c r="T905" s="882"/>
      <c r="U905" s="882"/>
      <c r="V905" s="882"/>
      <c r="X905" s="38">
        <f>'[2]Приложение 1'!T900</f>
        <v>4984.6499999999996</v>
      </c>
      <c r="Y905" s="9" t="e">
        <f t="shared" si="226"/>
        <v>#DIV/0!</v>
      </c>
      <c r="Z905" s="19" t="e">
        <f t="shared" si="227"/>
        <v>#DIV/0!</v>
      </c>
    </row>
    <row r="906" spans="1:26" ht="21.75" customHeight="1">
      <c r="A906" s="900" t="s">
        <v>1215</v>
      </c>
      <c r="B906" s="900"/>
      <c r="C906" s="58"/>
      <c r="D906" s="58"/>
      <c r="E906" s="511">
        <f>SUM(E907:E910)</f>
        <v>1647013.44</v>
      </c>
      <c r="F906" s="511">
        <f t="shared" ref="F906:V906" si="234">SUM(F907:F910)</f>
        <v>797379.1</v>
      </c>
      <c r="G906" s="17">
        <f t="shared" si="234"/>
        <v>0</v>
      </c>
      <c r="H906" s="511">
        <f t="shared" si="234"/>
        <v>0</v>
      </c>
      <c r="I906" s="511">
        <f t="shared" si="234"/>
        <v>0</v>
      </c>
      <c r="J906" s="511">
        <f t="shared" si="234"/>
        <v>0</v>
      </c>
      <c r="K906" s="511">
        <f t="shared" si="234"/>
        <v>0</v>
      </c>
      <c r="L906" s="511">
        <f t="shared" si="234"/>
        <v>0</v>
      </c>
      <c r="M906" s="511">
        <f t="shared" si="234"/>
        <v>0</v>
      </c>
      <c r="N906" s="511">
        <f t="shared" si="234"/>
        <v>0</v>
      </c>
      <c r="O906" s="511">
        <f t="shared" si="234"/>
        <v>0</v>
      </c>
      <c r="P906" s="511">
        <f t="shared" si="234"/>
        <v>0</v>
      </c>
      <c r="Q906" s="511">
        <f t="shared" si="234"/>
        <v>0</v>
      </c>
      <c r="R906" s="511">
        <f t="shared" si="234"/>
        <v>0</v>
      </c>
      <c r="S906" s="511">
        <f t="shared" si="234"/>
        <v>0</v>
      </c>
      <c r="T906" s="511">
        <f t="shared" si="234"/>
        <v>0</v>
      </c>
      <c r="U906" s="511">
        <f t="shared" si="234"/>
        <v>849634.34</v>
      </c>
      <c r="V906" s="511">
        <f t="shared" si="234"/>
        <v>0</v>
      </c>
      <c r="X906" s="38">
        <f>'[2]Приложение 1'!T901</f>
        <v>0</v>
      </c>
      <c r="Y906" s="9" t="e">
        <f t="shared" si="226"/>
        <v>#DIV/0!</v>
      </c>
      <c r="Z906" s="19" t="e">
        <f t="shared" si="227"/>
        <v>#DIV/0!</v>
      </c>
    </row>
    <row r="907" spans="1:26" ht="9" customHeight="1">
      <c r="A907" s="510">
        <v>175</v>
      </c>
      <c r="B907" s="509" t="s">
        <v>852</v>
      </c>
      <c r="C907" s="58" t="s">
        <v>1202</v>
      </c>
      <c r="D907" s="58"/>
      <c r="E907" s="511">
        <f t="shared" ref="E907:E910" si="235">F907+H907+L907+N907+P907+R907+S907+T907+U907+V907</f>
        <v>537687.12</v>
      </c>
      <c r="F907" s="511">
        <f>ROUND(858.98*303.05,2)</f>
        <v>260313.89</v>
      </c>
      <c r="G907" s="17">
        <v>0</v>
      </c>
      <c r="H907" s="511">
        <v>0</v>
      </c>
      <c r="I907" s="511">
        <v>0</v>
      </c>
      <c r="J907" s="511"/>
      <c r="K907" s="511"/>
      <c r="L907" s="511">
        <v>0</v>
      </c>
      <c r="M907" s="511">
        <v>0</v>
      </c>
      <c r="N907" s="511">
        <v>0</v>
      </c>
      <c r="O907" s="511">
        <v>0</v>
      </c>
      <c r="P907" s="511">
        <v>0</v>
      </c>
      <c r="Q907" s="511">
        <v>0</v>
      </c>
      <c r="R907" s="511">
        <v>0</v>
      </c>
      <c r="S907" s="511">
        <v>0</v>
      </c>
      <c r="T907" s="511">
        <v>0</v>
      </c>
      <c r="U907" s="511">
        <f>ROUND(858.98*322.91,2)</f>
        <v>277373.23</v>
      </c>
      <c r="V907" s="511">
        <v>0</v>
      </c>
      <c r="X907" s="38">
        <f>'[2]Приложение 1'!T902</f>
        <v>0</v>
      </c>
      <c r="Y907" s="9" t="e">
        <f t="shared" si="226"/>
        <v>#DIV/0!</v>
      </c>
      <c r="Z907" s="19" t="e">
        <f t="shared" si="227"/>
        <v>#DIV/0!</v>
      </c>
    </row>
    <row r="908" spans="1:26" ht="9" customHeight="1">
      <c r="A908" s="510">
        <v>176</v>
      </c>
      <c r="B908" s="509" t="s">
        <v>853</v>
      </c>
      <c r="C908" s="58" t="s">
        <v>1202</v>
      </c>
      <c r="D908" s="58"/>
      <c r="E908" s="511">
        <f t="shared" si="235"/>
        <v>373166.06</v>
      </c>
      <c r="F908" s="511">
        <f>ROUND(596.15*303.05,2)</f>
        <v>180663.26</v>
      </c>
      <c r="G908" s="17">
        <v>0</v>
      </c>
      <c r="H908" s="511">
        <v>0</v>
      </c>
      <c r="I908" s="511">
        <v>0</v>
      </c>
      <c r="J908" s="511"/>
      <c r="K908" s="511"/>
      <c r="L908" s="511">
        <v>0</v>
      </c>
      <c r="M908" s="511">
        <v>0</v>
      </c>
      <c r="N908" s="511">
        <v>0</v>
      </c>
      <c r="O908" s="511">
        <v>0</v>
      </c>
      <c r="P908" s="511">
        <v>0</v>
      </c>
      <c r="Q908" s="511">
        <v>0</v>
      </c>
      <c r="R908" s="511">
        <v>0</v>
      </c>
      <c r="S908" s="511">
        <v>0</v>
      </c>
      <c r="T908" s="511">
        <v>0</v>
      </c>
      <c r="U908" s="511">
        <f>ROUND(596.15*322.91,2)</f>
        <v>192502.8</v>
      </c>
      <c r="V908" s="511">
        <v>0</v>
      </c>
      <c r="X908" s="38">
        <f>'[2]Приложение 1'!T903</f>
        <v>5307.5599999999995</v>
      </c>
      <c r="Y908" s="9" t="e">
        <f t="shared" si="226"/>
        <v>#DIV/0!</v>
      </c>
      <c r="Z908" s="19" t="e">
        <f t="shared" si="227"/>
        <v>#DIV/0!</v>
      </c>
    </row>
    <row r="909" spans="1:26" ht="9" customHeight="1">
      <c r="A909" s="510">
        <v>177</v>
      </c>
      <c r="B909" s="509" t="s">
        <v>854</v>
      </c>
      <c r="C909" s="58" t="s">
        <v>1202</v>
      </c>
      <c r="D909" s="58"/>
      <c r="E909" s="511">
        <f t="shared" si="235"/>
        <v>369541.75</v>
      </c>
      <c r="F909" s="511">
        <f>ROUND(590.36*303.05,2)</f>
        <v>178908.6</v>
      </c>
      <c r="G909" s="17">
        <v>0</v>
      </c>
      <c r="H909" s="511">
        <v>0</v>
      </c>
      <c r="I909" s="511">
        <v>0</v>
      </c>
      <c r="J909" s="511"/>
      <c r="K909" s="511"/>
      <c r="L909" s="511">
        <v>0</v>
      </c>
      <c r="M909" s="511">
        <v>0</v>
      </c>
      <c r="N909" s="511">
        <v>0</v>
      </c>
      <c r="O909" s="511">
        <v>0</v>
      </c>
      <c r="P909" s="511">
        <v>0</v>
      </c>
      <c r="Q909" s="511">
        <v>0</v>
      </c>
      <c r="R909" s="511">
        <v>0</v>
      </c>
      <c r="S909" s="511">
        <v>0</v>
      </c>
      <c r="T909" s="511">
        <v>0</v>
      </c>
      <c r="U909" s="511">
        <f>ROUND(590.36*322.91,2)</f>
        <v>190633.15</v>
      </c>
      <c r="V909" s="511">
        <v>0</v>
      </c>
      <c r="X909" s="38">
        <f>'[2]Приложение 1'!T904</f>
        <v>5307.5599999999995</v>
      </c>
      <c r="Y909" s="9" t="e">
        <f t="shared" si="226"/>
        <v>#DIV/0!</v>
      </c>
      <c r="Z909" s="19" t="e">
        <f t="shared" si="227"/>
        <v>#DIV/0!</v>
      </c>
    </row>
    <row r="910" spans="1:26" ht="9" customHeight="1">
      <c r="A910" s="510">
        <v>178</v>
      </c>
      <c r="B910" s="509" t="s">
        <v>855</v>
      </c>
      <c r="C910" s="58" t="s">
        <v>1202</v>
      </c>
      <c r="D910" s="58"/>
      <c r="E910" s="511">
        <f t="shared" si="235"/>
        <v>366618.51</v>
      </c>
      <c r="F910" s="511">
        <f>ROUND(585.69*303.05,2)</f>
        <v>177493.35</v>
      </c>
      <c r="G910" s="17">
        <v>0</v>
      </c>
      <c r="H910" s="511">
        <v>0</v>
      </c>
      <c r="I910" s="511">
        <v>0</v>
      </c>
      <c r="J910" s="511"/>
      <c r="K910" s="511"/>
      <c r="L910" s="511">
        <v>0</v>
      </c>
      <c r="M910" s="511">
        <v>0</v>
      </c>
      <c r="N910" s="511">
        <v>0</v>
      </c>
      <c r="O910" s="511">
        <v>0</v>
      </c>
      <c r="P910" s="511">
        <v>0</v>
      </c>
      <c r="Q910" s="511">
        <v>0</v>
      </c>
      <c r="R910" s="511">
        <v>0</v>
      </c>
      <c r="S910" s="511">
        <v>0</v>
      </c>
      <c r="T910" s="511">
        <v>0</v>
      </c>
      <c r="U910" s="511">
        <f>ROUND(585.69*322.91,2)</f>
        <v>189125.16</v>
      </c>
      <c r="V910" s="511">
        <v>0</v>
      </c>
      <c r="X910" s="38">
        <f>'[2]Приложение 1'!T905</f>
        <v>5307.5599999999995</v>
      </c>
      <c r="Y910" s="9" t="e">
        <f t="shared" si="226"/>
        <v>#DIV/0!</v>
      </c>
      <c r="Z910" s="19" t="e">
        <f t="shared" si="227"/>
        <v>#DIV/0!</v>
      </c>
    </row>
    <row r="911" spans="1:26" ht="9" customHeight="1">
      <c r="A911" s="882" t="s">
        <v>447</v>
      </c>
      <c r="B911" s="882"/>
      <c r="C911" s="882"/>
      <c r="D911" s="882"/>
      <c r="E911" s="882"/>
      <c r="F911" s="882"/>
      <c r="G911" s="882"/>
      <c r="H911" s="882"/>
      <c r="I911" s="882"/>
      <c r="J911" s="882"/>
      <c r="K911" s="882"/>
      <c r="L911" s="882"/>
      <c r="M911" s="882"/>
      <c r="N911" s="882"/>
      <c r="O911" s="882"/>
      <c r="P911" s="882"/>
      <c r="Q911" s="882"/>
      <c r="R911" s="882"/>
      <c r="S911" s="882"/>
      <c r="T911" s="882"/>
      <c r="U911" s="882"/>
      <c r="V911" s="882"/>
      <c r="X911" s="38">
        <f>'[2]Приложение 1'!T906</f>
        <v>5307.5599999999995</v>
      </c>
      <c r="Y911" s="9" t="e">
        <f t="shared" si="226"/>
        <v>#DIV/0!</v>
      </c>
      <c r="Z911" s="19" t="e">
        <f t="shared" si="227"/>
        <v>#DIV/0!</v>
      </c>
    </row>
    <row r="912" spans="1:26" ht="32.25" customHeight="1">
      <c r="A912" s="900" t="s">
        <v>448</v>
      </c>
      <c r="B912" s="900"/>
      <c r="C912" s="58"/>
      <c r="D912" s="58"/>
      <c r="E912" s="511">
        <f>SUM(E913:E914)</f>
        <v>3266340</v>
      </c>
      <c r="F912" s="511">
        <f t="shared" ref="F912:V912" si="236">SUM(F913:F914)</f>
        <v>0</v>
      </c>
      <c r="G912" s="17">
        <f t="shared" si="236"/>
        <v>0</v>
      </c>
      <c r="H912" s="511">
        <f t="shared" si="236"/>
        <v>0</v>
      </c>
      <c r="I912" s="511">
        <f>SUM(I913:I914)</f>
        <v>1010</v>
      </c>
      <c r="J912" s="511">
        <f t="shared" si="236"/>
        <v>0</v>
      </c>
      <c r="K912" s="511">
        <f t="shared" si="236"/>
        <v>0</v>
      </c>
      <c r="L912" s="511">
        <f t="shared" si="236"/>
        <v>3266340</v>
      </c>
      <c r="M912" s="511">
        <f t="shared" si="236"/>
        <v>0</v>
      </c>
      <c r="N912" s="511">
        <f t="shared" si="236"/>
        <v>0</v>
      </c>
      <c r="O912" s="511">
        <f t="shared" si="236"/>
        <v>0</v>
      </c>
      <c r="P912" s="511">
        <f t="shared" si="236"/>
        <v>0</v>
      </c>
      <c r="Q912" s="511">
        <f t="shared" si="236"/>
        <v>0</v>
      </c>
      <c r="R912" s="511">
        <f t="shared" si="236"/>
        <v>0</v>
      </c>
      <c r="S912" s="511">
        <f t="shared" si="236"/>
        <v>0</v>
      </c>
      <c r="T912" s="511">
        <f t="shared" si="236"/>
        <v>0</v>
      </c>
      <c r="U912" s="511">
        <f t="shared" si="236"/>
        <v>0</v>
      </c>
      <c r="V912" s="511">
        <f t="shared" si="236"/>
        <v>0</v>
      </c>
      <c r="X912" s="38">
        <f>'[2]Приложение 1'!T907</f>
        <v>0</v>
      </c>
      <c r="Y912" s="9">
        <f t="shared" si="226"/>
        <v>3234</v>
      </c>
      <c r="Z912" s="19">
        <f t="shared" si="227"/>
        <v>-3234</v>
      </c>
    </row>
    <row r="913" spans="1:26" ht="9" customHeight="1">
      <c r="A913" s="510">
        <v>179</v>
      </c>
      <c r="B913" s="509" t="s">
        <v>859</v>
      </c>
      <c r="C913" s="58" t="s">
        <v>1192</v>
      </c>
      <c r="D913" s="58" t="s">
        <v>111</v>
      </c>
      <c r="E913" s="511">
        <f t="shared" ref="E913:E914" si="237">F913+H913+L913+N913+P913+R913+S913+T913+U913+V913</f>
        <v>1513512</v>
      </c>
      <c r="F913" s="511">
        <v>0</v>
      </c>
      <c r="G913" s="17">
        <v>0</v>
      </c>
      <c r="H913" s="511">
        <v>0</v>
      </c>
      <c r="I913" s="511">
        <v>468</v>
      </c>
      <c r="J913" s="511"/>
      <c r="K913" s="511"/>
      <c r="L913" s="511">
        <f>ROUND(3234*I913,2)</f>
        <v>1513512</v>
      </c>
      <c r="M913" s="511">
        <v>0</v>
      </c>
      <c r="N913" s="511">
        <v>0</v>
      </c>
      <c r="O913" s="511">
        <v>0</v>
      </c>
      <c r="P913" s="511">
        <v>0</v>
      </c>
      <c r="Q913" s="511">
        <v>0</v>
      </c>
      <c r="R913" s="511">
        <v>0</v>
      </c>
      <c r="S913" s="511">
        <v>0</v>
      </c>
      <c r="T913" s="511">
        <v>0</v>
      </c>
      <c r="U913" s="511">
        <v>0</v>
      </c>
      <c r="V913" s="511">
        <v>0</v>
      </c>
      <c r="X913" s="38">
        <f>'[2]Приложение 1'!T908</f>
        <v>0</v>
      </c>
      <c r="Y913" s="9">
        <f t="shared" si="226"/>
        <v>3234</v>
      </c>
      <c r="Z913" s="19">
        <f t="shared" si="227"/>
        <v>-3234</v>
      </c>
    </row>
    <row r="914" spans="1:26" ht="9" customHeight="1">
      <c r="A914" s="510">
        <v>180</v>
      </c>
      <c r="B914" s="509" t="s">
        <v>860</v>
      </c>
      <c r="C914" s="58" t="s">
        <v>1192</v>
      </c>
      <c r="D914" s="58" t="s">
        <v>111</v>
      </c>
      <c r="E914" s="511">
        <f t="shared" si="237"/>
        <v>1752828</v>
      </c>
      <c r="F914" s="511">
        <v>0</v>
      </c>
      <c r="G914" s="17">
        <v>0</v>
      </c>
      <c r="H914" s="511">
        <v>0</v>
      </c>
      <c r="I914" s="511">
        <v>542</v>
      </c>
      <c r="J914" s="511"/>
      <c r="K914" s="511"/>
      <c r="L914" s="511">
        <f>ROUND(3234*I914,2)</f>
        <v>1752828</v>
      </c>
      <c r="M914" s="511">
        <v>0</v>
      </c>
      <c r="N914" s="511">
        <v>0</v>
      </c>
      <c r="O914" s="511">
        <v>0</v>
      </c>
      <c r="P914" s="511">
        <v>0</v>
      </c>
      <c r="Q914" s="511">
        <v>0</v>
      </c>
      <c r="R914" s="511">
        <v>0</v>
      </c>
      <c r="S914" s="511">
        <v>0</v>
      </c>
      <c r="T914" s="511">
        <v>0</v>
      </c>
      <c r="U914" s="511">
        <v>0</v>
      </c>
      <c r="V914" s="511">
        <v>0</v>
      </c>
      <c r="X914" s="38">
        <f>'[2]Приложение 1'!T909</f>
        <v>4503.95</v>
      </c>
      <c r="Y914" s="9">
        <f t="shared" si="226"/>
        <v>3234</v>
      </c>
      <c r="Z914" s="19">
        <f t="shared" si="227"/>
        <v>1269.9499999999998</v>
      </c>
    </row>
    <row r="915" spans="1:26" ht="9" customHeight="1">
      <c r="A915" s="882" t="s">
        <v>1085</v>
      </c>
      <c r="B915" s="921"/>
      <c r="C915" s="921"/>
      <c r="D915" s="921"/>
      <c r="E915" s="921"/>
      <c r="F915" s="921"/>
      <c r="G915" s="921"/>
      <c r="H915" s="921"/>
      <c r="I915" s="921"/>
      <c r="J915" s="921"/>
      <c r="K915" s="921"/>
      <c r="L915" s="921"/>
      <c r="M915" s="921"/>
      <c r="N915" s="921"/>
      <c r="O915" s="921"/>
      <c r="P915" s="921"/>
      <c r="Q915" s="921"/>
      <c r="R915" s="921"/>
      <c r="S915" s="921"/>
      <c r="T915" s="921"/>
      <c r="U915" s="921"/>
      <c r="V915" s="921"/>
      <c r="X915" s="38">
        <f>'[2]Приложение 1'!T910</f>
        <v>4503.95</v>
      </c>
      <c r="Y915" s="9" t="e">
        <f t="shared" si="226"/>
        <v>#DIV/0!</v>
      </c>
      <c r="Z915" s="19" t="e">
        <f t="shared" si="227"/>
        <v>#DIV/0!</v>
      </c>
    </row>
    <row r="916" spans="1:26" ht="33" customHeight="1">
      <c r="A916" s="922" t="s">
        <v>1086</v>
      </c>
      <c r="B916" s="923"/>
      <c r="C916" s="58"/>
      <c r="D916" s="58"/>
      <c r="E916" s="511">
        <f t="shared" ref="E916:V916" si="238">SUM(E917:E917)</f>
        <v>7967926.5999999996</v>
      </c>
      <c r="F916" s="511">
        <f t="shared" si="238"/>
        <v>0</v>
      </c>
      <c r="G916" s="17">
        <f t="shared" si="238"/>
        <v>0</v>
      </c>
      <c r="H916" s="511">
        <f t="shared" si="238"/>
        <v>0</v>
      </c>
      <c r="I916" s="511">
        <f t="shared" si="238"/>
        <v>2389.9</v>
      </c>
      <c r="J916" s="511">
        <f t="shared" si="238"/>
        <v>0</v>
      </c>
      <c r="K916" s="511">
        <f t="shared" si="238"/>
        <v>0</v>
      </c>
      <c r="L916" s="511">
        <f t="shared" si="238"/>
        <v>7967926.5999999996</v>
      </c>
      <c r="M916" s="511">
        <f t="shared" si="238"/>
        <v>0</v>
      </c>
      <c r="N916" s="511">
        <f t="shared" si="238"/>
        <v>0</v>
      </c>
      <c r="O916" s="511">
        <f t="shared" si="238"/>
        <v>0</v>
      </c>
      <c r="P916" s="511">
        <f t="shared" si="238"/>
        <v>0</v>
      </c>
      <c r="Q916" s="511">
        <f t="shared" si="238"/>
        <v>0</v>
      </c>
      <c r="R916" s="511">
        <f t="shared" si="238"/>
        <v>0</v>
      </c>
      <c r="S916" s="511">
        <f t="shared" si="238"/>
        <v>0</v>
      </c>
      <c r="T916" s="511">
        <f t="shared" si="238"/>
        <v>0</v>
      </c>
      <c r="U916" s="511">
        <f t="shared" si="238"/>
        <v>0</v>
      </c>
      <c r="V916" s="511">
        <f t="shared" si="238"/>
        <v>0</v>
      </c>
      <c r="X916" s="38">
        <f>'[2]Приложение 1'!T911</f>
        <v>0</v>
      </c>
      <c r="Y916" s="9">
        <f t="shared" si="226"/>
        <v>3333.9999999999995</v>
      </c>
      <c r="Z916" s="19">
        <f t="shared" si="227"/>
        <v>-3333.9999999999995</v>
      </c>
    </row>
    <row r="917" spans="1:26" ht="9" customHeight="1">
      <c r="A917" s="510">
        <v>181</v>
      </c>
      <c r="B917" s="509" t="s">
        <v>887</v>
      </c>
      <c r="C917" s="58" t="s">
        <v>1192</v>
      </c>
      <c r="D917" s="58" t="s">
        <v>110</v>
      </c>
      <c r="E917" s="511">
        <f t="shared" ref="E917" si="239">F917+H917+L917+N917+P917+R917+S917+T917+U917+V917</f>
        <v>7967926.5999999996</v>
      </c>
      <c r="F917" s="511">
        <v>0</v>
      </c>
      <c r="G917" s="17">
        <v>0</v>
      </c>
      <c r="H917" s="511">
        <v>0</v>
      </c>
      <c r="I917" s="511">
        <v>2389.9</v>
      </c>
      <c r="J917" s="21"/>
      <c r="K917" s="511"/>
      <c r="L917" s="511">
        <f t="shared" ref="L917" si="240">ROUND(3334*I917,2)</f>
        <v>7967926.5999999996</v>
      </c>
      <c r="M917" s="511">
        <v>0</v>
      </c>
      <c r="N917" s="511">
        <v>0</v>
      </c>
      <c r="O917" s="511">
        <v>0</v>
      </c>
      <c r="P917" s="511">
        <v>0</v>
      </c>
      <c r="Q917" s="511">
        <v>0</v>
      </c>
      <c r="R917" s="511">
        <v>0</v>
      </c>
      <c r="S917" s="511">
        <v>0</v>
      </c>
      <c r="T917" s="511">
        <v>0</v>
      </c>
      <c r="U917" s="511">
        <v>0</v>
      </c>
      <c r="V917" s="511">
        <v>0</v>
      </c>
      <c r="X917" s="38">
        <f>'[2]Приложение 1'!T912</f>
        <v>0</v>
      </c>
      <c r="Y917" s="9">
        <f t="shared" si="226"/>
        <v>3333.9999999999995</v>
      </c>
      <c r="Z917" s="19">
        <f t="shared" si="227"/>
        <v>-3333.9999999999995</v>
      </c>
    </row>
    <row r="918" spans="1:26" ht="9" customHeight="1">
      <c r="A918" s="882" t="s">
        <v>305</v>
      </c>
      <c r="B918" s="921"/>
      <c r="C918" s="921"/>
      <c r="D918" s="921"/>
      <c r="E918" s="921"/>
      <c r="F918" s="921"/>
      <c r="G918" s="921"/>
      <c r="H918" s="921"/>
      <c r="I918" s="921"/>
      <c r="J918" s="921"/>
      <c r="K918" s="921"/>
      <c r="L918" s="921"/>
      <c r="M918" s="921"/>
      <c r="N918" s="921"/>
      <c r="O918" s="921"/>
      <c r="P918" s="921"/>
      <c r="Q918" s="921"/>
      <c r="R918" s="921"/>
      <c r="S918" s="921"/>
      <c r="T918" s="921"/>
      <c r="U918" s="921"/>
      <c r="V918" s="921"/>
      <c r="X918" s="38">
        <f>'[2]Приложение 1'!T913</f>
        <v>4180</v>
      </c>
      <c r="Y918" s="9" t="e">
        <f t="shared" si="226"/>
        <v>#DIV/0!</v>
      </c>
      <c r="Z918" s="19" t="e">
        <f t="shared" si="227"/>
        <v>#DIV/0!</v>
      </c>
    </row>
    <row r="919" spans="1:26" ht="24" customHeight="1">
      <c r="A919" s="900" t="s">
        <v>300</v>
      </c>
      <c r="B919" s="924"/>
      <c r="C919" s="58"/>
      <c r="D919" s="58"/>
      <c r="E919" s="511">
        <f>SUM(E920)</f>
        <v>1734588.24</v>
      </c>
      <c r="F919" s="511">
        <f t="shared" ref="F919:V919" si="241">SUM(F920)</f>
        <v>0</v>
      </c>
      <c r="G919" s="17">
        <f t="shared" si="241"/>
        <v>0</v>
      </c>
      <c r="H919" s="511">
        <f t="shared" si="241"/>
        <v>0</v>
      </c>
      <c r="I919" s="511">
        <f t="shared" si="241"/>
        <v>536.36</v>
      </c>
      <c r="J919" s="511">
        <f t="shared" si="241"/>
        <v>0</v>
      </c>
      <c r="K919" s="511">
        <f t="shared" si="241"/>
        <v>0</v>
      </c>
      <c r="L919" s="511">
        <f t="shared" si="241"/>
        <v>1734588.24</v>
      </c>
      <c r="M919" s="511">
        <f t="shared" si="241"/>
        <v>0</v>
      </c>
      <c r="N919" s="511">
        <f t="shared" si="241"/>
        <v>0</v>
      </c>
      <c r="O919" s="511">
        <f t="shared" si="241"/>
        <v>0</v>
      </c>
      <c r="P919" s="511">
        <f t="shared" si="241"/>
        <v>0</v>
      </c>
      <c r="Q919" s="511">
        <f t="shared" si="241"/>
        <v>0</v>
      </c>
      <c r="R919" s="511">
        <f t="shared" si="241"/>
        <v>0</v>
      </c>
      <c r="S919" s="511">
        <f t="shared" si="241"/>
        <v>0</v>
      </c>
      <c r="T919" s="511">
        <f t="shared" si="241"/>
        <v>0</v>
      </c>
      <c r="U919" s="511">
        <f t="shared" si="241"/>
        <v>0</v>
      </c>
      <c r="V919" s="511">
        <f t="shared" si="241"/>
        <v>0</v>
      </c>
      <c r="X919" s="38">
        <f>'[2]Приложение 1'!T914</f>
        <v>0</v>
      </c>
      <c r="Y919" s="9">
        <f t="shared" si="226"/>
        <v>3234</v>
      </c>
      <c r="Z919" s="19">
        <f t="shared" si="227"/>
        <v>-3234</v>
      </c>
    </row>
    <row r="920" spans="1:26" ht="9" customHeight="1">
      <c r="A920" s="510">
        <v>182</v>
      </c>
      <c r="B920" s="509" t="s">
        <v>888</v>
      </c>
      <c r="C920" s="58" t="s">
        <v>1192</v>
      </c>
      <c r="D920" s="58" t="s">
        <v>111</v>
      </c>
      <c r="E920" s="511">
        <f t="shared" ref="E920" si="242">F920+H920+L920+N920+P920+R920+S920+T920+U920+V920</f>
        <v>1734588.24</v>
      </c>
      <c r="F920" s="511">
        <v>0</v>
      </c>
      <c r="G920" s="17">
        <v>0</v>
      </c>
      <c r="H920" s="511">
        <v>0</v>
      </c>
      <c r="I920" s="511">
        <v>536.36</v>
      </c>
      <c r="J920" s="511"/>
      <c r="K920" s="511"/>
      <c r="L920" s="511">
        <f>ROUND(3234*I920,2)</f>
        <v>1734588.24</v>
      </c>
      <c r="M920" s="511">
        <v>0</v>
      </c>
      <c r="N920" s="511">
        <v>0</v>
      </c>
      <c r="O920" s="511">
        <v>0</v>
      </c>
      <c r="P920" s="511">
        <v>0</v>
      </c>
      <c r="Q920" s="511">
        <v>0</v>
      </c>
      <c r="R920" s="511">
        <v>0</v>
      </c>
      <c r="S920" s="511">
        <v>0</v>
      </c>
      <c r="T920" s="511">
        <v>0</v>
      </c>
      <c r="U920" s="511">
        <v>0</v>
      </c>
      <c r="V920" s="511">
        <v>0</v>
      </c>
      <c r="X920" s="38">
        <f>'[2]Приложение 1'!T915</f>
        <v>0</v>
      </c>
      <c r="Y920" s="9">
        <f t="shared" si="226"/>
        <v>3234</v>
      </c>
      <c r="Z920" s="19">
        <f t="shared" si="227"/>
        <v>-3234</v>
      </c>
    </row>
    <row r="921" spans="1:26" ht="9" customHeight="1">
      <c r="A921" s="882" t="s">
        <v>295</v>
      </c>
      <c r="B921" s="921"/>
      <c r="C921" s="921"/>
      <c r="D921" s="921"/>
      <c r="E921" s="921"/>
      <c r="F921" s="921"/>
      <c r="G921" s="921"/>
      <c r="H921" s="921"/>
      <c r="I921" s="921"/>
      <c r="J921" s="921"/>
      <c r="K921" s="921"/>
      <c r="L921" s="921"/>
      <c r="M921" s="921"/>
      <c r="N921" s="921"/>
      <c r="O921" s="921"/>
      <c r="P921" s="921"/>
      <c r="Q921" s="921"/>
      <c r="R921" s="921"/>
      <c r="S921" s="921"/>
      <c r="T921" s="921"/>
      <c r="U921" s="921"/>
      <c r="V921" s="921"/>
      <c r="X921" s="38">
        <f>'[2]Приложение 1'!T916</f>
        <v>4503.95</v>
      </c>
      <c r="Y921" s="9" t="e">
        <f t="shared" si="226"/>
        <v>#DIV/0!</v>
      </c>
      <c r="Z921" s="19" t="e">
        <f t="shared" si="227"/>
        <v>#DIV/0!</v>
      </c>
    </row>
    <row r="922" spans="1:26" ht="21" customHeight="1">
      <c r="A922" s="900" t="s">
        <v>301</v>
      </c>
      <c r="B922" s="924"/>
      <c r="C922" s="58"/>
      <c r="D922" s="58"/>
      <c r="E922" s="511">
        <f>SUM(E923:E931)</f>
        <v>21300778.720000003</v>
      </c>
      <c r="F922" s="511">
        <f t="shared" ref="F922:V922" si="243">SUM(F923:F931)</f>
        <v>1848479.12</v>
      </c>
      <c r="G922" s="17">
        <f t="shared" si="243"/>
        <v>0</v>
      </c>
      <c r="H922" s="511">
        <f t="shared" si="243"/>
        <v>0</v>
      </c>
      <c r="I922" s="511">
        <f t="shared" si="243"/>
        <v>5817.5899999999992</v>
      </c>
      <c r="J922" s="511">
        <f t="shared" si="243"/>
        <v>0</v>
      </c>
      <c r="K922" s="511">
        <f t="shared" si="243"/>
        <v>0</v>
      </c>
      <c r="L922" s="511">
        <f t="shared" si="243"/>
        <v>19220321.060000002</v>
      </c>
      <c r="M922" s="511">
        <f t="shared" si="243"/>
        <v>0</v>
      </c>
      <c r="N922" s="511">
        <f t="shared" si="243"/>
        <v>0</v>
      </c>
      <c r="O922" s="511">
        <f t="shared" si="243"/>
        <v>0</v>
      </c>
      <c r="P922" s="511">
        <f t="shared" si="243"/>
        <v>0</v>
      </c>
      <c r="Q922" s="511">
        <f t="shared" si="243"/>
        <v>0</v>
      </c>
      <c r="R922" s="511">
        <f t="shared" si="243"/>
        <v>0</v>
      </c>
      <c r="S922" s="511">
        <f t="shared" si="243"/>
        <v>0</v>
      </c>
      <c r="T922" s="511">
        <f t="shared" si="243"/>
        <v>0</v>
      </c>
      <c r="U922" s="511">
        <f t="shared" si="243"/>
        <v>231978.54</v>
      </c>
      <c r="V922" s="511">
        <f t="shared" si="243"/>
        <v>0</v>
      </c>
      <c r="X922" s="38">
        <f>'[2]Приложение 1'!T917</f>
        <v>0</v>
      </c>
      <c r="Y922" s="9">
        <f t="shared" si="226"/>
        <v>3303.8287435175057</v>
      </c>
      <c r="Z922" s="19">
        <f t="shared" si="227"/>
        <v>-3303.8287435175057</v>
      </c>
    </row>
    <row r="923" spans="1:26" ht="9" customHeight="1">
      <c r="A923" s="510">
        <v>183</v>
      </c>
      <c r="B923" s="509" t="s">
        <v>872</v>
      </c>
      <c r="C923" s="58" t="s">
        <v>1192</v>
      </c>
      <c r="D923" s="58" t="s">
        <v>110</v>
      </c>
      <c r="E923" s="511">
        <f t="shared" ref="E923:E931" si="244">F923+H923+L923+N923+P923+R923+S923+T923+U923+V923</f>
        <v>4456224.4000000004</v>
      </c>
      <c r="F923" s="511">
        <v>0</v>
      </c>
      <c r="G923" s="17">
        <v>0</v>
      </c>
      <c r="H923" s="511">
        <v>0</v>
      </c>
      <c r="I923" s="511">
        <v>1336.6</v>
      </c>
      <c r="J923" s="511"/>
      <c r="K923" s="511"/>
      <c r="L923" s="511">
        <f t="shared" ref="L923:L924" si="245">ROUND(3334*I923,2)</f>
        <v>4456224.4000000004</v>
      </c>
      <c r="M923" s="511">
        <v>0</v>
      </c>
      <c r="N923" s="511">
        <v>0</v>
      </c>
      <c r="O923" s="511">
        <v>0</v>
      </c>
      <c r="P923" s="511">
        <v>0</v>
      </c>
      <c r="Q923" s="511">
        <v>0</v>
      </c>
      <c r="R923" s="511">
        <v>0</v>
      </c>
      <c r="S923" s="511">
        <v>0</v>
      </c>
      <c r="T923" s="511">
        <v>0</v>
      </c>
      <c r="U923" s="511">
        <v>0</v>
      </c>
      <c r="V923" s="511">
        <v>0</v>
      </c>
      <c r="X923" s="38">
        <f>'[2]Приложение 1'!T918</f>
        <v>0</v>
      </c>
      <c r="Y923" s="9">
        <f t="shared" si="226"/>
        <v>3334.0000000000005</v>
      </c>
      <c r="Z923" s="19">
        <f t="shared" si="227"/>
        <v>-3334.0000000000005</v>
      </c>
    </row>
    <row r="924" spans="1:26" ht="9" customHeight="1">
      <c r="A924" s="510">
        <v>184</v>
      </c>
      <c r="B924" s="509" t="s">
        <v>873</v>
      </c>
      <c r="C924" s="58" t="s">
        <v>1192</v>
      </c>
      <c r="D924" s="58" t="s">
        <v>110</v>
      </c>
      <c r="E924" s="511">
        <f t="shared" si="244"/>
        <v>2658531.6</v>
      </c>
      <c r="F924" s="511">
        <v>0</v>
      </c>
      <c r="G924" s="17">
        <v>0</v>
      </c>
      <c r="H924" s="511">
        <v>0</v>
      </c>
      <c r="I924" s="511">
        <v>797.4</v>
      </c>
      <c r="J924" s="511"/>
      <c r="K924" s="511"/>
      <c r="L924" s="511">
        <f t="shared" si="245"/>
        <v>2658531.6</v>
      </c>
      <c r="M924" s="511">
        <v>0</v>
      </c>
      <c r="N924" s="511">
        <v>0</v>
      </c>
      <c r="O924" s="511">
        <v>0</v>
      </c>
      <c r="P924" s="511">
        <v>0</v>
      </c>
      <c r="Q924" s="511">
        <v>0</v>
      </c>
      <c r="R924" s="511">
        <v>0</v>
      </c>
      <c r="S924" s="511">
        <v>0</v>
      </c>
      <c r="T924" s="511">
        <v>0</v>
      </c>
      <c r="U924" s="511">
        <v>0</v>
      </c>
      <c r="V924" s="511">
        <v>0</v>
      </c>
      <c r="X924" s="38">
        <f>'[2]Приложение 1'!T919</f>
        <v>4180</v>
      </c>
      <c r="Y924" s="9">
        <f t="shared" si="226"/>
        <v>3334</v>
      </c>
      <c r="Z924" s="19">
        <f t="shared" si="227"/>
        <v>846</v>
      </c>
    </row>
    <row r="925" spans="1:26" ht="9" customHeight="1">
      <c r="A925" s="510">
        <v>185</v>
      </c>
      <c r="B925" s="509" t="s">
        <v>874</v>
      </c>
      <c r="C925" s="58" t="s">
        <v>1192</v>
      </c>
      <c r="D925" s="58" t="s">
        <v>111</v>
      </c>
      <c r="E925" s="511">
        <f t="shared" si="244"/>
        <v>1804572</v>
      </c>
      <c r="F925" s="511">
        <v>0</v>
      </c>
      <c r="G925" s="17">
        <v>0</v>
      </c>
      <c r="H925" s="511">
        <v>0</v>
      </c>
      <c r="I925" s="511">
        <v>558</v>
      </c>
      <c r="J925" s="511"/>
      <c r="K925" s="511"/>
      <c r="L925" s="511">
        <f>ROUND(3234*I925,2)</f>
        <v>1804572</v>
      </c>
      <c r="M925" s="511">
        <v>0</v>
      </c>
      <c r="N925" s="511">
        <v>0</v>
      </c>
      <c r="O925" s="511">
        <v>0</v>
      </c>
      <c r="P925" s="511">
        <v>0</v>
      </c>
      <c r="Q925" s="511">
        <v>0</v>
      </c>
      <c r="R925" s="511">
        <v>0</v>
      </c>
      <c r="S925" s="511">
        <v>0</v>
      </c>
      <c r="T925" s="511">
        <v>0</v>
      </c>
      <c r="U925" s="511">
        <v>0</v>
      </c>
      <c r="V925" s="511">
        <v>0</v>
      </c>
      <c r="X925" s="38">
        <f>'[2]Приложение 1'!T920</f>
        <v>4180</v>
      </c>
      <c r="Y925" s="9">
        <f t="shared" si="226"/>
        <v>3234</v>
      </c>
      <c r="Z925" s="19">
        <f t="shared" si="227"/>
        <v>946</v>
      </c>
    </row>
    <row r="926" spans="1:26" ht="9" customHeight="1">
      <c r="A926" s="510">
        <v>186</v>
      </c>
      <c r="B926" s="509" t="s">
        <v>875</v>
      </c>
      <c r="C926" s="58" t="s">
        <v>1198</v>
      </c>
      <c r="D926" s="58" t="s">
        <v>111</v>
      </c>
      <c r="E926" s="511">
        <f t="shared" si="244"/>
        <v>2080457.6600000001</v>
      </c>
      <c r="F926" s="511">
        <f>ROUND(718.4*(370+220+1200+270+210+303.05),2)</f>
        <v>1848479.12</v>
      </c>
      <c r="G926" s="17">
        <v>0</v>
      </c>
      <c r="H926" s="511">
        <v>0</v>
      </c>
      <c r="I926" s="511">
        <v>0</v>
      </c>
      <c r="J926" s="511"/>
      <c r="K926" s="511"/>
      <c r="L926" s="511">
        <v>0</v>
      </c>
      <c r="M926" s="511">
        <v>0</v>
      </c>
      <c r="N926" s="511">
        <v>0</v>
      </c>
      <c r="O926" s="511">
        <v>0</v>
      </c>
      <c r="P926" s="511">
        <v>0</v>
      </c>
      <c r="Q926" s="511">
        <v>0</v>
      </c>
      <c r="R926" s="511">
        <v>0</v>
      </c>
      <c r="S926" s="511">
        <v>0</v>
      </c>
      <c r="T926" s="511">
        <v>0</v>
      </c>
      <c r="U926" s="511">
        <f>ROUND(718.4*322.91,2)</f>
        <v>231978.54</v>
      </c>
      <c r="V926" s="511">
        <v>0</v>
      </c>
      <c r="X926" s="38">
        <f>'[2]Приложение 1'!T921</f>
        <v>4503.95</v>
      </c>
      <c r="Y926" s="9" t="e">
        <f t="shared" si="226"/>
        <v>#DIV/0!</v>
      </c>
      <c r="Z926" s="19" t="e">
        <f t="shared" si="227"/>
        <v>#DIV/0!</v>
      </c>
    </row>
    <row r="927" spans="1:26" ht="9" customHeight="1">
      <c r="A927" s="510">
        <v>187</v>
      </c>
      <c r="B927" s="509" t="s">
        <v>876</v>
      </c>
      <c r="C927" s="58" t="s">
        <v>1192</v>
      </c>
      <c r="D927" s="58" t="s">
        <v>111</v>
      </c>
      <c r="E927" s="511">
        <f t="shared" si="244"/>
        <v>2248406.16</v>
      </c>
      <c r="F927" s="511">
        <v>0</v>
      </c>
      <c r="G927" s="17">
        <v>0</v>
      </c>
      <c r="H927" s="511">
        <v>0</v>
      </c>
      <c r="I927" s="511">
        <v>695.24</v>
      </c>
      <c r="J927" s="511"/>
      <c r="K927" s="511"/>
      <c r="L927" s="511">
        <f>ROUND(3234*I927,2)</f>
        <v>2248406.16</v>
      </c>
      <c r="M927" s="511">
        <v>0</v>
      </c>
      <c r="N927" s="511">
        <v>0</v>
      </c>
      <c r="O927" s="511">
        <v>0</v>
      </c>
      <c r="P927" s="511">
        <v>0</v>
      </c>
      <c r="Q927" s="511">
        <v>0</v>
      </c>
      <c r="R927" s="511">
        <v>0</v>
      </c>
      <c r="S927" s="511">
        <v>0</v>
      </c>
      <c r="T927" s="511">
        <v>0</v>
      </c>
      <c r="U927" s="511">
        <v>0</v>
      </c>
      <c r="V927" s="511">
        <v>0</v>
      </c>
      <c r="X927" s="38">
        <f>'[2]Приложение 1'!T922</f>
        <v>5307.56</v>
      </c>
      <c r="Y927" s="9">
        <f t="shared" si="226"/>
        <v>3234</v>
      </c>
      <c r="Z927" s="19">
        <f t="shared" si="227"/>
        <v>2073.5600000000004</v>
      </c>
    </row>
    <row r="928" spans="1:26" ht="9" customHeight="1">
      <c r="A928" s="510">
        <v>188</v>
      </c>
      <c r="B928" s="509" t="s">
        <v>877</v>
      </c>
      <c r="C928" s="58" t="s">
        <v>1192</v>
      </c>
      <c r="D928" s="58" t="s">
        <v>110</v>
      </c>
      <c r="E928" s="511">
        <f t="shared" si="244"/>
        <v>4169667.1</v>
      </c>
      <c r="F928" s="511">
        <v>0</v>
      </c>
      <c r="G928" s="17">
        <v>0</v>
      </c>
      <c r="H928" s="511">
        <v>0</v>
      </c>
      <c r="I928" s="511">
        <v>1250.6500000000001</v>
      </c>
      <c r="J928" s="511"/>
      <c r="K928" s="511"/>
      <c r="L928" s="511">
        <f t="shared" ref="L928:L929" si="246">ROUND(3334*I928,2)</f>
        <v>4169667.1</v>
      </c>
      <c r="M928" s="511">
        <v>0</v>
      </c>
      <c r="N928" s="511">
        <v>0</v>
      </c>
      <c r="O928" s="511">
        <v>0</v>
      </c>
      <c r="P928" s="511">
        <v>0</v>
      </c>
      <c r="Q928" s="511">
        <v>0</v>
      </c>
      <c r="R928" s="511">
        <v>0</v>
      </c>
      <c r="S928" s="511">
        <v>0</v>
      </c>
      <c r="T928" s="511">
        <v>0</v>
      </c>
      <c r="U928" s="511">
        <v>0</v>
      </c>
      <c r="V928" s="511">
        <v>0</v>
      </c>
      <c r="X928" s="38">
        <f>'[2]Приложение 1'!T923</f>
        <v>4503.95</v>
      </c>
      <c r="Y928" s="9">
        <f t="shared" si="226"/>
        <v>3334</v>
      </c>
      <c r="Z928" s="19">
        <f t="shared" si="227"/>
        <v>1169.9499999999998</v>
      </c>
    </row>
    <row r="929" spans="1:26" ht="9" customHeight="1">
      <c r="A929" s="510">
        <v>189</v>
      </c>
      <c r="B929" s="509" t="s">
        <v>878</v>
      </c>
      <c r="C929" s="58" t="s">
        <v>1192</v>
      </c>
      <c r="D929" s="58" t="s">
        <v>110</v>
      </c>
      <c r="E929" s="511">
        <f t="shared" si="244"/>
        <v>1024538.2</v>
      </c>
      <c r="F929" s="511">
        <v>0</v>
      </c>
      <c r="G929" s="17">
        <v>0</v>
      </c>
      <c r="H929" s="511">
        <v>0</v>
      </c>
      <c r="I929" s="511">
        <v>307.3</v>
      </c>
      <c r="J929" s="511"/>
      <c r="K929" s="511"/>
      <c r="L929" s="511">
        <f t="shared" si="246"/>
        <v>1024538.2</v>
      </c>
      <c r="M929" s="511">
        <v>0</v>
      </c>
      <c r="N929" s="511">
        <v>0</v>
      </c>
      <c r="O929" s="511">
        <v>0</v>
      </c>
      <c r="P929" s="511">
        <v>0</v>
      </c>
      <c r="Q929" s="511">
        <v>0</v>
      </c>
      <c r="R929" s="511">
        <v>0</v>
      </c>
      <c r="S929" s="511">
        <v>0</v>
      </c>
      <c r="T929" s="511">
        <v>0</v>
      </c>
      <c r="U929" s="511">
        <v>0</v>
      </c>
      <c r="V929" s="511">
        <v>0</v>
      </c>
      <c r="X929" s="38">
        <f>'[2]Приложение 1'!T924</f>
        <v>4180</v>
      </c>
      <c r="Y929" s="9">
        <f t="shared" si="226"/>
        <v>3333.9999999999995</v>
      </c>
      <c r="Z929" s="19">
        <f t="shared" si="227"/>
        <v>846.00000000000045</v>
      </c>
    </row>
    <row r="930" spans="1:26" ht="9" customHeight="1">
      <c r="A930" s="510">
        <v>190</v>
      </c>
      <c r="B930" s="509" t="s">
        <v>879</v>
      </c>
      <c r="C930" s="58" t="s">
        <v>1192</v>
      </c>
      <c r="D930" s="58" t="s">
        <v>111</v>
      </c>
      <c r="E930" s="511">
        <f t="shared" si="244"/>
        <v>1623468</v>
      </c>
      <c r="F930" s="511">
        <v>0</v>
      </c>
      <c r="G930" s="17">
        <v>0</v>
      </c>
      <c r="H930" s="511">
        <v>0</v>
      </c>
      <c r="I930" s="511">
        <v>502</v>
      </c>
      <c r="J930" s="511"/>
      <c r="K930" s="511"/>
      <c r="L930" s="511">
        <f>ROUND(3234*I930,2)</f>
        <v>1623468</v>
      </c>
      <c r="M930" s="511">
        <v>0</v>
      </c>
      <c r="N930" s="511">
        <v>0</v>
      </c>
      <c r="O930" s="511">
        <v>0</v>
      </c>
      <c r="P930" s="511">
        <v>0</v>
      </c>
      <c r="Q930" s="511">
        <v>0</v>
      </c>
      <c r="R930" s="511">
        <v>0</v>
      </c>
      <c r="S930" s="511">
        <v>0</v>
      </c>
      <c r="T930" s="511">
        <v>0</v>
      </c>
      <c r="U930" s="511">
        <v>0</v>
      </c>
      <c r="V930" s="511">
        <v>0</v>
      </c>
      <c r="X930" s="38">
        <f>'[2]Приложение 1'!T925</f>
        <v>4180</v>
      </c>
      <c r="Y930" s="9">
        <f t="shared" si="226"/>
        <v>3234</v>
      </c>
      <c r="Z930" s="19">
        <f t="shared" si="227"/>
        <v>946</v>
      </c>
    </row>
    <row r="931" spans="1:26" ht="9" customHeight="1">
      <c r="A931" s="510">
        <v>191</v>
      </c>
      <c r="B931" s="509" t="s">
        <v>880</v>
      </c>
      <c r="C931" s="58" t="s">
        <v>1192</v>
      </c>
      <c r="D931" s="58" t="s">
        <v>110</v>
      </c>
      <c r="E931" s="511">
        <f t="shared" si="244"/>
        <v>1234913.6000000001</v>
      </c>
      <c r="F931" s="511">
        <v>0</v>
      </c>
      <c r="G931" s="17">
        <v>0</v>
      </c>
      <c r="H931" s="511">
        <v>0</v>
      </c>
      <c r="I931" s="511">
        <v>370.4</v>
      </c>
      <c r="J931" s="511"/>
      <c r="K931" s="511"/>
      <c r="L931" s="511">
        <f t="shared" ref="L931" si="247">ROUND(3334*I931,2)</f>
        <v>1234913.6000000001</v>
      </c>
      <c r="M931" s="511">
        <v>0</v>
      </c>
      <c r="N931" s="511">
        <v>0</v>
      </c>
      <c r="O931" s="511">
        <v>0</v>
      </c>
      <c r="P931" s="511">
        <v>0</v>
      </c>
      <c r="Q931" s="511">
        <v>0</v>
      </c>
      <c r="R931" s="511">
        <v>0</v>
      </c>
      <c r="S931" s="511">
        <v>0</v>
      </c>
      <c r="T931" s="511">
        <v>0</v>
      </c>
      <c r="U931" s="511">
        <v>0</v>
      </c>
      <c r="V931" s="511">
        <v>0</v>
      </c>
      <c r="X931" s="38">
        <f>'[2]Приложение 1'!T926</f>
        <v>4503.95</v>
      </c>
      <c r="Y931" s="9">
        <f t="shared" si="226"/>
        <v>3334.0000000000005</v>
      </c>
      <c r="Z931" s="19">
        <f t="shared" si="227"/>
        <v>1169.9499999999994</v>
      </c>
    </row>
    <row r="932" spans="1:26" ht="9" customHeight="1">
      <c r="A932" s="882" t="s">
        <v>296</v>
      </c>
      <c r="B932" s="921"/>
      <c r="C932" s="921"/>
      <c r="D932" s="921"/>
      <c r="E932" s="921"/>
      <c r="F932" s="921"/>
      <c r="G932" s="921"/>
      <c r="H932" s="921"/>
      <c r="I932" s="921"/>
      <c r="J932" s="921"/>
      <c r="K932" s="921"/>
      <c r="L932" s="921"/>
      <c r="M932" s="921"/>
      <c r="N932" s="921"/>
      <c r="O932" s="921"/>
      <c r="P932" s="921"/>
      <c r="Q932" s="921"/>
      <c r="R932" s="921"/>
      <c r="S932" s="921"/>
      <c r="T932" s="921"/>
      <c r="U932" s="921"/>
      <c r="V932" s="921"/>
      <c r="X932" s="38">
        <f>'[2]Приложение 1'!T927</f>
        <v>4180</v>
      </c>
      <c r="Y932" s="9" t="e">
        <f t="shared" si="226"/>
        <v>#DIV/0!</v>
      </c>
      <c r="Z932" s="19" t="e">
        <f t="shared" si="227"/>
        <v>#DIV/0!</v>
      </c>
    </row>
    <row r="933" spans="1:26" ht="21" customHeight="1">
      <c r="A933" s="900" t="s">
        <v>302</v>
      </c>
      <c r="B933" s="924"/>
      <c r="C933" s="58"/>
      <c r="D933" s="58"/>
      <c r="E933" s="511">
        <f>SUM(E934)</f>
        <v>1188495</v>
      </c>
      <c r="F933" s="511">
        <f t="shared" ref="F933:V933" si="248">SUM(F934)</f>
        <v>0</v>
      </c>
      <c r="G933" s="17">
        <f t="shared" si="248"/>
        <v>0</v>
      </c>
      <c r="H933" s="511">
        <f t="shared" si="248"/>
        <v>0</v>
      </c>
      <c r="I933" s="511">
        <f t="shared" si="248"/>
        <v>367.5</v>
      </c>
      <c r="J933" s="511">
        <f t="shared" si="248"/>
        <v>0</v>
      </c>
      <c r="K933" s="511">
        <f t="shared" si="248"/>
        <v>0</v>
      </c>
      <c r="L933" s="511">
        <f t="shared" si="248"/>
        <v>1188495</v>
      </c>
      <c r="M933" s="511">
        <f t="shared" si="248"/>
        <v>0</v>
      </c>
      <c r="N933" s="511">
        <f t="shared" si="248"/>
        <v>0</v>
      </c>
      <c r="O933" s="511">
        <f t="shared" si="248"/>
        <v>0</v>
      </c>
      <c r="P933" s="511">
        <f t="shared" si="248"/>
        <v>0</v>
      </c>
      <c r="Q933" s="511">
        <f t="shared" si="248"/>
        <v>0</v>
      </c>
      <c r="R933" s="511">
        <f t="shared" si="248"/>
        <v>0</v>
      </c>
      <c r="S933" s="511">
        <f t="shared" si="248"/>
        <v>0</v>
      </c>
      <c r="T933" s="511">
        <f t="shared" si="248"/>
        <v>0</v>
      </c>
      <c r="U933" s="511">
        <f t="shared" si="248"/>
        <v>0</v>
      </c>
      <c r="V933" s="511">
        <f t="shared" si="248"/>
        <v>0</v>
      </c>
      <c r="X933" s="38">
        <f>'[2]Приложение 1'!T928</f>
        <v>0</v>
      </c>
      <c r="Y933" s="9">
        <f t="shared" si="226"/>
        <v>3234</v>
      </c>
      <c r="Z933" s="19">
        <f t="shared" si="227"/>
        <v>-3234</v>
      </c>
    </row>
    <row r="934" spans="1:26" ht="9" customHeight="1">
      <c r="A934" s="510">
        <v>192</v>
      </c>
      <c r="B934" s="509" t="s">
        <v>885</v>
      </c>
      <c r="C934" s="58" t="s">
        <v>1192</v>
      </c>
      <c r="D934" s="58" t="s">
        <v>111</v>
      </c>
      <c r="E934" s="511">
        <f t="shared" ref="E934" si="249">F934+H934+L934+N934+P934+R934+S934+T934+U934+V934</f>
        <v>1188495</v>
      </c>
      <c r="F934" s="511">
        <v>0</v>
      </c>
      <c r="G934" s="17">
        <v>0</v>
      </c>
      <c r="H934" s="511">
        <v>0</v>
      </c>
      <c r="I934" s="511">
        <v>367.5</v>
      </c>
      <c r="J934" s="511"/>
      <c r="K934" s="511"/>
      <c r="L934" s="511">
        <f>ROUND(3234*I934,2)</f>
        <v>1188495</v>
      </c>
      <c r="M934" s="511">
        <v>0</v>
      </c>
      <c r="N934" s="511">
        <v>0</v>
      </c>
      <c r="O934" s="511">
        <v>0</v>
      </c>
      <c r="P934" s="511">
        <v>0</v>
      </c>
      <c r="Q934" s="511">
        <v>0</v>
      </c>
      <c r="R934" s="511">
        <v>0</v>
      </c>
      <c r="S934" s="511">
        <v>0</v>
      </c>
      <c r="T934" s="511">
        <v>0</v>
      </c>
      <c r="U934" s="511">
        <v>0</v>
      </c>
      <c r="V934" s="511">
        <v>0</v>
      </c>
      <c r="X934" s="38">
        <f>'[2]Приложение 1'!T929</f>
        <v>0</v>
      </c>
      <c r="Y934" s="9">
        <f t="shared" si="226"/>
        <v>3234</v>
      </c>
      <c r="Z934" s="19">
        <f t="shared" si="227"/>
        <v>-3234</v>
      </c>
    </row>
    <row r="935" spans="1:26" ht="9" customHeight="1">
      <c r="A935" s="882" t="s">
        <v>298</v>
      </c>
      <c r="B935" s="921"/>
      <c r="C935" s="921"/>
      <c r="D935" s="921"/>
      <c r="E935" s="921"/>
      <c r="F935" s="921"/>
      <c r="G935" s="921"/>
      <c r="H935" s="921"/>
      <c r="I935" s="921"/>
      <c r="J935" s="921"/>
      <c r="K935" s="921"/>
      <c r="L935" s="921"/>
      <c r="M935" s="921"/>
      <c r="N935" s="921"/>
      <c r="O935" s="921"/>
      <c r="P935" s="921"/>
      <c r="Q935" s="921"/>
      <c r="R935" s="921"/>
      <c r="S935" s="921"/>
      <c r="T935" s="921"/>
      <c r="U935" s="921"/>
      <c r="V935" s="921"/>
      <c r="X935" s="38">
        <f>'[2]Приложение 1'!T930</f>
        <v>4503.95</v>
      </c>
      <c r="Y935" s="9" t="e">
        <f t="shared" si="226"/>
        <v>#DIV/0!</v>
      </c>
      <c r="Z935" s="19" t="e">
        <f t="shared" si="227"/>
        <v>#DIV/0!</v>
      </c>
    </row>
    <row r="936" spans="1:26" ht="23.25" customHeight="1">
      <c r="A936" s="900" t="s">
        <v>304</v>
      </c>
      <c r="B936" s="924"/>
      <c r="C936" s="58"/>
      <c r="D936" s="58"/>
      <c r="E936" s="511">
        <f>SUM(E937)</f>
        <v>3568395.6</v>
      </c>
      <c r="F936" s="511">
        <f t="shared" ref="F936:V936" si="250">SUM(F937)</f>
        <v>0</v>
      </c>
      <c r="G936" s="17">
        <f t="shared" si="250"/>
        <v>0</v>
      </c>
      <c r="H936" s="511">
        <f t="shared" si="250"/>
        <v>0</v>
      </c>
      <c r="I936" s="511">
        <f t="shared" si="250"/>
        <v>1103.4000000000001</v>
      </c>
      <c r="J936" s="511">
        <f t="shared" si="250"/>
        <v>0</v>
      </c>
      <c r="K936" s="511">
        <f t="shared" si="250"/>
        <v>0</v>
      </c>
      <c r="L936" s="511">
        <f t="shared" si="250"/>
        <v>3568395.6</v>
      </c>
      <c r="M936" s="511">
        <f t="shared" si="250"/>
        <v>0</v>
      </c>
      <c r="N936" s="511">
        <f t="shared" si="250"/>
        <v>0</v>
      </c>
      <c r="O936" s="511">
        <f t="shared" si="250"/>
        <v>0</v>
      </c>
      <c r="P936" s="511">
        <f t="shared" si="250"/>
        <v>0</v>
      </c>
      <c r="Q936" s="511">
        <f t="shared" si="250"/>
        <v>0</v>
      </c>
      <c r="R936" s="511">
        <f t="shared" si="250"/>
        <v>0</v>
      </c>
      <c r="S936" s="511">
        <f t="shared" si="250"/>
        <v>0</v>
      </c>
      <c r="T936" s="511">
        <f t="shared" si="250"/>
        <v>0</v>
      </c>
      <c r="U936" s="511">
        <f t="shared" si="250"/>
        <v>0</v>
      </c>
      <c r="V936" s="511">
        <f t="shared" si="250"/>
        <v>0</v>
      </c>
      <c r="X936" s="38">
        <f>'[2]Приложение 1'!T931</f>
        <v>0</v>
      </c>
      <c r="Y936" s="9">
        <f t="shared" si="226"/>
        <v>3234</v>
      </c>
      <c r="Z936" s="19">
        <f t="shared" si="227"/>
        <v>-3234</v>
      </c>
    </row>
    <row r="937" spans="1:26" ht="9" customHeight="1">
      <c r="A937" s="510">
        <v>193</v>
      </c>
      <c r="B937" s="509" t="s">
        <v>883</v>
      </c>
      <c r="C937" s="58" t="s">
        <v>1192</v>
      </c>
      <c r="D937" s="58" t="s">
        <v>111</v>
      </c>
      <c r="E937" s="511">
        <f t="shared" ref="E937" si="251">F937+H937+L937+N937+P937+R937+S937+T937+U937+V937</f>
        <v>3568395.6</v>
      </c>
      <c r="F937" s="511">
        <v>0</v>
      </c>
      <c r="G937" s="17">
        <v>0</v>
      </c>
      <c r="H937" s="511">
        <v>0</v>
      </c>
      <c r="I937" s="511">
        <v>1103.4000000000001</v>
      </c>
      <c r="J937" s="511"/>
      <c r="K937" s="511"/>
      <c r="L937" s="511">
        <f>ROUND(3234*I937,2)</f>
        <v>3568395.6</v>
      </c>
      <c r="M937" s="511">
        <v>0</v>
      </c>
      <c r="N937" s="511">
        <v>0</v>
      </c>
      <c r="O937" s="511">
        <v>0</v>
      </c>
      <c r="P937" s="511">
        <v>0</v>
      </c>
      <c r="Q937" s="511">
        <v>0</v>
      </c>
      <c r="R937" s="511">
        <v>0</v>
      </c>
      <c r="S937" s="511">
        <v>0</v>
      </c>
      <c r="T937" s="511">
        <v>0</v>
      </c>
      <c r="U937" s="511">
        <v>0</v>
      </c>
      <c r="V937" s="511">
        <v>0</v>
      </c>
      <c r="X937" s="38">
        <f>'[2]Приложение 1'!T932</f>
        <v>0</v>
      </c>
      <c r="Y937" s="9">
        <f t="shared" si="226"/>
        <v>3234</v>
      </c>
      <c r="Z937" s="19">
        <f t="shared" si="227"/>
        <v>-3234</v>
      </c>
    </row>
    <row r="938" spans="1:26" ht="9" customHeight="1">
      <c r="A938" s="925" t="s">
        <v>899</v>
      </c>
      <c r="B938" s="926"/>
      <c r="C938" s="926"/>
      <c r="D938" s="926"/>
      <c r="E938" s="926"/>
      <c r="F938" s="926"/>
      <c r="G938" s="926"/>
      <c r="H938" s="926"/>
      <c r="I938" s="926"/>
      <c r="J938" s="926"/>
      <c r="K938" s="926"/>
      <c r="L938" s="926"/>
      <c r="M938" s="926"/>
      <c r="N938" s="926"/>
      <c r="O938" s="926"/>
      <c r="P938" s="926"/>
      <c r="Q938" s="926"/>
      <c r="R938" s="926"/>
      <c r="S938" s="926"/>
      <c r="T938" s="926"/>
      <c r="U938" s="926"/>
      <c r="V938" s="927"/>
      <c r="X938" s="38">
        <f>'[2]Приложение 1'!T933</f>
        <v>4503.95</v>
      </c>
      <c r="Y938" s="9" t="e">
        <f t="shared" si="226"/>
        <v>#DIV/0!</v>
      </c>
      <c r="Z938" s="19" t="e">
        <f t="shared" si="227"/>
        <v>#DIV/0!</v>
      </c>
    </row>
    <row r="939" spans="1:26" ht="25.5" customHeight="1">
      <c r="A939" s="906" t="s">
        <v>901</v>
      </c>
      <c r="B939" s="906"/>
      <c r="C939" s="69"/>
      <c r="D939" s="69"/>
      <c r="E939" s="511">
        <f>SUM(E940)</f>
        <v>1513512</v>
      </c>
      <c r="F939" s="511">
        <f t="shared" ref="F939:V939" si="252">SUM(F940)</f>
        <v>0</v>
      </c>
      <c r="G939" s="17">
        <f t="shared" si="252"/>
        <v>0</v>
      </c>
      <c r="H939" s="511">
        <f t="shared" si="252"/>
        <v>0</v>
      </c>
      <c r="I939" s="511">
        <f t="shared" si="252"/>
        <v>468</v>
      </c>
      <c r="J939" s="511">
        <f t="shared" si="252"/>
        <v>0</v>
      </c>
      <c r="K939" s="511">
        <f t="shared" si="252"/>
        <v>0</v>
      </c>
      <c r="L939" s="511">
        <f t="shared" si="252"/>
        <v>1513512</v>
      </c>
      <c r="M939" s="511">
        <f t="shared" si="252"/>
        <v>0</v>
      </c>
      <c r="N939" s="511">
        <f t="shared" si="252"/>
        <v>0</v>
      </c>
      <c r="O939" s="511">
        <f t="shared" si="252"/>
        <v>0</v>
      </c>
      <c r="P939" s="511">
        <f t="shared" si="252"/>
        <v>0</v>
      </c>
      <c r="Q939" s="511">
        <f t="shared" si="252"/>
        <v>0</v>
      </c>
      <c r="R939" s="511">
        <f t="shared" si="252"/>
        <v>0</v>
      </c>
      <c r="S939" s="511">
        <f t="shared" si="252"/>
        <v>0</v>
      </c>
      <c r="T939" s="511">
        <f t="shared" si="252"/>
        <v>0</v>
      </c>
      <c r="U939" s="511">
        <f t="shared" si="252"/>
        <v>0</v>
      </c>
      <c r="V939" s="511">
        <f t="shared" si="252"/>
        <v>0</v>
      </c>
      <c r="X939" s="38">
        <f>'[2]Приложение 1'!T934</f>
        <v>0</v>
      </c>
      <c r="Y939" s="9">
        <f t="shared" si="226"/>
        <v>3234</v>
      </c>
      <c r="Z939" s="19">
        <f t="shared" si="227"/>
        <v>-3234</v>
      </c>
    </row>
    <row r="940" spans="1:26" ht="9" customHeight="1">
      <c r="A940" s="736">
        <v>194</v>
      </c>
      <c r="B940" s="509" t="s">
        <v>900</v>
      </c>
      <c r="C940" s="58" t="s">
        <v>1192</v>
      </c>
      <c r="D940" s="58" t="s">
        <v>111</v>
      </c>
      <c r="E940" s="511">
        <f t="shared" ref="E940" si="253">F940+H940+L940+N940+P940+R940+S940+T940+U940+V940</f>
        <v>1513512</v>
      </c>
      <c r="F940" s="511">
        <v>0</v>
      </c>
      <c r="G940" s="17">
        <v>0</v>
      </c>
      <c r="H940" s="511">
        <v>0</v>
      </c>
      <c r="I940" s="23">
        <v>468</v>
      </c>
      <c r="J940" s="511"/>
      <c r="K940" s="511"/>
      <c r="L940" s="511">
        <f>ROUND(3234*I940,2)</f>
        <v>1513512</v>
      </c>
      <c r="M940" s="511">
        <v>0</v>
      </c>
      <c r="N940" s="511">
        <v>0</v>
      </c>
      <c r="O940" s="511">
        <v>0</v>
      </c>
      <c r="P940" s="511">
        <v>0</v>
      </c>
      <c r="Q940" s="511">
        <v>0</v>
      </c>
      <c r="R940" s="511">
        <v>0</v>
      </c>
      <c r="S940" s="511">
        <v>0</v>
      </c>
      <c r="T940" s="511">
        <v>0</v>
      </c>
      <c r="U940" s="511">
        <v>0</v>
      </c>
      <c r="V940" s="511">
        <v>0</v>
      </c>
      <c r="X940" s="38">
        <f>'[2]Приложение 1'!T935</f>
        <v>0</v>
      </c>
      <c r="Y940" s="9">
        <f t="shared" si="226"/>
        <v>3234</v>
      </c>
      <c r="Z940" s="19">
        <f t="shared" si="227"/>
        <v>-3234</v>
      </c>
    </row>
    <row r="941" spans="1:26" ht="9" customHeight="1">
      <c r="A941" s="890" t="s">
        <v>330</v>
      </c>
      <c r="B941" s="890"/>
      <c r="C941" s="890"/>
      <c r="D941" s="890"/>
      <c r="E941" s="890"/>
      <c r="F941" s="890"/>
      <c r="G941" s="890"/>
      <c r="H941" s="890"/>
      <c r="I941" s="890"/>
      <c r="J941" s="890"/>
      <c r="K941" s="890"/>
      <c r="L941" s="890"/>
      <c r="M941" s="890"/>
      <c r="N941" s="890"/>
      <c r="O941" s="890"/>
      <c r="P941" s="890"/>
      <c r="Q941" s="890"/>
      <c r="R941" s="890"/>
      <c r="S941" s="890"/>
      <c r="T941" s="890"/>
      <c r="U941" s="890"/>
      <c r="V941" s="890"/>
      <c r="X941" s="38">
        <f>'[2]Приложение 1'!T936</f>
        <v>4503.95</v>
      </c>
      <c r="Y941" s="9" t="e">
        <f t="shared" si="226"/>
        <v>#DIV/0!</v>
      </c>
      <c r="Z941" s="19" t="e">
        <f t="shared" si="227"/>
        <v>#DIV/0!</v>
      </c>
    </row>
    <row r="942" spans="1:26" ht="21.75" customHeight="1">
      <c r="A942" s="904" t="s">
        <v>331</v>
      </c>
      <c r="B942" s="904"/>
      <c r="C942" s="60"/>
      <c r="D942" s="60"/>
      <c r="E942" s="23">
        <f>SUM(E943:E948)</f>
        <v>17133426</v>
      </c>
      <c r="F942" s="23">
        <f t="shared" ref="F942:V942" si="254">SUM(F943:F948)</f>
        <v>0</v>
      </c>
      <c r="G942" s="35">
        <f t="shared" si="254"/>
        <v>0</v>
      </c>
      <c r="H942" s="23">
        <f t="shared" si="254"/>
        <v>0</v>
      </c>
      <c r="I942" s="23">
        <f t="shared" si="254"/>
        <v>5139</v>
      </c>
      <c r="J942" s="23">
        <f t="shared" si="254"/>
        <v>0</v>
      </c>
      <c r="K942" s="23">
        <f t="shared" si="254"/>
        <v>0</v>
      </c>
      <c r="L942" s="23">
        <f t="shared" si="254"/>
        <v>17133426</v>
      </c>
      <c r="M942" s="23">
        <f t="shared" si="254"/>
        <v>0</v>
      </c>
      <c r="N942" s="23">
        <f t="shared" si="254"/>
        <v>0</v>
      </c>
      <c r="O942" s="23">
        <f t="shared" si="254"/>
        <v>0</v>
      </c>
      <c r="P942" s="23">
        <f t="shared" si="254"/>
        <v>0</v>
      </c>
      <c r="Q942" s="23">
        <f t="shared" si="254"/>
        <v>0</v>
      </c>
      <c r="R942" s="23">
        <f t="shared" si="254"/>
        <v>0</v>
      </c>
      <c r="S942" s="23">
        <f t="shared" si="254"/>
        <v>0</v>
      </c>
      <c r="T942" s="23">
        <f t="shared" si="254"/>
        <v>0</v>
      </c>
      <c r="U942" s="23">
        <f t="shared" si="254"/>
        <v>0</v>
      </c>
      <c r="V942" s="23">
        <f t="shared" si="254"/>
        <v>0</v>
      </c>
      <c r="X942" s="38">
        <f>'[2]Приложение 1'!T937</f>
        <v>0</v>
      </c>
      <c r="Y942" s="9">
        <f t="shared" si="226"/>
        <v>3334</v>
      </c>
      <c r="Z942" s="19">
        <f t="shared" si="227"/>
        <v>-3334</v>
      </c>
    </row>
    <row r="943" spans="1:26" ht="9" customHeight="1">
      <c r="A943" s="736">
        <v>195</v>
      </c>
      <c r="B943" s="509" t="s">
        <v>893</v>
      </c>
      <c r="C943" s="58" t="s">
        <v>1192</v>
      </c>
      <c r="D943" s="58" t="s">
        <v>110</v>
      </c>
      <c r="E943" s="511">
        <f t="shared" ref="E943:E948" si="255">F943+H943+L943+N943+P943+R943+S943+T943+U943+V943</f>
        <v>2933920</v>
      </c>
      <c r="F943" s="23">
        <v>0</v>
      </c>
      <c r="G943" s="35">
        <v>0</v>
      </c>
      <c r="H943" s="23">
        <v>0</v>
      </c>
      <c r="I943" s="23">
        <v>880</v>
      </c>
      <c r="J943" s="21"/>
      <c r="K943" s="511"/>
      <c r="L943" s="511">
        <f t="shared" ref="L943:L948" si="256">ROUND(3334*I943,2)</f>
        <v>2933920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X943" s="38">
        <f>'[2]Приложение 1'!T938</f>
        <v>0</v>
      </c>
      <c r="Y943" s="9">
        <f t="shared" si="226"/>
        <v>3334</v>
      </c>
      <c r="Z943" s="19">
        <f t="shared" si="227"/>
        <v>-3334</v>
      </c>
    </row>
    <row r="944" spans="1:26" ht="9" customHeight="1">
      <c r="A944" s="736">
        <v>196</v>
      </c>
      <c r="B944" s="509" t="s">
        <v>894</v>
      </c>
      <c r="C944" s="58" t="s">
        <v>1192</v>
      </c>
      <c r="D944" s="58" t="s">
        <v>110</v>
      </c>
      <c r="E944" s="511">
        <f t="shared" si="255"/>
        <v>2817230</v>
      </c>
      <c r="F944" s="23">
        <v>0</v>
      </c>
      <c r="G944" s="35">
        <v>0</v>
      </c>
      <c r="H944" s="23">
        <v>0</v>
      </c>
      <c r="I944" s="23">
        <v>845</v>
      </c>
      <c r="J944" s="21"/>
      <c r="K944" s="511"/>
      <c r="L944" s="511">
        <f t="shared" si="256"/>
        <v>2817230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X944" s="38">
        <f>'[2]Приложение 1'!T939</f>
        <v>4180</v>
      </c>
      <c r="Y944" s="9">
        <f t="shared" si="226"/>
        <v>3334</v>
      </c>
      <c r="Z944" s="19">
        <f t="shared" si="227"/>
        <v>846</v>
      </c>
    </row>
    <row r="945" spans="1:26" ht="9" customHeight="1">
      <c r="A945" s="736">
        <v>197</v>
      </c>
      <c r="B945" s="509" t="s">
        <v>895</v>
      </c>
      <c r="C945" s="58" t="s">
        <v>1192</v>
      </c>
      <c r="D945" s="58" t="s">
        <v>110</v>
      </c>
      <c r="E945" s="511">
        <f t="shared" si="255"/>
        <v>2817230</v>
      </c>
      <c r="F945" s="23">
        <v>0</v>
      </c>
      <c r="G945" s="35">
        <v>0</v>
      </c>
      <c r="H945" s="23">
        <v>0</v>
      </c>
      <c r="I945" s="23">
        <v>845</v>
      </c>
      <c r="J945" s="21"/>
      <c r="K945" s="511"/>
      <c r="L945" s="511">
        <f t="shared" si="256"/>
        <v>2817230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X945" s="38">
        <f>'[2]Приложение 1'!T940</f>
        <v>4180</v>
      </c>
      <c r="Y945" s="9">
        <f t="shared" si="226"/>
        <v>3334</v>
      </c>
      <c r="Z945" s="19">
        <f t="shared" si="227"/>
        <v>846</v>
      </c>
    </row>
    <row r="946" spans="1:26" ht="9" customHeight="1">
      <c r="A946" s="736">
        <v>198</v>
      </c>
      <c r="B946" s="509" t="s">
        <v>896</v>
      </c>
      <c r="C946" s="58" t="s">
        <v>1192</v>
      </c>
      <c r="D946" s="58" t="s">
        <v>110</v>
      </c>
      <c r="E946" s="511">
        <f t="shared" si="255"/>
        <v>3127292</v>
      </c>
      <c r="F946" s="23">
        <v>0</v>
      </c>
      <c r="G946" s="35">
        <v>0</v>
      </c>
      <c r="H946" s="23">
        <v>0</v>
      </c>
      <c r="I946" s="23">
        <v>938</v>
      </c>
      <c r="J946" s="21"/>
      <c r="K946" s="511"/>
      <c r="L946" s="511">
        <f t="shared" si="256"/>
        <v>3127292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X946" s="38">
        <f>'[2]Приложение 1'!T941</f>
        <v>4180</v>
      </c>
      <c r="Y946" s="9">
        <f t="shared" si="226"/>
        <v>3334</v>
      </c>
      <c r="Z946" s="19">
        <f t="shared" si="227"/>
        <v>846</v>
      </c>
    </row>
    <row r="947" spans="1:26" ht="9" customHeight="1">
      <c r="A947" s="736">
        <v>199</v>
      </c>
      <c r="B947" s="509" t="s">
        <v>897</v>
      </c>
      <c r="C947" s="58" t="s">
        <v>1192</v>
      </c>
      <c r="D947" s="58" t="s">
        <v>110</v>
      </c>
      <c r="E947" s="511">
        <f t="shared" si="255"/>
        <v>2327132</v>
      </c>
      <c r="F947" s="23">
        <v>0</v>
      </c>
      <c r="G947" s="35">
        <v>0</v>
      </c>
      <c r="H947" s="23">
        <v>0</v>
      </c>
      <c r="I947" s="23">
        <v>698</v>
      </c>
      <c r="J947" s="21"/>
      <c r="K947" s="511"/>
      <c r="L947" s="511">
        <f t="shared" si="256"/>
        <v>2327132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X947" s="38">
        <f>'[2]Приложение 1'!T942</f>
        <v>4180</v>
      </c>
      <c r="Y947" s="9">
        <f t="shared" si="226"/>
        <v>3334</v>
      </c>
      <c r="Z947" s="19">
        <f t="shared" si="227"/>
        <v>846</v>
      </c>
    </row>
    <row r="948" spans="1:26" ht="9" customHeight="1">
      <c r="A948" s="736">
        <v>200</v>
      </c>
      <c r="B948" s="509" t="s">
        <v>898</v>
      </c>
      <c r="C948" s="58" t="s">
        <v>1192</v>
      </c>
      <c r="D948" s="58" t="s">
        <v>110</v>
      </c>
      <c r="E948" s="511">
        <f t="shared" si="255"/>
        <v>3110622</v>
      </c>
      <c r="F948" s="23">
        <v>0</v>
      </c>
      <c r="G948" s="35">
        <v>0</v>
      </c>
      <c r="H948" s="23">
        <v>0</v>
      </c>
      <c r="I948" s="23">
        <v>933</v>
      </c>
      <c r="J948" s="21"/>
      <c r="K948" s="511"/>
      <c r="L948" s="511">
        <f t="shared" si="256"/>
        <v>3110622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X948" s="38">
        <f>'[2]Приложение 1'!T943</f>
        <v>4180</v>
      </c>
      <c r="Y948" s="9">
        <f t="shared" si="226"/>
        <v>3334</v>
      </c>
      <c r="Z948" s="19">
        <f t="shared" si="227"/>
        <v>846</v>
      </c>
    </row>
    <row r="949" spans="1:26" ht="9" customHeight="1">
      <c r="A949" s="890" t="s">
        <v>405</v>
      </c>
      <c r="B949" s="890"/>
      <c r="C949" s="890"/>
      <c r="D949" s="890"/>
      <c r="E949" s="890"/>
      <c r="F949" s="890"/>
      <c r="G949" s="890"/>
      <c r="H949" s="890"/>
      <c r="I949" s="890"/>
      <c r="J949" s="890"/>
      <c r="K949" s="890"/>
      <c r="L949" s="890"/>
      <c r="M949" s="890"/>
      <c r="N949" s="890"/>
      <c r="O949" s="890"/>
      <c r="P949" s="890"/>
      <c r="Q949" s="890"/>
      <c r="R949" s="890"/>
      <c r="S949" s="890"/>
      <c r="T949" s="890"/>
      <c r="U949" s="890"/>
      <c r="V949" s="890"/>
      <c r="X949" s="38">
        <f>'[2]Приложение 1'!T944</f>
        <v>4180</v>
      </c>
      <c r="Y949" s="9" t="e">
        <f t="shared" si="226"/>
        <v>#DIV/0!</v>
      </c>
      <c r="Z949" s="19" t="e">
        <f t="shared" si="227"/>
        <v>#DIV/0!</v>
      </c>
    </row>
    <row r="950" spans="1:26" ht="33.75" customHeight="1">
      <c r="A950" s="904" t="s">
        <v>406</v>
      </c>
      <c r="B950" s="904"/>
      <c r="C950" s="60"/>
      <c r="D950" s="60"/>
      <c r="E950" s="23">
        <f>SUM(E951)</f>
        <v>1534533</v>
      </c>
      <c r="F950" s="23">
        <f t="shared" ref="F950:V950" si="257">SUM(F951)</f>
        <v>0</v>
      </c>
      <c r="G950" s="35">
        <f t="shared" si="257"/>
        <v>0</v>
      </c>
      <c r="H950" s="23">
        <f t="shared" si="257"/>
        <v>0</v>
      </c>
      <c r="I950" s="23">
        <f t="shared" si="257"/>
        <v>474.5</v>
      </c>
      <c r="J950" s="23">
        <f t="shared" si="257"/>
        <v>0</v>
      </c>
      <c r="K950" s="23">
        <f t="shared" si="257"/>
        <v>0</v>
      </c>
      <c r="L950" s="23">
        <f t="shared" si="257"/>
        <v>1534533</v>
      </c>
      <c r="M950" s="23">
        <f t="shared" si="257"/>
        <v>0</v>
      </c>
      <c r="N950" s="23">
        <f t="shared" si="257"/>
        <v>0</v>
      </c>
      <c r="O950" s="23">
        <f t="shared" si="257"/>
        <v>0</v>
      </c>
      <c r="P950" s="23">
        <f t="shared" si="257"/>
        <v>0</v>
      </c>
      <c r="Q950" s="23">
        <f t="shared" si="257"/>
        <v>0</v>
      </c>
      <c r="R950" s="23">
        <f t="shared" si="257"/>
        <v>0</v>
      </c>
      <c r="S950" s="23">
        <f t="shared" si="257"/>
        <v>0</v>
      </c>
      <c r="T950" s="23">
        <f t="shared" si="257"/>
        <v>0</v>
      </c>
      <c r="U950" s="23">
        <f t="shared" si="257"/>
        <v>0</v>
      </c>
      <c r="V950" s="23">
        <f t="shared" si="257"/>
        <v>0</v>
      </c>
      <c r="X950" s="38">
        <f>'[2]Приложение 1'!T945</f>
        <v>0</v>
      </c>
      <c r="Y950" s="9">
        <f t="shared" si="226"/>
        <v>3234</v>
      </c>
      <c r="Z950" s="19">
        <f t="shared" si="227"/>
        <v>-3234</v>
      </c>
    </row>
    <row r="951" spans="1:26" ht="9" customHeight="1">
      <c r="A951" s="510">
        <v>201</v>
      </c>
      <c r="B951" s="509" t="s">
        <v>905</v>
      </c>
      <c r="C951" s="58" t="s">
        <v>1192</v>
      </c>
      <c r="D951" s="58" t="s">
        <v>111</v>
      </c>
      <c r="E951" s="511">
        <f t="shared" ref="E951" si="258">F951+H951+L951+N951+P951+R951+S951+T951+U951+V951</f>
        <v>1534533</v>
      </c>
      <c r="F951" s="23">
        <v>0</v>
      </c>
      <c r="G951" s="35">
        <v>0</v>
      </c>
      <c r="H951" s="23">
        <v>0</v>
      </c>
      <c r="I951" s="23">
        <v>474.5</v>
      </c>
      <c r="J951" s="511"/>
      <c r="K951" s="511"/>
      <c r="L951" s="511">
        <f>ROUND(3234*I951,2)</f>
        <v>1534533</v>
      </c>
      <c r="M951" s="23">
        <v>0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0</v>
      </c>
      <c r="V951" s="23">
        <v>0</v>
      </c>
      <c r="X951" s="38">
        <f>'[2]Приложение 1'!T946</f>
        <v>0</v>
      </c>
      <c r="Y951" s="9">
        <f t="shared" si="226"/>
        <v>3234</v>
      </c>
      <c r="Z951" s="19">
        <f t="shared" si="227"/>
        <v>-3234</v>
      </c>
    </row>
    <row r="952" spans="1:26" ht="9" customHeight="1">
      <c r="A952" s="890" t="s">
        <v>427</v>
      </c>
      <c r="B952" s="890"/>
      <c r="C952" s="890"/>
      <c r="D952" s="890"/>
      <c r="E952" s="890"/>
      <c r="F952" s="890"/>
      <c r="G952" s="890"/>
      <c r="H952" s="890"/>
      <c r="I952" s="890"/>
      <c r="J952" s="890"/>
      <c r="K952" s="890"/>
      <c r="L952" s="890"/>
      <c r="M952" s="890"/>
      <c r="N952" s="890"/>
      <c r="O952" s="890"/>
      <c r="P952" s="890"/>
      <c r="Q952" s="890"/>
      <c r="R952" s="890"/>
      <c r="S952" s="890"/>
      <c r="T952" s="890"/>
      <c r="U952" s="890"/>
      <c r="V952" s="890"/>
      <c r="X952" s="38">
        <f>'[2]Приложение 1'!T947</f>
        <v>4503.95</v>
      </c>
      <c r="Y952" s="9" t="e">
        <f t="shared" si="226"/>
        <v>#DIV/0!</v>
      </c>
      <c r="Z952" s="19" t="e">
        <f t="shared" si="227"/>
        <v>#DIV/0!</v>
      </c>
    </row>
    <row r="953" spans="1:26" ht="23.25" customHeight="1">
      <c r="A953" s="900" t="s">
        <v>428</v>
      </c>
      <c r="B953" s="900"/>
      <c r="C953" s="58"/>
      <c r="D953" s="58"/>
      <c r="E953" s="511">
        <f>SUM(E954:E959)</f>
        <v>11412850.68</v>
      </c>
      <c r="F953" s="511">
        <f t="shared" ref="F953:V953" si="259">SUM(F954:F959)</f>
        <v>0</v>
      </c>
      <c r="G953" s="17">
        <f t="shared" si="259"/>
        <v>0</v>
      </c>
      <c r="H953" s="511">
        <f t="shared" si="259"/>
        <v>0</v>
      </c>
      <c r="I953" s="511">
        <f t="shared" si="259"/>
        <v>3529.02</v>
      </c>
      <c r="J953" s="511">
        <f t="shared" si="259"/>
        <v>0</v>
      </c>
      <c r="K953" s="511">
        <f t="shared" si="259"/>
        <v>0</v>
      </c>
      <c r="L953" s="511">
        <f t="shared" si="259"/>
        <v>11412850.68</v>
      </c>
      <c r="M953" s="511">
        <f t="shared" si="259"/>
        <v>0</v>
      </c>
      <c r="N953" s="511">
        <f t="shared" si="259"/>
        <v>0</v>
      </c>
      <c r="O953" s="511">
        <f t="shared" si="259"/>
        <v>0</v>
      </c>
      <c r="P953" s="511">
        <f t="shared" si="259"/>
        <v>0</v>
      </c>
      <c r="Q953" s="511">
        <f t="shared" si="259"/>
        <v>0</v>
      </c>
      <c r="R953" s="511">
        <f t="shared" si="259"/>
        <v>0</v>
      </c>
      <c r="S953" s="511">
        <f t="shared" si="259"/>
        <v>0</v>
      </c>
      <c r="T953" s="511">
        <f t="shared" si="259"/>
        <v>0</v>
      </c>
      <c r="U953" s="511">
        <f t="shared" si="259"/>
        <v>0</v>
      </c>
      <c r="V953" s="511">
        <f t="shared" si="259"/>
        <v>0</v>
      </c>
      <c r="X953" s="38">
        <f>'[2]Приложение 1'!T948</f>
        <v>0</v>
      </c>
      <c r="Y953" s="9">
        <f t="shared" si="226"/>
        <v>3234</v>
      </c>
      <c r="Z953" s="19">
        <f t="shared" si="227"/>
        <v>-3234</v>
      </c>
    </row>
    <row r="954" spans="1:26" ht="9" customHeight="1">
      <c r="A954" s="510">
        <v>202</v>
      </c>
      <c r="B954" s="737" t="s">
        <v>912</v>
      </c>
      <c r="C954" s="58" t="s">
        <v>1192</v>
      </c>
      <c r="D954" s="61" t="s">
        <v>111</v>
      </c>
      <c r="E954" s="511">
        <f t="shared" ref="E954:E959" si="260">F954+H954+L954+N954+P954+R954+S954+T954+U954+V954</f>
        <v>1455300</v>
      </c>
      <c r="F954" s="511">
        <v>0</v>
      </c>
      <c r="G954" s="17">
        <v>0</v>
      </c>
      <c r="H954" s="511">
        <v>0</v>
      </c>
      <c r="I954" s="511">
        <v>450</v>
      </c>
      <c r="J954" s="511"/>
      <c r="K954" s="511"/>
      <c r="L954" s="511">
        <f t="shared" ref="L954:L959" si="261">ROUND(3234*I954,2)</f>
        <v>1455300</v>
      </c>
      <c r="M954" s="511">
        <v>0</v>
      </c>
      <c r="N954" s="511">
        <v>0</v>
      </c>
      <c r="O954" s="511">
        <v>0</v>
      </c>
      <c r="P954" s="511">
        <v>0</v>
      </c>
      <c r="Q954" s="511">
        <v>0</v>
      </c>
      <c r="R954" s="511">
        <v>0</v>
      </c>
      <c r="S954" s="511">
        <v>0</v>
      </c>
      <c r="T954" s="511">
        <v>0</v>
      </c>
      <c r="U954" s="511">
        <v>0</v>
      </c>
      <c r="V954" s="511">
        <v>0</v>
      </c>
      <c r="X954" s="38">
        <f>'[2]Приложение 1'!T949</f>
        <v>0</v>
      </c>
      <c r="Y954" s="9">
        <f t="shared" si="226"/>
        <v>3234</v>
      </c>
      <c r="Z954" s="19">
        <f t="shared" si="227"/>
        <v>-3234</v>
      </c>
    </row>
    <row r="955" spans="1:26" ht="9" customHeight="1">
      <c r="A955" s="510">
        <v>203</v>
      </c>
      <c r="B955" s="737" t="s">
        <v>913</v>
      </c>
      <c r="C955" s="58" t="s">
        <v>1192</v>
      </c>
      <c r="D955" s="61" t="s">
        <v>111</v>
      </c>
      <c r="E955" s="511">
        <f t="shared" si="260"/>
        <v>2102100</v>
      </c>
      <c r="F955" s="511">
        <v>0</v>
      </c>
      <c r="G955" s="17">
        <v>0</v>
      </c>
      <c r="H955" s="511">
        <v>0</v>
      </c>
      <c r="I955" s="511">
        <v>650</v>
      </c>
      <c r="J955" s="511"/>
      <c r="K955" s="511"/>
      <c r="L955" s="511">
        <f t="shared" si="261"/>
        <v>2102100</v>
      </c>
      <c r="M955" s="511">
        <v>0</v>
      </c>
      <c r="N955" s="511">
        <v>0</v>
      </c>
      <c r="O955" s="511">
        <v>0</v>
      </c>
      <c r="P955" s="511">
        <v>0</v>
      </c>
      <c r="Q955" s="511">
        <v>0</v>
      </c>
      <c r="R955" s="511">
        <v>0</v>
      </c>
      <c r="S955" s="511">
        <v>0</v>
      </c>
      <c r="T955" s="511">
        <v>0</v>
      </c>
      <c r="U955" s="511">
        <v>0</v>
      </c>
      <c r="V955" s="511">
        <v>0</v>
      </c>
      <c r="X955" s="38">
        <f>'[2]Приложение 1'!T950</f>
        <v>4503.95</v>
      </c>
      <c r="Y955" s="9">
        <f t="shared" si="226"/>
        <v>3234</v>
      </c>
      <c r="Z955" s="19">
        <f t="shared" si="227"/>
        <v>1269.9499999999998</v>
      </c>
    </row>
    <row r="956" spans="1:26" ht="9" customHeight="1">
      <c r="A956" s="510">
        <v>204</v>
      </c>
      <c r="B956" s="737" t="s">
        <v>914</v>
      </c>
      <c r="C956" s="58" t="s">
        <v>1192</v>
      </c>
      <c r="D956" s="61" t="s">
        <v>111</v>
      </c>
      <c r="E956" s="511">
        <f t="shared" si="260"/>
        <v>3087499.8</v>
      </c>
      <c r="F956" s="511">
        <v>0</v>
      </c>
      <c r="G956" s="17">
        <v>0</v>
      </c>
      <c r="H956" s="511">
        <v>0</v>
      </c>
      <c r="I956" s="511">
        <v>954.7</v>
      </c>
      <c r="J956" s="511"/>
      <c r="K956" s="511"/>
      <c r="L956" s="511">
        <f t="shared" si="261"/>
        <v>3087499.8</v>
      </c>
      <c r="M956" s="511">
        <v>0</v>
      </c>
      <c r="N956" s="511">
        <v>0</v>
      </c>
      <c r="O956" s="511">
        <v>0</v>
      </c>
      <c r="P956" s="511">
        <v>0</v>
      </c>
      <c r="Q956" s="511">
        <v>0</v>
      </c>
      <c r="R956" s="511">
        <v>0</v>
      </c>
      <c r="S956" s="511">
        <v>0</v>
      </c>
      <c r="T956" s="511">
        <v>0</v>
      </c>
      <c r="U956" s="511">
        <v>0</v>
      </c>
      <c r="V956" s="511">
        <v>0</v>
      </c>
      <c r="X956" s="38">
        <f>'[2]Приложение 1'!T951</f>
        <v>4503.95</v>
      </c>
      <c r="Y956" s="9">
        <f t="shared" si="226"/>
        <v>3233.9999999999995</v>
      </c>
      <c r="Z956" s="19">
        <f t="shared" si="227"/>
        <v>1269.9500000000003</v>
      </c>
    </row>
    <row r="957" spans="1:26" ht="9" customHeight="1">
      <c r="A957" s="510">
        <v>205</v>
      </c>
      <c r="B957" s="737" t="s">
        <v>915</v>
      </c>
      <c r="C957" s="58" t="s">
        <v>1192</v>
      </c>
      <c r="D957" s="61" t="s">
        <v>111</v>
      </c>
      <c r="E957" s="511">
        <f t="shared" si="260"/>
        <v>867746.88</v>
      </c>
      <c r="F957" s="511">
        <v>0</v>
      </c>
      <c r="G957" s="17">
        <v>0</v>
      </c>
      <c r="H957" s="511">
        <v>0</v>
      </c>
      <c r="I957" s="511">
        <v>268.32</v>
      </c>
      <c r="J957" s="511"/>
      <c r="K957" s="511"/>
      <c r="L957" s="511">
        <f t="shared" si="261"/>
        <v>867746.88</v>
      </c>
      <c r="M957" s="511">
        <v>0</v>
      </c>
      <c r="N957" s="511">
        <v>0</v>
      </c>
      <c r="O957" s="511">
        <v>0</v>
      </c>
      <c r="P957" s="511">
        <v>0</v>
      </c>
      <c r="Q957" s="511">
        <v>0</v>
      </c>
      <c r="R957" s="511">
        <v>0</v>
      </c>
      <c r="S957" s="511">
        <v>0</v>
      </c>
      <c r="T957" s="511">
        <v>0</v>
      </c>
      <c r="U957" s="511">
        <v>0</v>
      </c>
      <c r="V957" s="511">
        <v>0</v>
      </c>
      <c r="X957" s="38">
        <f>'[2]Приложение 1'!T952</f>
        <v>4503.95</v>
      </c>
      <c r="Y957" s="9">
        <f t="shared" si="226"/>
        <v>3234</v>
      </c>
      <c r="Z957" s="19">
        <f t="shared" si="227"/>
        <v>1269.9499999999998</v>
      </c>
    </row>
    <row r="958" spans="1:26" ht="9" customHeight="1">
      <c r="A958" s="510">
        <v>206</v>
      </c>
      <c r="B958" s="737" t="s">
        <v>916</v>
      </c>
      <c r="C958" s="58" t="s">
        <v>1192</v>
      </c>
      <c r="D958" s="61" t="s">
        <v>111</v>
      </c>
      <c r="E958" s="511">
        <f t="shared" si="260"/>
        <v>2102100</v>
      </c>
      <c r="F958" s="511">
        <v>0</v>
      </c>
      <c r="G958" s="17">
        <v>0</v>
      </c>
      <c r="H958" s="511">
        <v>0</v>
      </c>
      <c r="I958" s="511">
        <v>650</v>
      </c>
      <c r="J958" s="511"/>
      <c r="K958" s="511"/>
      <c r="L958" s="511">
        <f t="shared" si="261"/>
        <v>2102100</v>
      </c>
      <c r="M958" s="511">
        <v>0</v>
      </c>
      <c r="N958" s="511">
        <v>0</v>
      </c>
      <c r="O958" s="511">
        <v>0</v>
      </c>
      <c r="P958" s="511">
        <v>0</v>
      </c>
      <c r="Q958" s="511">
        <v>0</v>
      </c>
      <c r="R958" s="511">
        <v>0</v>
      </c>
      <c r="S958" s="511">
        <v>0</v>
      </c>
      <c r="T958" s="511">
        <v>0</v>
      </c>
      <c r="U958" s="511">
        <v>0</v>
      </c>
      <c r="V958" s="511">
        <v>0</v>
      </c>
      <c r="X958" s="38">
        <f>'[2]Приложение 1'!T953</f>
        <v>4503.95</v>
      </c>
      <c r="Y958" s="9">
        <f t="shared" si="226"/>
        <v>3234</v>
      </c>
      <c r="Z958" s="19">
        <f t="shared" si="227"/>
        <v>1269.9499999999998</v>
      </c>
    </row>
    <row r="959" spans="1:26" ht="9" customHeight="1">
      <c r="A959" s="510">
        <v>207</v>
      </c>
      <c r="B959" s="737" t="s">
        <v>917</v>
      </c>
      <c r="C959" s="58" t="s">
        <v>1192</v>
      </c>
      <c r="D959" s="61" t="s">
        <v>111</v>
      </c>
      <c r="E959" s="511">
        <f t="shared" si="260"/>
        <v>1798104</v>
      </c>
      <c r="F959" s="511">
        <v>0</v>
      </c>
      <c r="G959" s="17">
        <v>0</v>
      </c>
      <c r="H959" s="511">
        <v>0</v>
      </c>
      <c r="I959" s="511">
        <v>556</v>
      </c>
      <c r="J959" s="511"/>
      <c r="K959" s="511"/>
      <c r="L959" s="511">
        <f t="shared" si="261"/>
        <v>1798104</v>
      </c>
      <c r="M959" s="511">
        <v>0</v>
      </c>
      <c r="N959" s="511">
        <v>0</v>
      </c>
      <c r="O959" s="511">
        <v>0</v>
      </c>
      <c r="P959" s="511">
        <v>0</v>
      </c>
      <c r="Q959" s="511">
        <v>0</v>
      </c>
      <c r="R959" s="511">
        <v>0</v>
      </c>
      <c r="S959" s="511">
        <v>0</v>
      </c>
      <c r="T959" s="511">
        <v>0</v>
      </c>
      <c r="U959" s="511">
        <v>0</v>
      </c>
      <c r="V959" s="511">
        <v>0</v>
      </c>
      <c r="X959" s="38">
        <f>'[2]Приложение 1'!T954</f>
        <v>4503.95</v>
      </c>
      <c r="Y959" s="9">
        <f t="shared" si="226"/>
        <v>3234</v>
      </c>
      <c r="Z959" s="19">
        <f t="shared" si="227"/>
        <v>1269.9499999999998</v>
      </c>
    </row>
    <row r="960" spans="1:26" ht="9" customHeight="1">
      <c r="A960" s="882" t="s">
        <v>1015</v>
      </c>
      <c r="B960" s="882"/>
      <c r="C960" s="882"/>
      <c r="D960" s="882"/>
      <c r="E960" s="882"/>
      <c r="F960" s="882"/>
      <c r="G960" s="882"/>
      <c r="H960" s="882"/>
      <c r="I960" s="882"/>
      <c r="J960" s="882"/>
      <c r="K960" s="882"/>
      <c r="L960" s="882"/>
      <c r="M960" s="882"/>
      <c r="N960" s="882"/>
      <c r="O960" s="882"/>
      <c r="P960" s="882"/>
      <c r="Q960" s="882"/>
      <c r="R960" s="882"/>
      <c r="S960" s="882"/>
      <c r="T960" s="882"/>
      <c r="U960" s="882"/>
      <c r="V960" s="882"/>
      <c r="X960" s="38">
        <f>'[2]Приложение 1'!T955</f>
        <v>4503.95</v>
      </c>
      <c r="Y960" s="9" t="e">
        <f t="shared" ref="Y960:Y1023" si="262">L960/I960</f>
        <v>#DIV/0!</v>
      </c>
      <c r="Z960" s="19" t="e">
        <f t="shared" ref="Z960:Z1023" si="263">X960-Y960</f>
        <v>#DIV/0!</v>
      </c>
    </row>
    <row r="961" spans="1:26" ht="31.5" customHeight="1">
      <c r="A961" s="900" t="s">
        <v>346</v>
      </c>
      <c r="B961" s="900"/>
      <c r="C961" s="58"/>
      <c r="D961" s="58"/>
      <c r="E961" s="511">
        <f>SUM(E962:E963)</f>
        <v>5907062.7000000002</v>
      </c>
      <c r="F961" s="511">
        <f t="shared" ref="F961:V961" si="264">SUM(F962:F963)</f>
        <v>0</v>
      </c>
      <c r="G961" s="17">
        <f t="shared" si="264"/>
        <v>0</v>
      </c>
      <c r="H961" s="511">
        <f t="shared" si="264"/>
        <v>0</v>
      </c>
      <c r="I961" s="511">
        <f t="shared" si="264"/>
        <v>1826.55</v>
      </c>
      <c r="J961" s="511">
        <f t="shared" si="264"/>
        <v>0</v>
      </c>
      <c r="K961" s="511">
        <f t="shared" si="264"/>
        <v>0</v>
      </c>
      <c r="L961" s="511">
        <f t="shared" si="264"/>
        <v>5907062.7000000002</v>
      </c>
      <c r="M961" s="511">
        <f t="shared" si="264"/>
        <v>0</v>
      </c>
      <c r="N961" s="511">
        <f t="shared" si="264"/>
        <v>0</v>
      </c>
      <c r="O961" s="511">
        <f t="shared" si="264"/>
        <v>0</v>
      </c>
      <c r="P961" s="511">
        <f t="shared" si="264"/>
        <v>0</v>
      </c>
      <c r="Q961" s="511">
        <f t="shared" si="264"/>
        <v>0</v>
      </c>
      <c r="R961" s="511">
        <f t="shared" si="264"/>
        <v>0</v>
      </c>
      <c r="S961" s="511">
        <f t="shared" si="264"/>
        <v>0</v>
      </c>
      <c r="T961" s="511">
        <f t="shared" si="264"/>
        <v>0</v>
      </c>
      <c r="U961" s="511">
        <f t="shared" si="264"/>
        <v>0</v>
      </c>
      <c r="V961" s="511">
        <f t="shared" si="264"/>
        <v>0</v>
      </c>
      <c r="X961" s="38">
        <f>'[2]Приложение 1'!T956</f>
        <v>0</v>
      </c>
      <c r="Y961" s="9">
        <f t="shared" si="262"/>
        <v>3234</v>
      </c>
      <c r="Z961" s="19">
        <f t="shared" si="263"/>
        <v>-3234</v>
      </c>
    </row>
    <row r="962" spans="1:26" ht="9" customHeight="1">
      <c r="A962" s="510">
        <v>208</v>
      </c>
      <c r="B962" s="737" t="s">
        <v>921</v>
      </c>
      <c r="C962" s="58" t="s">
        <v>1192</v>
      </c>
      <c r="D962" s="61" t="s">
        <v>111</v>
      </c>
      <c r="E962" s="511">
        <f t="shared" ref="E962:E963" si="265">F962+H962+L962+N962+P962+R962+S962+T962+U962+V962</f>
        <v>2728687.5</v>
      </c>
      <c r="F962" s="511">
        <v>0</v>
      </c>
      <c r="G962" s="17">
        <v>0</v>
      </c>
      <c r="H962" s="511">
        <v>0</v>
      </c>
      <c r="I962" s="511">
        <v>843.75</v>
      </c>
      <c r="J962" s="511"/>
      <c r="K962" s="511"/>
      <c r="L962" s="511">
        <f>ROUND(3234*I962,2)</f>
        <v>2728687.5</v>
      </c>
      <c r="M962" s="511">
        <v>0</v>
      </c>
      <c r="N962" s="511">
        <v>0</v>
      </c>
      <c r="O962" s="511">
        <v>0</v>
      </c>
      <c r="P962" s="511">
        <v>0</v>
      </c>
      <c r="Q962" s="511">
        <v>0</v>
      </c>
      <c r="R962" s="511">
        <v>0</v>
      </c>
      <c r="S962" s="511">
        <v>0</v>
      </c>
      <c r="T962" s="511">
        <v>0</v>
      </c>
      <c r="U962" s="511">
        <v>0</v>
      </c>
      <c r="V962" s="511">
        <v>0</v>
      </c>
      <c r="X962" s="38">
        <f>'[2]Приложение 1'!T957</f>
        <v>0</v>
      </c>
      <c r="Y962" s="9">
        <f t="shared" si="262"/>
        <v>3234</v>
      </c>
      <c r="Z962" s="19">
        <f t="shared" si="263"/>
        <v>-3234</v>
      </c>
    </row>
    <row r="963" spans="1:26" ht="9" customHeight="1">
      <c r="A963" s="510">
        <v>209</v>
      </c>
      <c r="B963" s="737" t="s">
        <v>922</v>
      </c>
      <c r="C963" s="58" t="s">
        <v>1192</v>
      </c>
      <c r="D963" s="61" t="s">
        <v>111</v>
      </c>
      <c r="E963" s="511">
        <f t="shared" si="265"/>
        <v>3178375.2</v>
      </c>
      <c r="F963" s="511">
        <v>0</v>
      </c>
      <c r="G963" s="17">
        <v>0</v>
      </c>
      <c r="H963" s="511">
        <v>0</v>
      </c>
      <c r="I963" s="511">
        <v>982.8</v>
      </c>
      <c r="J963" s="511"/>
      <c r="K963" s="511"/>
      <c r="L963" s="511">
        <f>ROUND(3234*I963,2)</f>
        <v>3178375.2</v>
      </c>
      <c r="M963" s="511">
        <v>0</v>
      </c>
      <c r="N963" s="511">
        <v>0</v>
      </c>
      <c r="O963" s="511">
        <v>0</v>
      </c>
      <c r="P963" s="511">
        <v>0</v>
      </c>
      <c r="Q963" s="511">
        <v>0</v>
      </c>
      <c r="R963" s="511">
        <v>0</v>
      </c>
      <c r="S963" s="511">
        <v>0</v>
      </c>
      <c r="T963" s="511">
        <v>0</v>
      </c>
      <c r="U963" s="511">
        <v>0</v>
      </c>
      <c r="V963" s="511">
        <v>0</v>
      </c>
      <c r="X963" s="38">
        <f>'[2]Приложение 1'!T958</f>
        <v>4503.95</v>
      </c>
      <c r="Y963" s="9">
        <f t="shared" si="262"/>
        <v>3234.0000000000005</v>
      </c>
      <c r="Z963" s="19">
        <f t="shared" si="263"/>
        <v>1269.9499999999994</v>
      </c>
    </row>
    <row r="964" spans="1:26" ht="9" customHeight="1">
      <c r="A964" s="882" t="s">
        <v>423</v>
      </c>
      <c r="B964" s="882"/>
      <c r="C964" s="882"/>
      <c r="D964" s="882"/>
      <c r="E964" s="882"/>
      <c r="F964" s="882"/>
      <c r="G964" s="882"/>
      <c r="H964" s="882"/>
      <c r="I964" s="882"/>
      <c r="J964" s="882"/>
      <c r="K964" s="882"/>
      <c r="L964" s="882"/>
      <c r="M964" s="882"/>
      <c r="N964" s="882"/>
      <c r="O964" s="882"/>
      <c r="P964" s="882"/>
      <c r="Q964" s="882"/>
      <c r="R964" s="882"/>
      <c r="S964" s="882"/>
      <c r="T964" s="882"/>
      <c r="U964" s="882"/>
      <c r="V964" s="882"/>
      <c r="X964" s="38">
        <f>'[2]Приложение 1'!T959</f>
        <v>4503.95</v>
      </c>
      <c r="Y964" s="9" t="e">
        <f t="shared" si="262"/>
        <v>#DIV/0!</v>
      </c>
      <c r="Z964" s="19" t="e">
        <f t="shared" si="263"/>
        <v>#DIV/0!</v>
      </c>
    </row>
    <row r="965" spans="1:26" ht="21" customHeight="1">
      <c r="A965" s="900" t="s">
        <v>424</v>
      </c>
      <c r="B965" s="900"/>
      <c r="C965" s="58"/>
      <c r="D965" s="58"/>
      <c r="E965" s="511">
        <f>SUM(E966)</f>
        <v>2003463</v>
      </c>
      <c r="F965" s="511">
        <f t="shared" ref="F965:V965" si="266">SUM(F966)</f>
        <v>0</v>
      </c>
      <c r="G965" s="17">
        <f t="shared" si="266"/>
        <v>0</v>
      </c>
      <c r="H965" s="511">
        <f t="shared" si="266"/>
        <v>0</v>
      </c>
      <c r="I965" s="511">
        <f t="shared" si="266"/>
        <v>619.5</v>
      </c>
      <c r="J965" s="511">
        <f t="shared" si="266"/>
        <v>0</v>
      </c>
      <c r="K965" s="511">
        <f t="shared" si="266"/>
        <v>0</v>
      </c>
      <c r="L965" s="511">
        <f t="shared" si="266"/>
        <v>2003463</v>
      </c>
      <c r="M965" s="511">
        <f t="shared" si="266"/>
        <v>0</v>
      </c>
      <c r="N965" s="511">
        <f t="shared" si="266"/>
        <v>0</v>
      </c>
      <c r="O965" s="511">
        <f t="shared" si="266"/>
        <v>0</v>
      </c>
      <c r="P965" s="511">
        <f t="shared" si="266"/>
        <v>0</v>
      </c>
      <c r="Q965" s="511">
        <f t="shared" si="266"/>
        <v>0</v>
      </c>
      <c r="R965" s="511">
        <f t="shared" si="266"/>
        <v>0</v>
      </c>
      <c r="S965" s="511">
        <f t="shared" si="266"/>
        <v>0</v>
      </c>
      <c r="T965" s="511">
        <f t="shared" si="266"/>
        <v>0</v>
      </c>
      <c r="U965" s="511">
        <f t="shared" si="266"/>
        <v>0</v>
      </c>
      <c r="V965" s="511">
        <f t="shared" si="266"/>
        <v>0</v>
      </c>
      <c r="X965" s="38">
        <f>'[2]Приложение 1'!T960</f>
        <v>0</v>
      </c>
      <c r="Y965" s="9">
        <f t="shared" si="262"/>
        <v>3234</v>
      </c>
      <c r="Z965" s="19">
        <f t="shared" si="263"/>
        <v>-3234</v>
      </c>
    </row>
    <row r="966" spans="1:26" ht="9" customHeight="1">
      <c r="A966" s="510">
        <v>210</v>
      </c>
      <c r="B966" s="737" t="s">
        <v>924</v>
      </c>
      <c r="C966" s="58" t="s">
        <v>1192</v>
      </c>
      <c r="D966" s="61" t="s">
        <v>111</v>
      </c>
      <c r="E966" s="511">
        <f t="shared" ref="E966" si="267">F966+H966+L966+N966+P966+R966+S966+T966+U966+V966</f>
        <v>2003463</v>
      </c>
      <c r="F966" s="511">
        <v>0</v>
      </c>
      <c r="G966" s="17">
        <v>0</v>
      </c>
      <c r="H966" s="511">
        <v>0</v>
      </c>
      <c r="I966" s="511">
        <v>619.5</v>
      </c>
      <c r="J966" s="511"/>
      <c r="K966" s="511"/>
      <c r="L966" s="511">
        <f>ROUND(3234*I966,2)</f>
        <v>2003463</v>
      </c>
      <c r="M966" s="511">
        <v>0</v>
      </c>
      <c r="N966" s="511">
        <v>0</v>
      </c>
      <c r="O966" s="511">
        <v>0</v>
      </c>
      <c r="P966" s="511">
        <v>0</v>
      </c>
      <c r="Q966" s="511">
        <v>0</v>
      </c>
      <c r="R966" s="511">
        <v>0</v>
      </c>
      <c r="S966" s="511">
        <v>0</v>
      </c>
      <c r="T966" s="511">
        <v>0</v>
      </c>
      <c r="U966" s="511">
        <v>0</v>
      </c>
      <c r="V966" s="511">
        <v>0</v>
      </c>
      <c r="X966" s="38">
        <f>'[2]Приложение 1'!T961</f>
        <v>0</v>
      </c>
      <c r="Y966" s="9">
        <f t="shared" si="262"/>
        <v>3234</v>
      </c>
      <c r="Z966" s="19">
        <f t="shared" si="263"/>
        <v>-3234</v>
      </c>
    </row>
    <row r="967" spans="1:26" ht="9" customHeight="1">
      <c r="A967" s="882" t="s">
        <v>352</v>
      </c>
      <c r="B967" s="882"/>
      <c r="C967" s="882"/>
      <c r="D967" s="882"/>
      <c r="E967" s="882"/>
      <c r="F967" s="882"/>
      <c r="G967" s="882"/>
      <c r="H967" s="882"/>
      <c r="I967" s="882"/>
      <c r="J967" s="882"/>
      <c r="K967" s="882"/>
      <c r="L967" s="882"/>
      <c r="M967" s="882"/>
      <c r="N967" s="882"/>
      <c r="O967" s="882"/>
      <c r="P967" s="882"/>
      <c r="Q967" s="882"/>
      <c r="R967" s="882"/>
      <c r="S967" s="882"/>
      <c r="T967" s="882"/>
      <c r="U967" s="882"/>
      <c r="V967" s="882"/>
      <c r="X967" s="38">
        <f>'[2]Приложение 1'!T962</f>
        <v>4503.95</v>
      </c>
      <c r="Y967" s="9" t="e">
        <f t="shared" si="262"/>
        <v>#DIV/0!</v>
      </c>
      <c r="Z967" s="19" t="e">
        <f t="shared" si="263"/>
        <v>#DIV/0!</v>
      </c>
    </row>
    <row r="968" spans="1:26" ht="20.25" customHeight="1">
      <c r="A968" s="900" t="s">
        <v>351</v>
      </c>
      <c r="B968" s="900"/>
      <c r="C968" s="58"/>
      <c r="D968" s="58"/>
      <c r="E968" s="511">
        <f>SUM(E969:E970)</f>
        <v>2726262</v>
      </c>
      <c r="F968" s="511">
        <f t="shared" ref="F968:V968" si="268">SUM(F969:F970)</f>
        <v>0</v>
      </c>
      <c r="G968" s="17">
        <f t="shared" si="268"/>
        <v>0</v>
      </c>
      <c r="H968" s="511">
        <f t="shared" si="268"/>
        <v>0</v>
      </c>
      <c r="I968" s="511">
        <f t="shared" si="268"/>
        <v>843</v>
      </c>
      <c r="J968" s="511">
        <f t="shared" si="268"/>
        <v>0</v>
      </c>
      <c r="K968" s="511">
        <f t="shared" si="268"/>
        <v>0</v>
      </c>
      <c r="L968" s="511">
        <f t="shared" si="268"/>
        <v>2726262</v>
      </c>
      <c r="M968" s="511">
        <f t="shared" si="268"/>
        <v>0</v>
      </c>
      <c r="N968" s="511">
        <f t="shared" si="268"/>
        <v>0</v>
      </c>
      <c r="O968" s="511">
        <f t="shared" si="268"/>
        <v>0</v>
      </c>
      <c r="P968" s="511">
        <f t="shared" si="268"/>
        <v>0</v>
      </c>
      <c r="Q968" s="511">
        <f t="shared" si="268"/>
        <v>0</v>
      </c>
      <c r="R968" s="511">
        <f t="shared" si="268"/>
        <v>0</v>
      </c>
      <c r="S968" s="511">
        <f t="shared" si="268"/>
        <v>0</v>
      </c>
      <c r="T968" s="511">
        <f t="shared" si="268"/>
        <v>0</v>
      </c>
      <c r="U968" s="511">
        <f t="shared" si="268"/>
        <v>0</v>
      </c>
      <c r="V968" s="511">
        <f t="shared" si="268"/>
        <v>0</v>
      </c>
      <c r="X968" s="38">
        <f>'[2]Приложение 1'!T963</f>
        <v>0</v>
      </c>
      <c r="Y968" s="9">
        <f t="shared" si="262"/>
        <v>3234</v>
      </c>
      <c r="Z968" s="19">
        <f t="shared" si="263"/>
        <v>-3234</v>
      </c>
    </row>
    <row r="969" spans="1:26" ht="9" customHeight="1">
      <c r="A969" s="510">
        <v>211</v>
      </c>
      <c r="B969" s="509" t="s">
        <v>926</v>
      </c>
      <c r="C969" s="58" t="s">
        <v>1192</v>
      </c>
      <c r="D969" s="58" t="s">
        <v>111</v>
      </c>
      <c r="E969" s="511">
        <f t="shared" ref="E969:E970" si="269">F969+H969+L969+N969+P969+R969+S969+T969+U969+V969</f>
        <v>908754</v>
      </c>
      <c r="F969" s="511">
        <v>0</v>
      </c>
      <c r="G969" s="17">
        <v>0</v>
      </c>
      <c r="H969" s="511">
        <v>0</v>
      </c>
      <c r="I969" s="511">
        <v>281</v>
      </c>
      <c r="J969" s="511"/>
      <c r="K969" s="511"/>
      <c r="L969" s="511">
        <f>ROUND(3234*I969,2)</f>
        <v>908754</v>
      </c>
      <c r="M969" s="511">
        <v>0</v>
      </c>
      <c r="N969" s="511">
        <v>0</v>
      </c>
      <c r="O969" s="511">
        <v>0</v>
      </c>
      <c r="P969" s="511">
        <v>0</v>
      </c>
      <c r="Q969" s="511">
        <v>0</v>
      </c>
      <c r="R969" s="511">
        <v>0</v>
      </c>
      <c r="S969" s="511">
        <v>0</v>
      </c>
      <c r="T969" s="511">
        <v>0</v>
      </c>
      <c r="U969" s="511">
        <v>0</v>
      </c>
      <c r="V969" s="511">
        <v>0</v>
      </c>
      <c r="X969" s="38">
        <f>'[2]Приложение 1'!T964</f>
        <v>0</v>
      </c>
      <c r="Y969" s="9">
        <f t="shared" si="262"/>
        <v>3234</v>
      </c>
      <c r="Z969" s="19">
        <f t="shared" si="263"/>
        <v>-3234</v>
      </c>
    </row>
    <row r="970" spans="1:26" ht="9" customHeight="1">
      <c r="A970" s="510">
        <v>212</v>
      </c>
      <c r="B970" s="509" t="s">
        <v>927</v>
      </c>
      <c r="C970" s="58" t="s">
        <v>1192</v>
      </c>
      <c r="D970" s="58" t="s">
        <v>111</v>
      </c>
      <c r="E970" s="511">
        <f t="shared" si="269"/>
        <v>1817508</v>
      </c>
      <c r="F970" s="511">
        <v>0</v>
      </c>
      <c r="G970" s="17">
        <v>0</v>
      </c>
      <c r="H970" s="511">
        <v>0</v>
      </c>
      <c r="I970" s="511">
        <v>562</v>
      </c>
      <c r="J970" s="511"/>
      <c r="K970" s="511"/>
      <c r="L970" s="511">
        <f>ROUND(3234*I970,2)</f>
        <v>1817508</v>
      </c>
      <c r="M970" s="511">
        <v>0</v>
      </c>
      <c r="N970" s="511">
        <v>0</v>
      </c>
      <c r="O970" s="511">
        <v>0</v>
      </c>
      <c r="P970" s="511">
        <v>0</v>
      </c>
      <c r="Q970" s="511">
        <v>0</v>
      </c>
      <c r="R970" s="511">
        <v>0</v>
      </c>
      <c r="S970" s="511">
        <v>0</v>
      </c>
      <c r="T970" s="511">
        <v>0</v>
      </c>
      <c r="U970" s="511">
        <v>0</v>
      </c>
      <c r="V970" s="511">
        <v>0</v>
      </c>
      <c r="X970" s="38">
        <f>'[2]Приложение 1'!T965</f>
        <v>4503.95</v>
      </c>
      <c r="Y970" s="9">
        <f t="shared" si="262"/>
        <v>3234</v>
      </c>
      <c r="Z970" s="19">
        <f t="shared" si="263"/>
        <v>1269.9499999999998</v>
      </c>
    </row>
    <row r="971" spans="1:26" ht="9" customHeight="1">
      <c r="A971" s="882" t="s">
        <v>433</v>
      </c>
      <c r="B971" s="882"/>
      <c r="C971" s="882"/>
      <c r="D971" s="882"/>
      <c r="E971" s="882"/>
      <c r="F971" s="882"/>
      <c r="G971" s="882"/>
      <c r="H971" s="882"/>
      <c r="I971" s="882"/>
      <c r="J971" s="882"/>
      <c r="K971" s="882"/>
      <c r="L971" s="882"/>
      <c r="M971" s="882"/>
      <c r="N971" s="882"/>
      <c r="O971" s="882"/>
      <c r="P971" s="882"/>
      <c r="Q971" s="882"/>
      <c r="R971" s="882"/>
      <c r="S971" s="882"/>
      <c r="T971" s="882"/>
      <c r="U971" s="882"/>
      <c r="V971" s="882"/>
      <c r="X971" s="38">
        <f>'[2]Приложение 1'!T966</f>
        <v>4503.95</v>
      </c>
      <c r="Y971" s="9" t="e">
        <f t="shared" si="262"/>
        <v>#DIV/0!</v>
      </c>
      <c r="Z971" s="19" t="e">
        <f t="shared" si="263"/>
        <v>#DIV/0!</v>
      </c>
    </row>
    <row r="972" spans="1:26" ht="30.75" customHeight="1">
      <c r="A972" s="907" t="s">
        <v>449</v>
      </c>
      <c r="B972" s="907"/>
      <c r="C972" s="70"/>
      <c r="D972" s="70"/>
      <c r="E972" s="25">
        <f>SUM(E973:E975)</f>
        <v>2722145.07</v>
      </c>
      <c r="F972" s="25">
        <f t="shared" ref="F972:V972" si="270">SUM(F973:F975)</f>
        <v>1114074.46</v>
      </c>
      <c r="G972" s="36">
        <f t="shared" si="270"/>
        <v>0</v>
      </c>
      <c r="H972" s="25">
        <f t="shared" si="270"/>
        <v>0</v>
      </c>
      <c r="I972" s="25">
        <f t="shared" si="270"/>
        <v>0</v>
      </c>
      <c r="J972" s="25">
        <f t="shared" si="270"/>
        <v>0</v>
      </c>
      <c r="K972" s="25">
        <f t="shared" si="270"/>
        <v>0</v>
      </c>
      <c r="L972" s="25">
        <f t="shared" si="270"/>
        <v>0</v>
      </c>
      <c r="M972" s="25">
        <f t="shared" si="270"/>
        <v>0</v>
      </c>
      <c r="N972" s="25">
        <f t="shared" si="270"/>
        <v>0</v>
      </c>
      <c r="O972" s="25">
        <f t="shared" si="270"/>
        <v>741.6</v>
      </c>
      <c r="P972" s="25">
        <f t="shared" si="270"/>
        <v>1608070.61</v>
      </c>
      <c r="Q972" s="25">
        <f t="shared" si="270"/>
        <v>0</v>
      </c>
      <c r="R972" s="25">
        <f t="shared" si="270"/>
        <v>0</v>
      </c>
      <c r="S972" s="25">
        <f t="shared" si="270"/>
        <v>0</v>
      </c>
      <c r="T972" s="25">
        <f t="shared" si="270"/>
        <v>0</v>
      </c>
      <c r="U972" s="25">
        <f t="shared" si="270"/>
        <v>0</v>
      </c>
      <c r="V972" s="25">
        <f t="shared" si="270"/>
        <v>0</v>
      </c>
      <c r="X972" s="38">
        <f>'[2]Приложение 1'!T967</f>
        <v>0</v>
      </c>
      <c r="Y972" s="9" t="e">
        <f t="shared" si="262"/>
        <v>#DIV/0!</v>
      </c>
      <c r="Z972" s="19" t="e">
        <f t="shared" si="263"/>
        <v>#DIV/0!</v>
      </c>
    </row>
    <row r="973" spans="1:26" ht="9" customHeight="1">
      <c r="A973" s="738">
        <v>213</v>
      </c>
      <c r="B973" s="779" t="s">
        <v>928</v>
      </c>
      <c r="C973" s="740" t="s">
        <v>1008</v>
      </c>
      <c r="D973" s="780" t="s">
        <v>111</v>
      </c>
      <c r="E973" s="511">
        <f t="shared" ref="E973:E975" si="271">F973+H973+L973+N973+P973+R973+S973+T973+U973+V973</f>
        <v>258031.92</v>
      </c>
      <c r="F973" s="25">
        <f>ROUND(851.45*303.05,2)</f>
        <v>258031.92</v>
      </c>
      <c r="G973" s="36">
        <v>0</v>
      </c>
      <c r="H973" s="25">
        <v>0</v>
      </c>
      <c r="I973" s="25">
        <v>0</v>
      </c>
      <c r="J973" s="25"/>
      <c r="K973" s="25"/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X973" s="38">
        <f>'[2]Приложение 1'!T968</f>
        <v>0</v>
      </c>
      <c r="Y973" s="9" t="e">
        <f t="shared" si="262"/>
        <v>#DIV/0!</v>
      </c>
      <c r="Z973" s="19" t="e">
        <f t="shared" si="263"/>
        <v>#DIV/0!</v>
      </c>
    </row>
    <row r="974" spans="1:26" ht="9" customHeight="1">
      <c r="A974" s="738">
        <v>214</v>
      </c>
      <c r="B974" s="779" t="s">
        <v>929</v>
      </c>
      <c r="C974" s="740" t="s">
        <v>1206</v>
      </c>
      <c r="D974" s="780" t="s">
        <v>111</v>
      </c>
      <c r="E974" s="511">
        <f t="shared" si="271"/>
        <v>2193489.5</v>
      </c>
      <c r="F974" s="25">
        <f>ROUND(869.8*(370+303.05),2)</f>
        <v>585418.89</v>
      </c>
      <c r="G974" s="36">
        <v>0</v>
      </c>
      <c r="H974" s="25">
        <v>0</v>
      </c>
      <c r="I974" s="25">
        <v>0</v>
      </c>
      <c r="J974" s="25"/>
      <c r="K974" s="25"/>
      <c r="L974" s="25">
        <v>0</v>
      </c>
      <c r="M974" s="25">
        <v>0</v>
      </c>
      <c r="N974" s="25">
        <v>0</v>
      </c>
      <c r="O974" s="25">
        <v>741.6</v>
      </c>
      <c r="P974" s="25">
        <f>ROUND(O974*2168.38,2)</f>
        <v>1608070.61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X974" s="38">
        <f>'[2]Приложение 1'!T969</f>
        <v>4984.6499999999996</v>
      </c>
      <c r="Y974" s="9" t="e">
        <f t="shared" si="262"/>
        <v>#DIV/0!</v>
      </c>
      <c r="Z974" s="19" t="e">
        <f t="shared" si="263"/>
        <v>#DIV/0!</v>
      </c>
    </row>
    <row r="975" spans="1:26" ht="9" customHeight="1">
      <c r="A975" s="738">
        <v>215</v>
      </c>
      <c r="B975" s="779" t="s">
        <v>930</v>
      </c>
      <c r="C975" s="740" t="s">
        <v>1008</v>
      </c>
      <c r="D975" s="780" t="s">
        <v>111</v>
      </c>
      <c r="E975" s="511">
        <f t="shared" si="271"/>
        <v>270623.65000000002</v>
      </c>
      <c r="F975" s="25">
        <f>ROUND(893*303.05,2)</f>
        <v>270623.65000000002</v>
      </c>
      <c r="G975" s="36">
        <v>0</v>
      </c>
      <c r="H975" s="25">
        <v>0</v>
      </c>
      <c r="I975" s="25">
        <v>0</v>
      </c>
      <c r="J975" s="25"/>
      <c r="K975" s="25"/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X975" s="38">
        <f>'[2]Приложение 1'!T970</f>
        <v>8913.85</v>
      </c>
      <c r="Y975" s="9" t="e">
        <f t="shared" si="262"/>
        <v>#DIV/0!</v>
      </c>
      <c r="Z975" s="19" t="e">
        <f t="shared" si="263"/>
        <v>#DIV/0!</v>
      </c>
    </row>
    <row r="976" spans="1:26" ht="9" customHeight="1">
      <c r="A976" s="908" t="s">
        <v>937</v>
      </c>
      <c r="B976" s="908"/>
      <c r="C976" s="908"/>
      <c r="D976" s="908"/>
      <c r="E976" s="908"/>
      <c r="F976" s="908"/>
      <c r="G976" s="908"/>
      <c r="H976" s="908"/>
      <c r="I976" s="908"/>
      <c r="J976" s="908"/>
      <c r="K976" s="908"/>
      <c r="L976" s="908"/>
      <c r="M976" s="908"/>
      <c r="N976" s="908"/>
      <c r="O976" s="908"/>
      <c r="P976" s="908"/>
      <c r="Q976" s="908"/>
      <c r="R976" s="908"/>
      <c r="S976" s="908"/>
      <c r="T976" s="908"/>
      <c r="U976" s="908"/>
      <c r="V976" s="908"/>
      <c r="X976" s="38">
        <f>'[2]Приложение 1'!T971</f>
        <v>4984.6499999999996</v>
      </c>
      <c r="Y976" s="9" t="e">
        <f t="shared" si="262"/>
        <v>#DIV/0!</v>
      </c>
      <c r="Z976" s="19" t="e">
        <f t="shared" si="263"/>
        <v>#DIV/0!</v>
      </c>
    </row>
    <row r="977" spans="1:26" ht="21.75" customHeight="1">
      <c r="A977" s="909" t="s">
        <v>939</v>
      </c>
      <c r="B977" s="909"/>
      <c r="C977" s="740"/>
      <c r="D977" s="740"/>
      <c r="E977" s="511">
        <f>SUM(E978)</f>
        <v>1203048</v>
      </c>
      <c r="F977" s="511">
        <f t="shared" ref="F977:V977" si="272">SUM(F978)</f>
        <v>0</v>
      </c>
      <c r="G977" s="17">
        <f t="shared" si="272"/>
        <v>0</v>
      </c>
      <c r="H977" s="511">
        <f t="shared" si="272"/>
        <v>0</v>
      </c>
      <c r="I977" s="511">
        <f t="shared" si="272"/>
        <v>372</v>
      </c>
      <c r="J977" s="511">
        <f t="shared" si="272"/>
        <v>0</v>
      </c>
      <c r="K977" s="511">
        <f t="shared" si="272"/>
        <v>0</v>
      </c>
      <c r="L977" s="511">
        <f t="shared" si="272"/>
        <v>1203048</v>
      </c>
      <c r="M977" s="511">
        <f t="shared" si="272"/>
        <v>0</v>
      </c>
      <c r="N977" s="511">
        <f t="shared" si="272"/>
        <v>0</v>
      </c>
      <c r="O977" s="511">
        <f t="shared" si="272"/>
        <v>0</v>
      </c>
      <c r="P977" s="511">
        <f t="shared" si="272"/>
        <v>0</v>
      </c>
      <c r="Q977" s="511">
        <f t="shared" si="272"/>
        <v>0</v>
      </c>
      <c r="R977" s="511">
        <f t="shared" si="272"/>
        <v>0</v>
      </c>
      <c r="S977" s="511">
        <f t="shared" si="272"/>
        <v>0</v>
      </c>
      <c r="T977" s="511">
        <f t="shared" si="272"/>
        <v>0</v>
      </c>
      <c r="U977" s="511">
        <f t="shared" si="272"/>
        <v>0</v>
      </c>
      <c r="V977" s="511">
        <f t="shared" si="272"/>
        <v>0</v>
      </c>
      <c r="X977" s="38">
        <f>'[2]Приложение 1'!T972</f>
        <v>0</v>
      </c>
      <c r="Y977" s="9">
        <f t="shared" si="262"/>
        <v>3234</v>
      </c>
      <c r="Z977" s="19">
        <f t="shared" si="263"/>
        <v>-3234</v>
      </c>
    </row>
    <row r="978" spans="1:26" ht="9" customHeight="1">
      <c r="A978" s="738">
        <v>216</v>
      </c>
      <c r="B978" s="739" t="s">
        <v>938</v>
      </c>
      <c r="C978" s="740" t="s">
        <v>1192</v>
      </c>
      <c r="D978" s="740" t="s">
        <v>111</v>
      </c>
      <c r="E978" s="511">
        <f t="shared" ref="E978" si="273">F978+H978+L978+N978+P978+R978+S978+T978+U978+V978</f>
        <v>1203048</v>
      </c>
      <c r="F978" s="511">
        <f t="shared" ref="F978:H978" si="274">SUM(F979)</f>
        <v>0</v>
      </c>
      <c r="G978" s="17">
        <f t="shared" si="274"/>
        <v>0</v>
      </c>
      <c r="H978" s="511">
        <f t="shared" si="274"/>
        <v>0</v>
      </c>
      <c r="I978" s="25">
        <v>372</v>
      </c>
      <c r="J978" s="511"/>
      <c r="K978" s="511"/>
      <c r="L978" s="511">
        <f>ROUND(3234*I978,2)</f>
        <v>1203048</v>
      </c>
      <c r="M978" s="511">
        <f t="shared" ref="M978" si="275">SUM(M979)</f>
        <v>0</v>
      </c>
      <c r="N978" s="511">
        <f t="shared" ref="N978:V978" si="276">SUM(N979)</f>
        <v>0</v>
      </c>
      <c r="O978" s="511">
        <f t="shared" si="276"/>
        <v>0</v>
      </c>
      <c r="P978" s="511">
        <f t="shared" si="276"/>
        <v>0</v>
      </c>
      <c r="Q978" s="511">
        <f t="shared" si="276"/>
        <v>0</v>
      </c>
      <c r="R978" s="511">
        <f t="shared" si="276"/>
        <v>0</v>
      </c>
      <c r="S978" s="511">
        <f t="shared" si="276"/>
        <v>0</v>
      </c>
      <c r="T978" s="511">
        <f t="shared" si="276"/>
        <v>0</v>
      </c>
      <c r="U978" s="511">
        <f t="shared" si="276"/>
        <v>0</v>
      </c>
      <c r="V978" s="511">
        <f t="shared" si="276"/>
        <v>0</v>
      </c>
      <c r="X978" s="38">
        <f>'[2]Приложение 1'!T973</f>
        <v>0</v>
      </c>
      <c r="Y978" s="9">
        <f t="shared" si="262"/>
        <v>3234</v>
      </c>
      <c r="Z978" s="19">
        <f t="shared" si="263"/>
        <v>-3234</v>
      </c>
    </row>
    <row r="979" spans="1:26" ht="9" customHeight="1">
      <c r="A979" s="882" t="s">
        <v>361</v>
      </c>
      <c r="B979" s="882"/>
      <c r="C979" s="882"/>
      <c r="D979" s="882"/>
      <c r="E979" s="882"/>
      <c r="F979" s="882"/>
      <c r="G979" s="882"/>
      <c r="H979" s="882"/>
      <c r="I979" s="882"/>
      <c r="J979" s="882"/>
      <c r="K979" s="882"/>
      <c r="L979" s="882"/>
      <c r="M979" s="882"/>
      <c r="N979" s="882"/>
      <c r="O979" s="882"/>
      <c r="P979" s="882"/>
      <c r="Q979" s="882"/>
      <c r="R979" s="882"/>
      <c r="S979" s="882"/>
      <c r="T979" s="882"/>
      <c r="U979" s="882"/>
      <c r="V979" s="882"/>
      <c r="X979" s="38">
        <f>'[2]Приложение 1'!T974</f>
        <v>4503.95</v>
      </c>
      <c r="Y979" s="9" t="e">
        <f t="shared" si="262"/>
        <v>#DIV/0!</v>
      </c>
      <c r="Z979" s="19" t="e">
        <f t="shared" si="263"/>
        <v>#DIV/0!</v>
      </c>
    </row>
    <row r="980" spans="1:26" ht="21.75" customHeight="1">
      <c r="A980" s="900" t="s">
        <v>450</v>
      </c>
      <c r="B980" s="900"/>
      <c r="C980" s="58"/>
      <c r="D980" s="58"/>
      <c r="E980" s="511">
        <f>SUM(E981:E982)</f>
        <v>4676364</v>
      </c>
      <c r="F980" s="511">
        <f t="shared" ref="F980:V980" si="277">SUM(F981:F982)</f>
        <v>0</v>
      </c>
      <c r="G980" s="17">
        <f t="shared" si="277"/>
        <v>0</v>
      </c>
      <c r="H980" s="511">
        <f t="shared" si="277"/>
        <v>0</v>
      </c>
      <c r="I980" s="511">
        <f t="shared" si="277"/>
        <v>1446</v>
      </c>
      <c r="J980" s="511">
        <f t="shared" si="277"/>
        <v>0</v>
      </c>
      <c r="K980" s="511">
        <f t="shared" si="277"/>
        <v>0</v>
      </c>
      <c r="L980" s="511">
        <f t="shared" si="277"/>
        <v>4676364</v>
      </c>
      <c r="M980" s="511">
        <f t="shared" si="277"/>
        <v>0</v>
      </c>
      <c r="N980" s="511">
        <f t="shared" si="277"/>
        <v>0</v>
      </c>
      <c r="O980" s="511">
        <f t="shared" si="277"/>
        <v>0</v>
      </c>
      <c r="P980" s="511">
        <f t="shared" si="277"/>
        <v>0</v>
      </c>
      <c r="Q980" s="511">
        <f t="shared" si="277"/>
        <v>0</v>
      </c>
      <c r="R980" s="511">
        <f t="shared" si="277"/>
        <v>0</v>
      </c>
      <c r="S980" s="511">
        <f t="shared" si="277"/>
        <v>0</v>
      </c>
      <c r="T980" s="511">
        <f t="shared" si="277"/>
        <v>0</v>
      </c>
      <c r="U980" s="511">
        <f t="shared" si="277"/>
        <v>0</v>
      </c>
      <c r="V980" s="511">
        <f t="shared" si="277"/>
        <v>0</v>
      </c>
      <c r="X980" s="38">
        <f>'[2]Приложение 1'!T975</f>
        <v>0</v>
      </c>
      <c r="Y980" s="9">
        <f t="shared" si="262"/>
        <v>3234</v>
      </c>
      <c r="Z980" s="19">
        <f t="shared" si="263"/>
        <v>-3234</v>
      </c>
    </row>
    <row r="981" spans="1:26" ht="10.5" customHeight="1">
      <c r="A981" s="510">
        <v>217</v>
      </c>
      <c r="B981" s="737" t="s">
        <v>1031</v>
      </c>
      <c r="C981" s="58" t="s">
        <v>1192</v>
      </c>
      <c r="D981" s="61" t="s">
        <v>111</v>
      </c>
      <c r="E981" s="511">
        <f t="shared" ref="E981:E982" si="278">F981+H981+L981+N981+P981+R981+S981+T981+U981+V981</f>
        <v>3027024</v>
      </c>
      <c r="F981" s="511">
        <f t="shared" ref="F981:H982" si="279">SUM(F982)</f>
        <v>0</v>
      </c>
      <c r="G981" s="17">
        <f t="shared" si="279"/>
        <v>0</v>
      </c>
      <c r="H981" s="511">
        <f t="shared" si="279"/>
        <v>0</v>
      </c>
      <c r="I981" s="511">
        <v>936</v>
      </c>
      <c r="J981" s="510"/>
      <c r="K981" s="510"/>
      <c r="L981" s="511">
        <f>ROUND(3234*I981,2)</f>
        <v>3027024</v>
      </c>
      <c r="M981" s="511">
        <f t="shared" ref="M981:M982" si="280">SUM(M982)</f>
        <v>0</v>
      </c>
      <c r="N981" s="511">
        <f t="shared" ref="N981:V982" si="281">SUM(N982)</f>
        <v>0</v>
      </c>
      <c r="O981" s="511">
        <f t="shared" si="281"/>
        <v>0</v>
      </c>
      <c r="P981" s="511">
        <f t="shared" si="281"/>
        <v>0</v>
      </c>
      <c r="Q981" s="511">
        <f t="shared" si="281"/>
        <v>0</v>
      </c>
      <c r="R981" s="511">
        <f t="shared" si="281"/>
        <v>0</v>
      </c>
      <c r="S981" s="511">
        <f t="shared" si="281"/>
        <v>0</v>
      </c>
      <c r="T981" s="511">
        <f t="shared" si="281"/>
        <v>0</v>
      </c>
      <c r="U981" s="511">
        <f t="shared" si="281"/>
        <v>0</v>
      </c>
      <c r="V981" s="511">
        <f t="shared" si="281"/>
        <v>0</v>
      </c>
      <c r="X981" s="38">
        <f>'[2]Приложение 1'!T976</f>
        <v>0</v>
      </c>
      <c r="Y981" s="9">
        <f t="shared" si="262"/>
        <v>3234</v>
      </c>
      <c r="Z981" s="19">
        <f t="shared" si="263"/>
        <v>-3234</v>
      </c>
    </row>
    <row r="982" spans="1:26" ht="9" customHeight="1">
      <c r="A982" s="510">
        <v>218</v>
      </c>
      <c r="B982" s="737" t="s">
        <v>1032</v>
      </c>
      <c r="C982" s="58" t="s">
        <v>1192</v>
      </c>
      <c r="D982" s="61" t="s">
        <v>111</v>
      </c>
      <c r="E982" s="511">
        <f t="shared" si="278"/>
        <v>1649340</v>
      </c>
      <c r="F982" s="511">
        <f t="shared" si="279"/>
        <v>0</v>
      </c>
      <c r="G982" s="17">
        <f t="shared" si="279"/>
        <v>0</v>
      </c>
      <c r="H982" s="511">
        <f t="shared" si="279"/>
        <v>0</v>
      </c>
      <c r="I982" s="511">
        <v>510</v>
      </c>
      <c r="J982" s="21"/>
      <c r="K982" s="511"/>
      <c r="L982" s="511">
        <f>ROUND(3234*I982,2)</f>
        <v>1649340</v>
      </c>
      <c r="M982" s="511">
        <f t="shared" si="280"/>
        <v>0</v>
      </c>
      <c r="N982" s="511">
        <f t="shared" si="281"/>
        <v>0</v>
      </c>
      <c r="O982" s="511">
        <f t="shared" si="281"/>
        <v>0</v>
      </c>
      <c r="P982" s="511">
        <f t="shared" si="281"/>
        <v>0</v>
      </c>
      <c r="Q982" s="511">
        <f t="shared" si="281"/>
        <v>0</v>
      </c>
      <c r="R982" s="511">
        <f t="shared" si="281"/>
        <v>0</v>
      </c>
      <c r="S982" s="511">
        <f t="shared" si="281"/>
        <v>0</v>
      </c>
      <c r="T982" s="511">
        <f t="shared" si="281"/>
        <v>0</v>
      </c>
      <c r="U982" s="511">
        <f t="shared" si="281"/>
        <v>0</v>
      </c>
      <c r="V982" s="511">
        <f t="shared" si="281"/>
        <v>0</v>
      </c>
      <c r="X982" s="38">
        <f>'[2]Приложение 1'!T977</f>
        <v>4503.95</v>
      </c>
      <c r="Y982" s="9">
        <f t="shared" si="262"/>
        <v>3234</v>
      </c>
      <c r="Z982" s="19">
        <f t="shared" si="263"/>
        <v>1269.9499999999998</v>
      </c>
    </row>
    <row r="983" spans="1:26" ht="9" customHeight="1">
      <c r="A983" s="882" t="s">
        <v>451</v>
      </c>
      <c r="B983" s="882"/>
      <c r="C983" s="882"/>
      <c r="D983" s="882"/>
      <c r="E983" s="882"/>
      <c r="F983" s="882"/>
      <c r="G983" s="882"/>
      <c r="H983" s="882"/>
      <c r="I983" s="882"/>
      <c r="J983" s="882"/>
      <c r="K983" s="882"/>
      <c r="L983" s="882"/>
      <c r="M983" s="882"/>
      <c r="N983" s="882"/>
      <c r="O983" s="882"/>
      <c r="P983" s="882"/>
      <c r="Q983" s="882"/>
      <c r="R983" s="882"/>
      <c r="S983" s="882"/>
      <c r="T983" s="882"/>
      <c r="U983" s="882"/>
      <c r="V983" s="882"/>
      <c r="X983" s="38">
        <f>'[2]Приложение 1'!T978</f>
        <v>4503.95</v>
      </c>
      <c r="Y983" s="9" t="e">
        <f t="shared" si="262"/>
        <v>#DIV/0!</v>
      </c>
      <c r="Z983" s="19" t="e">
        <f t="shared" si="263"/>
        <v>#DIV/0!</v>
      </c>
    </row>
    <row r="984" spans="1:26" ht="20.25" customHeight="1">
      <c r="A984" s="900" t="s">
        <v>452</v>
      </c>
      <c r="B984" s="900"/>
      <c r="C984" s="58"/>
      <c r="D984" s="58"/>
      <c r="E984" s="511">
        <f>SUM(E985:E986)</f>
        <v>3005356.2</v>
      </c>
      <c r="F984" s="511">
        <f t="shared" ref="F984:V986" si="282">SUM(F985:F986)</f>
        <v>0</v>
      </c>
      <c r="G984" s="17">
        <f t="shared" si="282"/>
        <v>0</v>
      </c>
      <c r="H984" s="511">
        <f t="shared" si="282"/>
        <v>0</v>
      </c>
      <c r="I984" s="511">
        <f t="shared" si="282"/>
        <v>929.3</v>
      </c>
      <c r="J984" s="511">
        <f t="shared" si="282"/>
        <v>0</v>
      </c>
      <c r="K984" s="511">
        <f t="shared" si="282"/>
        <v>0</v>
      </c>
      <c r="L984" s="511">
        <f t="shared" si="282"/>
        <v>3005356.2</v>
      </c>
      <c r="M984" s="511">
        <f t="shared" si="282"/>
        <v>0</v>
      </c>
      <c r="N984" s="511">
        <f t="shared" si="282"/>
        <v>0</v>
      </c>
      <c r="O984" s="511">
        <f t="shared" si="282"/>
        <v>0</v>
      </c>
      <c r="P984" s="511">
        <f t="shared" si="282"/>
        <v>0</v>
      </c>
      <c r="Q984" s="511">
        <f t="shared" si="282"/>
        <v>0</v>
      </c>
      <c r="R984" s="511">
        <f t="shared" si="282"/>
        <v>0</v>
      </c>
      <c r="S984" s="511">
        <f t="shared" si="282"/>
        <v>0</v>
      </c>
      <c r="T984" s="511">
        <f t="shared" si="282"/>
        <v>0</v>
      </c>
      <c r="U984" s="511">
        <f t="shared" si="282"/>
        <v>0</v>
      </c>
      <c r="V984" s="511">
        <f t="shared" si="282"/>
        <v>0</v>
      </c>
      <c r="X984" s="38">
        <f>'[2]Приложение 1'!T979</f>
        <v>0</v>
      </c>
      <c r="Y984" s="9">
        <f t="shared" si="262"/>
        <v>3234.0000000000005</v>
      </c>
      <c r="Z984" s="19">
        <f t="shared" si="263"/>
        <v>-3234.0000000000005</v>
      </c>
    </row>
    <row r="985" spans="1:26" ht="9" customHeight="1">
      <c r="A985" s="510">
        <v>219</v>
      </c>
      <c r="B985" s="737" t="s">
        <v>942</v>
      </c>
      <c r="C985" s="58" t="s">
        <v>1192</v>
      </c>
      <c r="D985" s="61" t="s">
        <v>111</v>
      </c>
      <c r="E985" s="511">
        <f t="shared" ref="E985:E986" si="283">F985+H985+L985+N985+P985+R985+S985+T985+U985+V985</f>
        <v>1002216.6</v>
      </c>
      <c r="F985" s="511">
        <f t="shared" si="282"/>
        <v>0</v>
      </c>
      <c r="G985" s="17">
        <f t="shared" si="282"/>
        <v>0</v>
      </c>
      <c r="H985" s="511">
        <f t="shared" si="282"/>
        <v>0</v>
      </c>
      <c r="I985" s="511">
        <v>309.89999999999998</v>
      </c>
      <c r="J985" s="511"/>
      <c r="K985" s="511"/>
      <c r="L985" s="511">
        <f>ROUND(3234*I985,2)</f>
        <v>1002216.6</v>
      </c>
      <c r="M985" s="511">
        <f t="shared" si="282"/>
        <v>0</v>
      </c>
      <c r="N985" s="511">
        <f t="shared" si="282"/>
        <v>0</v>
      </c>
      <c r="O985" s="511">
        <f t="shared" si="282"/>
        <v>0</v>
      </c>
      <c r="P985" s="511">
        <f t="shared" si="282"/>
        <v>0</v>
      </c>
      <c r="Q985" s="511">
        <f t="shared" si="282"/>
        <v>0</v>
      </c>
      <c r="R985" s="511">
        <f t="shared" si="282"/>
        <v>0</v>
      </c>
      <c r="S985" s="511">
        <f t="shared" si="282"/>
        <v>0</v>
      </c>
      <c r="T985" s="511">
        <f t="shared" si="282"/>
        <v>0</v>
      </c>
      <c r="U985" s="511">
        <f t="shared" si="282"/>
        <v>0</v>
      </c>
      <c r="V985" s="511">
        <f t="shared" si="282"/>
        <v>0</v>
      </c>
      <c r="X985" s="38">
        <f>'[2]Приложение 1'!T980</f>
        <v>0</v>
      </c>
      <c r="Y985" s="9">
        <f t="shared" si="262"/>
        <v>3234</v>
      </c>
      <c r="Z985" s="19">
        <f t="shared" si="263"/>
        <v>-3234</v>
      </c>
    </row>
    <row r="986" spans="1:26" ht="9" customHeight="1">
      <c r="A986" s="510">
        <v>220</v>
      </c>
      <c r="B986" s="737" t="s">
        <v>943</v>
      </c>
      <c r="C986" s="58" t="s">
        <v>1192</v>
      </c>
      <c r="D986" s="61" t="s">
        <v>111</v>
      </c>
      <c r="E986" s="511">
        <f t="shared" si="283"/>
        <v>2003139.6</v>
      </c>
      <c r="F986" s="511">
        <f t="shared" si="282"/>
        <v>0</v>
      </c>
      <c r="G986" s="17">
        <f t="shared" si="282"/>
        <v>0</v>
      </c>
      <c r="H986" s="511">
        <f t="shared" si="282"/>
        <v>0</v>
      </c>
      <c r="I986" s="511">
        <v>619.4</v>
      </c>
      <c r="J986" s="511"/>
      <c r="K986" s="511"/>
      <c r="L986" s="511">
        <f>ROUND(3234*I986,2)</f>
        <v>2003139.6</v>
      </c>
      <c r="M986" s="511">
        <f t="shared" si="282"/>
        <v>0</v>
      </c>
      <c r="N986" s="511">
        <f t="shared" si="282"/>
        <v>0</v>
      </c>
      <c r="O986" s="511">
        <f t="shared" si="282"/>
        <v>0</v>
      </c>
      <c r="P986" s="511">
        <f t="shared" si="282"/>
        <v>0</v>
      </c>
      <c r="Q986" s="511">
        <f t="shared" si="282"/>
        <v>0</v>
      </c>
      <c r="R986" s="511">
        <f t="shared" si="282"/>
        <v>0</v>
      </c>
      <c r="S986" s="511">
        <f t="shared" si="282"/>
        <v>0</v>
      </c>
      <c r="T986" s="511">
        <f t="shared" si="282"/>
        <v>0</v>
      </c>
      <c r="U986" s="511">
        <f t="shared" si="282"/>
        <v>0</v>
      </c>
      <c r="V986" s="511">
        <f t="shared" si="282"/>
        <v>0</v>
      </c>
      <c r="X986" s="38">
        <f>'[2]Приложение 1'!T981</f>
        <v>4503.95</v>
      </c>
      <c r="Y986" s="9">
        <f t="shared" si="262"/>
        <v>3234.0000000000005</v>
      </c>
      <c r="Z986" s="19">
        <f t="shared" si="263"/>
        <v>1269.9499999999994</v>
      </c>
    </row>
    <row r="987" spans="1:26" s="27" customFormat="1" ht="9" customHeight="1">
      <c r="A987" s="887" t="s">
        <v>3</v>
      </c>
      <c r="B987" s="887"/>
      <c r="C987" s="887"/>
      <c r="D987" s="887"/>
      <c r="E987" s="887"/>
      <c r="F987" s="887"/>
      <c r="G987" s="887"/>
      <c r="H987" s="887"/>
      <c r="I987" s="887"/>
      <c r="J987" s="887"/>
      <c r="K987" s="887"/>
      <c r="L987" s="887"/>
      <c r="M987" s="887"/>
      <c r="N987" s="887"/>
      <c r="O987" s="887"/>
      <c r="P987" s="887"/>
      <c r="Q987" s="887"/>
      <c r="R987" s="887"/>
      <c r="S987" s="887"/>
      <c r="T987" s="887"/>
      <c r="U987" s="887"/>
      <c r="V987" s="887"/>
      <c r="X987" s="38">
        <f>'[2]Приложение 1'!T982</f>
        <v>4503.95</v>
      </c>
      <c r="Y987" s="9" t="e">
        <f t="shared" si="262"/>
        <v>#DIV/0!</v>
      </c>
      <c r="Z987" s="19" t="e">
        <f t="shared" si="263"/>
        <v>#DIV/0!</v>
      </c>
    </row>
    <row r="988" spans="1:26" s="27" customFormat="1" ht="21" customHeight="1">
      <c r="A988" s="910" t="s">
        <v>6</v>
      </c>
      <c r="B988" s="910"/>
      <c r="C988" s="71"/>
      <c r="D988" s="71"/>
      <c r="E988" s="511">
        <f>SUM(E989:E990)</f>
        <v>2858856</v>
      </c>
      <c r="F988" s="511">
        <f t="shared" ref="F988:V989" si="284">SUM(F989:F990)</f>
        <v>0</v>
      </c>
      <c r="G988" s="17">
        <f t="shared" si="284"/>
        <v>0</v>
      </c>
      <c r="H988" s="511">
        <f t="shared" si="284"/>
        <v>0</v>
      </c>
      <c r="I988" s="511">
        <f t="shared" si="284"/>
        <v>884</v>
      </c>
      <c r="J988" s="511">
        <f t="shared" si="284"/>
        <v>0</v>
      </c>
      <c r="K988" s="511">
        <f t="shared" si="284"/>
        <v>0</v>
      </c>
      <c r="L988" s="511">
        <f t="shared" si="284"/>
        <v>2858856</v>
      </c>
      <c r="M988" s="511">
        <f t="shared" si="284"/>
        <v>0</v>
      </c>
      <c r="N988" s="511">
        <f t="shared" si="284"/>
        <v>0</v>
      </c>
      <c r="O988" s="511">
        <f t="shared" si="284"/>
        <v>0</v>
      </c>
      <c r="P988" s="511">
        <f t="shared" si="284"/>
        <v>0</v>
      </c>
      <c r="Q988" s="511">
        <f t="shared" si="284"/>
        <v>0</v>
      </c>
      <c r="R988" s="511">
        <f t="shared" si="284"/>
        <v>0</v>
      </c>
      <c r="S988" s="511">
        <f t="shared" si="284"/>
        <v>0</v>
      </c>
      <c r="T988" s="511">
        <f t="shared" si="284"/>
        <v>0</v>
      </c>
      <c r="U988" s="511">
        <f t="shared" si="284"/>
        <v>0</v>
      </c>
      <c r="V988" s="511">
        <f t="shared" si="284"/>
        <v>0</v>
      </c>
      <c r="X988" s="38">
        <f>'[2]Приложение 1'!T983</f>
        <v>0</v>
      </c>
      <c r="Y988" s="9">
        <f t="shared" si="262"/>
        <v>3234</v>
      </c>
      <c r="Z988" s="19">
        <f t="shared" si="263"/>
        <v>-3234</v>
      </c>
    </row>
    <row r="989" spans="1:26" s="27" customFormat="1" ht="9" customHeight="1">
      <c r="A989" s="742">
        <v>221</v>
      </c>
      <c r="B989" s="743" t="s">
        <v>946</v>
      </c>
      <c r="C989" s="75" t="s">
        <v>1192</v>
      </c>
      <c r="D989" s="744" t="s">
        <v>111</v>
      </c>
      <c r="E989" s="511">
        <f t="shared" ref="E989" si="285">F989+H989+L989+N989+P989+R989+S989+T989+U989+V989</f>
        <v>2858856</v>
      </c>
      <c r="F989" s="511">
        <f t="shared" si="284"/>
        <v>0</v>
      </c>
      <c r="G989" s="17">
        <f t="shared" si="284"/>
        <v>0</v>
      </c>
      <c r="H989" s="511">
        <f t="shared" si="284"/>
        <v>0</v>
      </c>
      <c r="I989" s="49">
        <v>884</v>
      </c>
      <c r="J989" s="511"/>
      <c r="K989" s="511"/>
      <c r="L989" s="511">
        <f>ROUND(3234*I989,2)</f>
        <v>2858856</v>
      </c>
      <c r="M989" s="511">
        <f t="shared" si="284"/>
        <v>0</v>
      </c>
      <c r="N989" s="511">
        <f t="shared" si="284"/>
        <v>0</v>
      </c>
      <c r="O989" s="511">
        <f t="shared" si="284"/>
        <v>0</v>
      </c>
      <c r="P989" s="511">
        <f t="shared" si="284"/>
        <v>0</v>
      </c>
      <c r="Q989" s="511">
        <f t="shared" si="284"/>
        <v>0</v>
      </c>
      <c r="R989" s="511">
        <f t="shared" si="284"/>
        <v>0</v>
      </c>
      <c r="S989" s="511">
        <f t="shared" si="284"/>
        <v>0</v>
      </c>
      <c r="T989" s="511">
        <f t="shared" si="284"/>
        <v>0</v>
      </c>
      <c r="U989" s="511">
        <f t="shared" si="284"/>
        <v>0</v>
      </c>
      <c r="V989" s="511">
        <f t="shared" si="284"/>
        <v>0</v>
      </c>
      <c r="X989" s="38">
        <f>'[2]Приложение 1'!T984</f>
        <v>0</v>
      </c>
      <c r="Y989" s="9">
        <f t="shared" si="262"/>
        <v>3234</v>
      </c>
      <c r="Z989" s="19">
        <f t="shared" si="263"/>
        <v>-3234</v>
      </c>
    </row>
    <row r="990" spans="1:26" s="27" customFormat="1" ht="9" customHeight="1">
      <c r="A990" s="886" t="s">
        <v>11</v>
      </c>
      <c r="B990" s="886"/>
      <c r="C990" s="886"/>
      <c r="D990" s="886"/>
      <c r="E990" s="886"/>
      <c r="F990" s="886"/>
      <c r="G990" s="886"/>
      <c r="H990" s="886"/>
      <c r="I990" s="886"/>
      <c r="J990" s="886"/>
      <c r="K990" s="886"/>
      <c r="L990" s="886"/>
      <c r="M990" s="886"/>
      <c r="N990" s="886"/>
      <c r="O990" s="886"/>
      <c r="P990" s="886"/>
      <c r="Q990" s="886"/>
      <c r="R990" s="886"/>
      <c r="S990" s="886"/>
      <c r="T990" s="886"/>
      <c r="U990" s="886"/>
      <c r="V990" s="886"/>
      <c r="X990" s="38">
        <f>'[2]Приложение 1'!T985</f>
        <v>4503.95</v>
      </c>
      <c r="Y990" s="9" t="e">
        <f t="shared" si="262"/>
        <v>#DIV/0!</v>
      </c>
      <c r="Z990" s="19" t="e">
        <f t="shared" si="263"/>
        <v>#DIV/0!</v>
      </c>
    </row>
    <row r="991" spans="1:26" s="27" customFormat="1" ht="21" customHeight="1">
      <c r="A991" s="902" t="s">
        <v>12</v>
      </c>
      <c r="B991" s="902"/>
      <c r="C991" s="66"/>
      <c r="D991" s="66"/>
      <c r="E991" s="511">
        <f>SUM(E992:E996)</f>
        <v>4168626</v>
      </c>
      <c r="F991" s="511">
        <f t="shared" ref="F991:V994" si="286">SUM(F992:F996)</f>
        <v>0</v>
      </c>
      <c r="G991" s="17">
        <f t="shared" si="286"/>
        <v>0</v>
      </c>
      <c r="H991" s="511">
        <f t="shared" si="286"/>
        <v>0</v>
      </c>
      <c r="I991" s="511">
        <f t="shared" si="286"/>
        <v>1289</v>
      </c>
      <c r="J991" s="511">
        <f t="shared" si="286"/>
        <v>0</v>
      </c>
      <c r="K991" s="511">
        <f t="shared" si="286"/>
        <v>0</v>
      </c>
      <c r="L991" s="511">
        <f t="shared" si="286"/>
        <v>4168626</v>
      </c>
      <c r="M991" s="511">
        <f t="shared" si="286"/>
        <v>0</v>
      </c>
      <c r="N991" s="511">
        <f t="shared" si="286"/>
        <v>0</v>
      </c>
      <c r="O991" s="511">
        <f t="shared" si="286"/>
        <v>0</v>
      </c>
      <c r="P991" s="511">
        <f t="shared" si="286"/>
        <v>0</v>
      </c>
      <c r="Q991" s="511">
        <f t="shared" si="286"/>
        <v>0</v>
      </c>
      <c r="R991" s="511">
        <f t="shared" si="286"/>
        <v>0</v>
      </c>
      <c r="S991" s="511">
        <f t="shared" si="286"/>
        <v>0</v>
      </c>
      <c r="T991" s="511">
        <f t="shared" si="286"/>
        <v>0</v>
      </c>
      <c r="U991" s="511">
        <f t="shared" si="286"/>
        <v>0</v>
      </c>
      <c r="V991" s="511">
        <f t="shared" si="286"/>
        <v>0</v>
      </c>
      <c r="X991" s="38">
        <f>'[2]Приложение 1'!T986</f>
        <v>0</v>
      </c>
      <c r="Y991" s="9">
        <f t="shared" si="262"/>
        <v>3234</v>
      </c>
      <c r="Z991" s="19">
        <f t="shared" si="263"/>
        <v>-3234</v>
      </c>
    </row>
    <row r="992" spans="1:26" s="27" customFormat="1" ht="9" customHeight="1">
      <c r="A992" s="21">
        <v>222</v>
      </c>
      <c r="B992" s="745" t="s">
        <v>953</v>
      </c>
      <c r="C992" s="65" t="s">
        <v>1192</v>
      </c>
      <c r="D992" s="746" t="s">
        <v>111</v>
      </c>
      <c r="E992" s="511">
        <f t="shared" ref="E992:E996" si="287">F992+H992+L992+N992+P992+R992+S992+T992+U992+V992</f>
        <v>572418</v>
      </c>
      <c r="F992" s="511">
        <f t="shared" si="286"/>
        <v>0</v>
      </c>
      <c r="G992" s="17">
        <f t="shared" si="286"/>
        <v>0</v>
      </c>
      <c r="H992" s="511">
        <f t="shared" si="286"/>
        <v>0</v>
      </c>
      <c r="I992" s="20">
        <v>177</v>
      </c>
      <c r="J992" s="511"/>
      <c r="K992" s="511"/>
      <c r="L992" s="511">
        <f>ROUND(3234*I992,2)</f>
        <v>572418</v>
      </c>
      <c r="M992" s="511">
        <f t="shared" ref="M992:V996" si="288">SUM(M993:M994)</f>
        <v>0</v>
      </c>
      <c r="N992" s="511">
        <f t="shared" si="288"/>
        <v>0</v>
      </c>
      <c r="O992" s="511">
        <f t="shared" si="288"/>
        <v>0</v>
      </c>
      <c r="P992" s="511">
        <f t="shared" si="288"/>
        <v>0</v>
      </c>
      <c r="Q992" s="511">
        <f t="shared" si="288"/>
        <v>0</v>
      </c>
      <c r="R992" s="511">
        <f t="shared" si="288"/>
        <v>0</v>
      </c>
      <c r="S992" s="511">
        <f t="shared" si="288"/>
        <v>0</v>
      </c>
      <c r="T992" s="511">
        <f t="shared" si="288"/>
        <v>0</v>
      </c>
      <c r="U992" s="511">
        <f t="shared" si="288"/>
        <v>0</v>
      </c>
      <c r="V992" s="511">
        <f t="shared" si="288"/>
        <v>0</v>
      </c>
      <c r="X992" s="38">
        <f>'[2]Приложение 1'!T987</f>
        <v>0</v>
      </c>
      <c r="Y992" s="9">
        <f t="shared" si="262"/>
        <v>3234</v>
      </c>
      <c r="Z992" s="19">
        <f t="shared" si="263"/>
        <v>-3234</v>
      </c>
    </row>
    <row r="993" spans="1:26" s="27" customFormat="1" ht="9" customHeight="1">
      <c r="A993" s="21">
        <v>223</v>
      </c>
      <c r="B993" s="745" t="s">
        <v>954</v>
      </c>
      <c r="C993" s="65" t="s">
        <v>1192</v>
      </c>
      <c r="D993" s="746" t="s">
        <v>111</v>
      </c>
      <c r="E993" s="511">
        <f t="shared" si="287"/>
        <v>633864</v>
      </c>
      <c r="F993" s="511">
        <f t="shared" si="286"/>
        <v>0</v>
      </c>
      <c r="G993" s="17">
        <f t="shared" si="286"/>
        <v>0</v>
      </c>
      <c r="H993" s="511">
        <f t="shared" si="286"/>
        <v>0</v>
      </c>
      <c r="I993" s="20">
        <v>196</v>
      </c>
      <c r="J993" s="511"/>
      <c r="K993" s="511"/>
      <c r="L993" s="511">
        <f>ROUND(3234*I993,2)</f>
        <v>633864</v>
      </c>
      <c r="M993" s="511">
        <f t="shared" si="288"/>
        <v>0</v>
      </c>
      <c r="N993" s="511">
        <f t="shared" si="288"/>
        <v>0</v>
      </c>
      <c r="O993" s="511">
        <f t="shared" si="288"/>
        <v>0</v>
      </c>
      <c r="P993" s="511">
        <f t="shared" si="288"/>
        <v>0</v>
      </c>
      <c r="Q993" s="511">
        <f t="shared" si="288"/>
        <v>0</v>
      </c>
      <c r="R993" s="511">
        <f t="shared" si="288"/>
        <v>0</v>
      </c>
      <c r="S993" s="511">
        <f t="shared" si="288"/>
        <v>0</v>
      </c>
      <c r="T993" s="511">
        <f t="shared" si="288"/>
        <v>0</v>
      </c>
      <c r="U993" s="511">
        <f t="shared" si="288"/>
        <v>0</v>
      </c>
      <c r="V993" s="511">
        <f t="shared" si="288"/>
        <v>0</v>
      </c>
      <c r="X993" s="38">
        <f>'[2]Приложение 1'!T988</f>
        <v>4503.95</v>
      </c>
      <c r="Y993" s="9">
        <f t="shared" si="262"/>
        <v>3234</v>
      </c>
      <c r="Z993" s="19">
        <f t="shared" si="263"/>
        <v>1269.9499999999998</v>
      </c>
    </row>
    <row r="994" spans="1:26" s="27" customFormat="1" ht="9" customHeight="1">
      <c r="A994" s="21">
        <v>224</v>
      </c>
      <c r="B994" s="745" t="s">
        <v>955</v>
      </c>
      <c r="C994" s="65" t="s">
        <v>1192</v>
      </c>
      <c r="D994" s="746" t="s">
        <v>111</v>
      </c>
      <c r="E994" s="511">
        <f t="shared" si="287"/>
        <v>1131900</v>
      </c>
      <c r="F994" s="511">
        <f t="shared" si="286"/>
        <v>0</v>
      </c>
      <c r="G994" s="17">
        <f t="shared" si="286"/>
        <v>0</v>
      </c>
      <c r="H994" s="511">
        <f t="shared" si="286"/>
        <v>0</v>
      </c>
      <c r="I994" s="20">
        <v>350</v>
      </c>
      <c r="J994" s="511"/>
      <c r="K994" s="511"/>
      <c r="L994" s="511">
        <f>ROUND(3234*I994,2)</f>
        <v>1131900</v>
      </c>
      <c r="M994" s="511">
        <f t="shared" si="288"/>
        <v>0</v>
      </c>
      <c r="N994" s="511">
        <f t="shared" si="288"/>
        <v>0</v>
      </c>
      <c r="O994" s="511">
        <f t="shared" si="288"/>
        <v>0</v>
      </c>
      <c r="P994" s="511">
        <f t="shared" si="288"/>
        <v>0</v>
      </c>
      <c r="Q994" s="511">
        <f t="shared" si="288"/>
        <v>0</v>
      </c>
      <c r="R994" s="511">
        <f t="shared" si="288"/>
        <v>0</v>
      </c>
      <c r="S994" s="511">
        <f t="shared" si="288"/>
        <v>0</v>
      </c>
      <c r="T994" s="511">
        <f t="shared" si="288"/>
        <v>0</v>
      </c>
      <c r="U994" s="511">
        <f t="shared" si="288"/>
        <v>0</v>
      </c>
      <c r="V994" s="511">
        <f t="shared" si="288"/>
        <v>0</v>
      </c>
      <c r="X994" s="38">
        <f>'[2]Приложение 1'!T989</f>
        <v>4503.95</v>
      </c>
      <c r="Y994" s="9">
        <f t="shared" si="262"/>
        <v>3234</v>
      </c>
      <c r="Z994" s="19">
        <f t="shared" si="263"/>
        <v>1269.9499999999998</v>
      </c>
    </row>
    <row r="995" spans="1:26" s="27" customFormat="1" ht="9" customHeight="1">
      <c r="A995" s="21">
        <v>225</v>
      </c>
      <c r="B995" s="745" t="s">
        <v>956</v>
      </c>
      <c r="C995" s="65" t="s">
        <v>1192</v>
      </c>
      <c r="D995" s="746" t="s">
        <v>111</v>
      </c>
      <c r="E995" s="511">
        <f t="shared" si="287"/>
        <v>937860</v>
      </c>
      <c r="F995" s="511">
        <f t="shared" ref="F995:H996" si="289">SUM(F996:F1003)</f>
        <v>0</v>
      </c>
      <c r="G995" s="17">
        <f t="shared" si="289"/>
        <v>0</v>
      </c>
      <c r="H995" s="511">
        <f t="shared" si="289"/>
        <v>0</v>
      </c>
      <c r="I995" s="20">
        <v>290</v>
      </c>
      <c r="J995" s="511"/>
      <c r="K995" s="511"/>
      <c r="L995" s="511">
        <f>ROUND(3234*I995,2)</f>
        <v>937860</v>
      </c>
      <c r="M995" s="511">
        <f t="shared" si="288"/>
        <v>0</v>
      </c>
      <c r="N995" s="511">
        <f t="shared" si="288"/>
        <v>0</v>
      </c>
      <c r="O995" s="511">
        <f t="shared" si="288"/>
        <v>0</v>
      </c>
      <c r="P995" s="511">
        <f t="shared" si="288"/>
        <v>0</v>
      </c>
      <c r="Q995" s="511">
        <f t="shared" si="288"/>
        <v>0</v>
      </c>
      <c r="R995" s="511">
        <f t="shared" si="288"/>
        <v>0</v>
      </c>
      <c r="S995" s="511">
        <f t="shared" si="288"/>
        <v>0</v>
      </c>
      <c r="T995" s="511">
        <f t="shared" si="288"/>
        <v>0</v>
      </c>
      <c r="U995" s="511">
        <f t="shared" si="288"/>
        <v>0</v>
      </c>
      <c r="V995" s="511">
        <f t="shared" si="288"/>
        <v>0</v>
      </c>
      <c r="X995" s="38">
        <f>'[2]Приложение 1'!T990</f>
        <v>4503.95</v>
      </c>
      <c r="Y995" s="9">
        <f t="shared" si="262"/>
        <v>3234</v>
      </c>
      <c r="Z995" s="19">
        <f t="shared" si="263"/>
        <v>1269.9499999999998</v>
      </c>
    </row>
    <row r="996" spans="1:26" s="27" customFormat="1" ht="9" customHeight="1">
      <c r="A996" s="21">
        <v>226</v>
      </c>
      <c r="B996" s="745" t="s">
        <v>957</v>
      </c>
      <c r="C996" s="65" t="s">
        <v>1192</v>
      </c>
      <c r="D996" s="746" t="s">
        <v>111</v>
      </c>
      <c r="E996" s="511">
        <f t="shared" si="287"/>
        <v>892584</v>
      </c>
      <c r="F996" s="511">
        <f t="shared" si="289"/>
        <v>0</v>
      </c>
      <c r="G996" s="17">
        <f t="shared" si="289"/>
        <v>0</v>
      </c>
      <c r="H996" s="511">
        <f t="shared" si="289"/>
        <v>0</v>
      </c>
      <c r="I996" s="20">
        <v>276</v>
      </c>
      <c r="J996" s="511"/>
      <c r="K996" s="511"/>
      <c r="L996" s="511">
        <f>ROUND(3234*I996,2)</f>
        <v>892584</v>
      </c>
      <c r="M996" s="511">
        <f t="shared" si="288"/>
        <v>0</v>
      </c>
      <c r="N996" s="511">
        <f t="shared" si="288"/>
        <v>0</v>
      </c>
      <c r="O996" s="511">
        <f t="shared" si="288"/>
        <v>0</v>
      </c>
      <c r="P996" s="511">
        <f t="shared" si="288"/>
        <v>0</v>
      </c>
      <c r="Q996" s="511">
        <f t="shared" si="288"/>
        <v>0</v>
      </c>
      <c r="R996" s="511">
        <f t="shared" si="288"/>
        <v>0</v>
      </c>
      <c r="S996" s="511">
        <f t="shared" si="288"/>
        <v>0</v>
      </c>
      <c r="T996" s="511">
        <f t="shared" si="288"/>
        <v>0</v>
      </c>
      <c r="U996" s="511">
        <f t="shared" si="288"/>
        <v>0</v>
      </c>
      <c r="V996" s="511">
        <f t="shared" si="288"/>
        <v>0</v>
      </c>
      <c r="X996" s="38">
        <f>'[2]Приложение 1'!T991</f>
        <v>4503.95</v>
      </c>
      <c r="Y996" s="9">
        <f t="shared" si="262"/>
        <v>3234</v>
      </c>
      <c r="Z996" s="19">
        <f t="shared" si="263"/>
        <v>1269.9499999999998</v>
      </c>
    </row>
    <row r="997" spans="1:26" s="27" customFormat="1" ht="9" customHeight="1">
      <c r="A997" s="883" t="s">
        <v>455</v>
      </c>
      <c r="B997" s="883"/>
      <c r="C997" s="883"/>
      <c r="D997" s="883"/>
      <c r="E997" s="883"/>
      <c r="F997" s="883"/>
      <c r="G997" s="883"/>
      <c r="H997" s="883"/>
      <c r="I997" s="883"/>
      <c r="J997" s="883"/>
      <c r="K997" s="883"/>
      <c r="L997" s="883"/>
      <c r="M997" s="883"/>
      <c r="N997" s="883"/>
      <c r="O997" s="883"/>
      <c r="P997" s="883"/>
      <c r="Q997" s="883"/>
      <c r="R997" s="883"/>
      <c r="S997" s="883"/>
      <c r="T997" s="883"/>
      <c r="U997" s="883"/>
      <c r="V997" s="883"/>
      <c r="X997" s="38">
        <f>'[2]Приложение 1'!T992</f>
        <v>4503.95</v>
      </c>
      <c r="Y997" s="9" t="e">
        <f t="shared" si="262"/>
        <v>#DIV/0!</v>
      </c>
      <c r="Z997" s="19" t="e">
        <f t="shared" si="263"/>
        <v>#DIV/0!</v>
      </c>
    </row>
    <row r="998" spans="1:26" s="27" customFormat="1" ht="25.5" customHeight="1">
      <c r="A998" s="928" t="s">
        <v>21</v>
      </c>
      <c r="B998" s="928"/>
      <c r="C998" s="72"/>
      <c r="D998" s="72"/>
      <c r="E998" s="511">
        <f>SUM(E999)</f>
        <v>581149.80000000005</v>
      </c>
      <c r="F998" s="511">
        <f t="shared" ref="F998:V998" si="290">SUM(F999)</f>
        <v>0</v>
      </c>
      <c r="G998" s="17">
        <f t="shared" si="290"/>
        <v>0</v>
      </c>
      <c r="H998" s="511">
        <f t="shared" si="290"/>
        <v>0</v>
      </c>
      <c r="I998" s="511">
        <f t="shared" si="290"/>
        <v>179.7</v>
      </c>
      <c r="J998" s="511">
        <f t="shared" si="290"/>
        <v>0</v>
      </c>
      <c r="K998" s="511">
        <f t="shared" si="290"/>
        <v>0</v>
      </c>
      <c r="L998" s="511">
        <f t="shared" si="290"/>
        <v>581149.80000000005</v>
      </c>
      <c r="M998" s="511">
        <f t="shared" si="290"/>
        <v>0</v>
      </c>
      <c r="N998" s="511">
        <f t="shared" si="290"/>
        <v>0</v>
      </c>
      <c r="O998" s="511">
        <f t="shared" si="290"/>
        <v>0</v>
      </c>
      <c r="P998" s="511">
        <f t="shared" si="290"/>
        <v>0</v>
      </c>
      <c r="Q998" s="511">
        <f t="shared" si="290"/>
        <v>0</v>
      </c>
      <c r="R998" s="511">
        <f t="shared" si="290"/>
        <v>0</v>
      </c>
      <c r="S998" s="511">
        <f t="shared" si="290"/>
        <v>0</v>
      </c>
      <c r="T998" s="511">
        <f t="shared" si="290"/>
        <v>0</v>
      </c>
      <c r="U998" s="511">
        <f t="shared" si="290"/>
        <v>0</v>
      </c>
      <c r="V998" s="511">
        <f t="shared" si="290"/>
        <v>0</v>
      </c>
      <c r="X998" s="38">
        <f>'[2]Приложение 1'!T993</f>
        <v>0</v>
      </c>
      <c r="Y998" s="9">
        <f t="shared" si="262"/>
        <v>3234.0000000000005</v>
      </c>
      <c r="Z998" s="19">
        <f t="shared" si="263"/>
        <v>-3234.0000000000005</v>
      </c>
    </row>
    <row r="999" spans="1:26" s="27" customFormat="1" ht="10.5" customHeight="1">
      <c r="A999" s="45">
        <v>227</v>
      </c>
      <c r="B999" s="42" t="s">
        <v>959</v>
      </c>
      <c r="C999" s="74" t="s">
        <v>1192</v>
      </c>
      <c r="D999" s="42" t="s">
        <v>111</v>
      </c>
      <c r="E999" s="511">
        <f t="shared" ref="E999" si="291">F999+H999+L999+N999+P999+R999+S999+T999+U999+V999</f>
        <v>581149.80000000005</v>
      </c>
      <c r="F999" s="511">
        <f t="shared" ref="F999:H999" si="292">SUM(F1003:F1004)</f>
        <v>0</v>
      </c>
      <c r="G999" s="17">
        <f t="shared" si="292"/>
        <v>0</v>
      </c>
      <c r="H999" s="511">
        <f t="shared" si="292"/>
        <v>0</v>
      </c>
      <c r="I999" s="51">
        <v>179.7</v>
      </c>
      <c r="J999" s="21"/>
      <c r="K999" s="511"/>
      <c r="L999" s="511">
        <f>ROUND(3234*I999,2)</f>
        <v>581149.80000000005</v>
      </c>
      <c r="M999" s="511">
        <f t="shared" ref="M999:V999" si="293">SUM(M1003:M1004)</f>
        <v>0</v>
      </c>
      <c r="N999" s="511">
        <f t="shared" si="293"/>
        <v>0</v>
      </c>
      <c r="O999" s="511">
        <f t="shared" si="293"/>
        <v>0</v>
      </c>
      <c r="P999" s="511">
        <f t="shared" si="293"/>
        <v>0</v>
      </c>
      <c r="Q999" s="511">
        <f t="shared" si="293"/>
        <v>0</v>
      </c>
      <c r="R999" s="511">
        <f t="shared" si="293"/>
        <v>0</v>
      </c>
      <c r="S999" s="511">
        <f t="shared" si="293"/>
        <v>0</v>
      </c>
      <c r="T999" s="511">
        <f t="shared" si="293"/>
        <v>0</v>
      </c>
      <c r="U999" s="511">
        <f t="shared" si="293"/>
        <v>0</v>
      </c>
      <c r="V999" s="511">
        <f t="shared" si="293"/>
        <v>0</v>
      </c>
      <c r="X999" s="38">
        <f>'[2]Приложение 1'!T994</f>
        <v>0</v>
      </c>
      <c r="Y999" s="9">
        <f t="shared" si="262"/>
        <v>3234.0000000000005</v>
      </c>
      <c r="Z999" s="19">
        <f t="shared" si="263"/>
        <v>-3234.0000000000005</v>
      </c>
    </row>
    <row r="1000" spans="1:26" s="27" customFormat="1" ht="10.5" customHeight="1">
      <c r="A1000" s="883" t="s">
        <v>453</v>
      </c>
      <c r="B1000" s="883"/>
      <c r="C1000" s="883"/>
      <c r="D1000" s="883"/>
      <c r="E1000" s="883"/>
      <c r="F1000" s="883"/>
      <c r="G1000" s="883"/>
      <c r="H1000" s="883"/>
      <c r="I1000" s="883"/>
      <c r="J1000" s="883"/>
      <c r="K1000" s="883"/>
      <c r="L1000" s="883"/>
      <c r="M1000" s="883"/>
      <c r="N1000" s="883"/>
      <c r="O1000" s="883"/>
      <c r="P1000" s="883"/>
      <c r="Q1000" s="883"/>
      <c r="R1000" s="883"/>
      <c r="S1000" s="883"/>
      <c r="T1000" s="883"/>
      <c r="U1000" s="883"/>
      <c r="V1000" s="883"/>
      <c r="X1000" s="38">
        <f>'[2]Приложение 1'!T995</f>
        <v>4503.95</v>
      </c>
      <c r="Y1000" s="9" t="e">
        <f t="shared" si="262"/>
        <v>#DIV/0!</v>
      </c>
      <c r="Z1000" s="19" t="e">
        <f t="shared" si="263"/>
        <v>#DIV/0!</v>
      </c>
    </row>
    <row r="1001" spans="1:26" s="27" customFormat="1" ht="22.5" customHeight="1">
      <c r="A1001" s="900" t="s">
        <v>454</v>
      </c>
      <c r="B1001" s="900"/>
      <c r="C1001" s="58"/>
      <c r="D1001" s="58"/>
      <c r="E1001" s="511">
        <f>SUM(E1002)</f>
        <v>2133026.52</v>
      </c>
      <c r="F1001" s="511">
        <f t="shared" ref="F1001:V1001" si="294">SUM(F1002)</f>
        <v>0</v>
      </c>
      <c r="G1001" s="17">
        <f t="shared" si="294"/>
        <v>0</v>
      </c>
      <c r="H1001" s="511">
        <f t="shared" si="294"/>
        <v>0</v>
      </c>
      <c r="I1001" s="511">
        <f t="shared" si="294"/>
        <v>639.78</v>
      </c>
      <c r="J1001" s="511">
        <f t="shared" si="294"/>
        <v>0</v>
      </c>
      <c r="K1001" s="511">
        <f t="shared" si="294"/>
        <v>0</v>
      </c>
      <c r="L1001" s="511">
        <f t="shared" si="294"/>
        <v>2133026.52</v>
      </c>
      <c r="M1001" s="511">
        <f t="shared" si="294"/>
        <v>0</v>
      </c>
      <c r="N1001" s="511">
        <f t="shared" si="294"/>
        <v>0</v>
      </c>
      <c r="O1001" s="511">
        <f t="shared" si="294"/>
        <v>0</v>
      </c>
      <c r="P1001" s="511">
        <f t="shared" si="294"/>
        <v>0</v>
      </c>
      <c r="Q1001" s="511">
        <f t="shared" si="294"/>
        <v>0</v>
      </c>
      <c r="R1001" s="511">
        <f t="shared" si="294"/>
        <v>0</v>
      </c>
      <c r="S1001" s="511">
        <f t="shared" si="294"/>
        <v>0</v>
      </c>
      <c r="T1001" s="511">
        <f t="shared" si="294"/>
        <v>0</v>
      </c>
      <c r="U1001" s="511">
        <f t="shared" si="294"/>
        <v>0</v>
      </c>
      <c r="V1001" s="511">
        <f t="shared" si="294"/>
        <v>0</v>
      </c>
      <c r="X1001" s="38">
        <f>'[2]Приложение 1'!T996</f>
        <v>0</v>
      </c>
      <c r="Y1001" s="9">
        <f t="shared" si="262"/>
        <v>3334</v>
      </c>
      <c r="Z1001" s="19">
        <f t="shared" si="263"/>
        <v>-3334</v>
      </c>
    </row>
    <row r="1002" spans="1:26" s="27" customFormat="1" ht="10.5" customHeight="1">
      <c r="A1002" s="510">
        <v>228</v>
      </c>
      <c r="B1002" s="737" t="s">
        <v>1070</v>
      </c>
      <c r="C1002" s="58" t="s">
        <v>1192</v>
      </c>
      <c r="D1002" s="61" t="s">
        <v>110</v>
      </c>
      <c r="E1002" s="511">
        <f t="shared" ref="E1002" si="295">F1002+H1002+L1002+N1002+P1002+R1002+S1002+T1002+U1002+V1002</f>
        <v>2133026.52</v>
      </c>
      <c r="F1002" s="511">
        <v>0</v>
      </c>
      <c r="G1002" s="17">
        <v>0</v>
      </c>
      <c r="H1002" s="511">
        <v>0</v>
      </c>
      <c r="I1002" s="511">
        <v>639.78</v>
      </c>
      <c r="J1002" s="511"/>
      <c r="K1002" s="511"/>
      <c r="L1002" s="511">
        <f t="shared" ref="L1002" si="296">ROUND(3334*I1002,2)</f>
        <v>2133026.52</v>
      </c>
      <c r="M1002" s="511">
        <v>0</v>
      </c>
      <c r="N1002" s="511">
        <v>0</v>
      </c>
      <c r="O1002" s="511">
        <v>0</v>
      </c>
      <c r="P1002" s="511">
        <v>0</v>
      </c>
      <c r="Q1002" s="511">
        <v>0</v>
      </c>
      <c r="R1002" s="511">
        <v>0</v>
      </c>
      <c r="S1002" s="511">
        <v>0</v>
      </c>
      <c r="T1002" s="511">
        <v>0</v>
      </c>
      <c r="U1002" s="511">
        <v>0</v>
      </c>
      <c r="V1002" s="511">
        <v>0</v>
      </c>
      <c r="X1002" s="38">
        <f>'[2]Приложение 1'!T997</f>
        <v>0</v>
      </c>
      <c r="Y1002" s="9">
        <f t="shared" si="262"/>
        <v>3334</v>
      </c>
      <c r="Z1002" s="19">
        <f t="shared" si="263"/>
        <v>-3334</v>
      </c>
    </row>
    <row r="1003" spans="1:26" s="27" customFormat="1" ht="11.25" customHeight="1">
      <c r="A1003" s="883" t="s">
        <v>429</v>
      </c>
      <c r="B1003" s="883"/>
      <c r="C1003" s="883"/>
      <c r="D1003" s="883"/>
      <c r="E1003" s="883"/>
      <c r="F1003" s="883"/>
      <c r="G1003" s="883"/>
      <c r="H1003" s="883"/>
      <c r="I1003" s="883"/>
      <c r="J1003" s="883"/>
      <c r="K1003" s="883"/>
      <c r="L1003" s="883"/>
      <c r="M1003" s="883"/>
      <c r="N1003" s="883"/>
      <c r="O1003" s="883"/>
      <c r="P1003" s="883"/>
      <c r="Q1003" s="883"/>
      <c r="R1003" s="883"/>
      <c r="S1003" s="883"/>
      <c r="T1003" s="883"/>
      <c r="U1003" s="883"/>
      <c r="V1003" s="883"/>
      <c r="X1003" s="38">
        <f>'[2]Приложение 1'!T998</f>
        <v>4180</v>
      </c>
      <c r="Y1003" s="9" t="e">
        <f t="shared" si="262"/>
        <v>#DIV/0!</v>
      </c>
      <c r="Z1003" s="19" t="e">
        <f t="shared" si="263"/>
        <v>#DIV/0!</v>
      </c>
    </row>
    <row r="1004" spans="1:26" s="27" customFormat="1" ht="24.75" customHeight="1">
      <c r="A1004" s="900" t="s">
        <v>456</v>
      </c>
      <c r="B1004" s="900"/>
      <c r="C1004" s="58"/>
      <c r="D1004" s="58"/>
      <c r="E1004" s="511">
        <f>SUM(E1005:E1006)</f>
        <v>2988216</v>
      </c>
      <c r="F1004" s="511">
        <f t="shared" ref="F1004:V1005" si="297">SUM(F1005:F1006)</f>
        <v>0</v>
      </c>
      <c r="G1004" s="17">
        <f t="shared" si="297"/>
        <v>0</v>
      </c>
      <c r="H1004" s="511">
        <f t="shared" si="297"/>
        <v>0</v>
      </c>
      <c r="I1004" s="511">
        <f t="shared" si="297"/>
        <v>924</v>
      </c>
      <c r="J1004" s="511">
        <f t="shared" si="297"/>
        <v>0</v>
      </c>
      <c r="K1004" s="511">
        <f t="shared" si="297"/>
        <v>0</v>
      </c>
      <c r="L1004" s="511">
        <f t="shared" si="297"/>
        <v>2988216</v>
      </c>
      <c r="M1004" s="511">
        <f t="shared" si="297"/>
        <v>0</v>
      </c>
      <c r="N1004" s="511">
        <f t="shared" si="297"/>
        <v>0</v>
      </c>
      <c r="O1004" s="511">
        <f t="shared" si="297"/>
        <v>0</v>
      </c>
      <c r="P1004" s="511">
        <f t="shared" si="297"/>
        <v>0</v>
      </c>
      <c r="Q1004" s="511">
        <f t="shared" si="297"/>
        <v>0</v>
      </c>
      <c r="R1004" s="511">
        <f t="shared" si="297"/>
        <v>0</v>
      </c>
      <c r="S1004" s="511">
        <f t="shared" si="297"/>
        <v>0</v>
      </c>
      <c r="T1004" s="511">
        <f t="shared" si="297"/>
        <v>0</v>
      </c>
      <c r="U1004" s="511">
        <f t="shared" si="297"/>
        <v>0</v>
      </c>
      <c r="V1004" s="511">
        <f t="shared" si="297"/>
        <v>0</v>
      </c>
      <c r="X1004" s="38">
        <f>'[2]Приложение 1'!T999</f>
        <v>0</v>
      </c>
      <c r="Y1004" s="9">
        <f t="shared" si="262"/>
        <v>3234</v>
      </c>
      <c r="Z1004" s="19">
        <f t="shared" si="263"/>
        <v>-3234</v>
      </c>
    </row>
    <row r="1005" spans="1:26" s="27" customFormat="1" ht="9" customHeight="1">
      <c r="A1005" s="510">
        <v>229</v>
      </c>
      <c r="B1005" s="737" t="s">
        <v>961</v>
      </c>
      <c r="C1005" s="58" t="s">
        <v>1192</v>
      </c>
      <c r="D1005" s="61" t="s">
        <v>111</v>
      </c>
      <c r="E1005" s="511">
        <f t="shared" ref="E1005" si="298">F1005+H1005+L1005+N1005+P1005+R1005+S1005+T1005+U1005+V1005</f>
        <v>2988216</v>
      </c>
      <c r="F1005" s="511">
        <f t="shared" si="297"/>
        <v>0</v>
      </c>
      <c r="G1005" s="17">
        <f t="shared" si="297"/>
        <v>0</v>
      </c>
      <c r="H1005" s="511">
        <f t="shared" si="297"/>
        <v>0</v>
      </c>
      <c r="I1005" s="19">
        <v>924</v>
      </c>
      <c r="J1005" s="511"/>
      <c r="K1005" s="511"/>
      <c r="L1005" s="511">
        <f>ROUND(3234*I1005,2)</f>
        <v>2988216</v>
      </c>
      <c r="M1005" s="511">
        <f t="shared" si="297"/>
        <v>0</v>
      </c>
      <c r="N1005" s="511">
        <f t="shared" si="297"/>
        <v>0</v>
      </c>
      <c r="O1005" s="511">
        <f t="shared" si="297"/>
        <v>0</v>
      </c>
      <c r="P1005" s="511">
        <f t="shared" si="297"/>
        <v>0</v>
      </c>
      <c r="Q1005" s="511">
        <f t="shared" si="297"/>
        <v>0</v>
      </c>
      <c r="R1005" s="511">
        <f t="shared" si="297"/>
        <v>0</v>
      </c>
      <c r="S1005" s="511">
        <f t="shared" si="297"/>
        <v>0</v>
      </c>
      <c r="T1005" s="511">
        <f t="shared" si="297"/>
        <v>0</v>
      </c>
      <c r="U1005" s="511">
        <f t="shared" si="297"/>
        <v>0</v>
      </c>
      <c r="V1005" s="511">
        <f t="shared" si="297"/>
        <v>0</v>
      </c>
      <c r="X1005" s="38">
        <f>'[2]Приложение 1'!T1000</f>
        <v>0</v>
      </c>
      <c r="Y1005" s="9">
        <f t="shared" si="262"/>
        <v>3234</v>
      </c>
      <c r="Z1005" s="19">
        <f t="shared" si="263"/>
        <v>-3234</v>
      </c>
    </row>
    <row r="1006" spans="1:26" s="27" customFormat="1" ht="9" customHeight="1">
      <c r="A1006" s="883" t="s">
        <v>29</v>
      </c>
      <c r="B1006" s="883"/>
      <c r="C1006" s="883"/>
      <c r="D1006" s="883"/>
      <c r="E1006" s="883"/>
      <c r="F1006" s="883"/>
      <c r="G1006" s="883"/>
      <c r="H1006" s="883"/>
      <c r="I1006" s="883"/>
      <c r="J1006" s="883"/>
      <c r="K1006" s="883"/>
      <c r="L1006" s="883"/>
      <c r="M1006" s="883"/>
      <c r="N1006" s="883"/>
      <c r="O1006" s="883"/>
      <c r="P1006" s="883"/>
      <c r="Q1006" s="883"/>
      <c r="R1006" s="883"/>
      <c r="S1006" s="883"/>
      <c r="T1006" s="883"/>
      <c r="U1006" s="883"/>
      <c r="V1006" s="883"/>
      <c r="X1006" s="38">
        <f>'[2]Приложение 1'!T1001</f>
        <v>4503.95</v>
      </c>
      <c r="Y1006" s="9" t="e">
        <f t="shared" si="262"/>
        <v>#DIV/0!</v>
      </c>
      <c r="Z1006" s="19" t="e">
        <f t="shared" si="263"/>
        <v>#DIV/0!</v>
      </c>
    </row>
    <row r="1007" spans="1:26" s="27" customFormat="1" ht="24.75" customHeight="1">
      <c r="A1007" s="900" t="s">
        <v>30</v>
      </c>
      <c r="B1007" s="900"/>
      <c r="C1007" s="58"/>
      <c r="D1007" s="58"/>
      <c r="E1007" s="511">
        <f>SUM(E1008:E1009)</f>
        <v>4136286</v>
      </c>
      <c r="F1007" s="511">
        <f t="shared" ref="F1007:V1007" si="299">SUM(F1008:F1009)</f>
        <v>0</v>
      </c>
      <c r="G1007" s="17">
        <f t="shared" si="299"/>
        <v>0</v>
      </c>
      <c r="H1007" s="511">
        <f t="shared" si="299"/>
        <v>0</v>
      </c>
      <c r="I1007" s="511">
        <f t="shared" si="299"/>
        <v>1279</v>
      </c>
      <c r="J1007" s="511">
        <f t="shared" si="299"/>
        <v>0</v>
      </c>
      <c r="K1007" s="511">
        <f t="shared" si="299"/>
        <v>0</v>
      </c>
      <c r="L1007" s="511">
        <f t="shared" si="299"/>
        <v>4136286</v>
      </c>
      <c r="M1007" s="511">
        <f t="shared" si="299"/>
        <v>0</v>
      </c>
      <c r="N1007" s="511">
        <f t="shared" si="299"/>
        <v>0</v>
      </c>
      <c r="O1007" s="511">
        <f t="shared" si="299"/>
        <v>0</v>
      </c>
      <c r="P1007" s="511">
        <f t="shared" si="299"/>
        <v>0</v>
      </c>
      <c r="Q1007" s="511">
        <f t="shared" si="299"/>
        <v>0</v>
      </c>
      <c r="R1007" s="511">
        <f t="shared" si="299"/>
        <v>0</v>
      </c>
      <c r="S1007" s="511">
        <f t="shared" si="299"/>
        <v>0</v>
      </c>
      <c r="T1007" s="511">
        <f t="shared" si="299"/>
        <v>0</v>
      </c>
      <c r="U1007" s="511">
        <f t="shared" si="299"/>
        <v>0</v>
      </c>
      <c r="V1007" s="511">
        <f t="shared" si="299"/>
        <v>0</v>
      </c>
      <c r="X1007" s="38">
        <f>'[2]Приложение 1'!T1002</f>
        <v>0</v>
      </c>
      <c r="Y1007" s="9">
        <f t="shared" si="262"/>
        <v>3234</v>
      </c>
      <c r="Z1007" s="19">
        <f t="shared" si="263"/>
        <v>-3234</v>
      </c>
    </row>
    <row r="1008" spans="1:26" s="27" customFormat="1" ht="9" customHeight="1">
      <c r="A1008" s="510">
        <v>230</v>
      </c>
      <c r="B1008" s="737" t="s">
        <v>966</v>
      </c>
      <c r="C1008" s="58" t="s">
        <v>1192</v>
      </c>
      <c r="D1008" s="61" t="s">
        <v>111</v>
      </c>
      <c r="E1008" s="511">
        <f t="shared" ref="E1008:E1009" si="300">F1008+H1008+L1008+N1008+P1008+R1008+S1008+T1008+U1008+V1008</f>
        <v>2606604</v>
      </c>
      <c r="F1008" s="511">
        <v>0</v>
      </c>
      <c r="G1008" s="17">
        <v>0</v>
      </c>
      <c r="H1008" s="511">
        <v>0</v>
      </c>
      <c r="I1008" s="511">
        <v>806</v>
      </c>
      <c r="J1008" s="511"/>
      <c r="K1008" s="511"/>
      <c r="L1008" s="511">
        <f>ROUND(3234*I1008,2)</f>
        <v>2606604</v>
      </c>
      <c r="M1008" s="511">
        <v>0</v>
      </c>
      <c r="N1008" s="511">
        <v>0</v>
      </c>
      <c r="O1008" s="511">
        <v>0</v>
      </c>
      <c r="P1008" s="511">
        <v>0</v>
      </c>
      <c r="Q1008" s="511">
        <v>0</v>
      </c>
      <c r="R1008" s="511">
        <v>0</v>
      </c>
      <c r="S1008" s="511">
        <v>0</v>
      </c>
      <c r="T1008" s="511">
        <v>0</v>
      </c>
      <c r="U1008" s="511">
        <v>0</v>
      </c>
      <c r="V1008" s="511">
        <v>0</v>
      </c>
      <c r="X1008" s="38">
        <f>'[2]Приложение 1'!T1003</f>
        <v>0</v>
      </c>
      <c r="Y1008" s="9">
        <f t="shared" si="262"/>
        <v>3234</v>
      </c>
      <c r="Z1008" s="19">
        <f t="shared" si="263"/>
        <v>-3234</v>
      </c>
    </row>
    <row r="1009" spans="1:26" s="27" customFormat="1" ht="9" customHeight="1">
      <c r="A1009" s="510">
        <v>231</v>
      </c>
      <c r="B1009" s="737" t="s">
        <v>967</v>
      </c>
      <c r="C1009" s="58" t="s">
        <v>1192</v>
      </c>
      <c r="D1009" s="61" t="s">
        <v>111</v>
      </c>
      <c r="E1009" s="511">
        <f t="shared" si="300"/>
        <v>1529682</v>
      </c>
      <c r="F1009" s="511">
        <v>0</v>
      </c>
      <c r="G1009" s="17">
        <v>0</v>
      </c>
      <c r="H1009" s="511">
        <v>0</v>
      </c>
      <c r="I1009" s="511">
        <v>473</v>
      </c>
      <c r="J1009" s="511"/>
      <c r="K1009" s="511"/>
      <c r="L1009" s="511">
        <f>ROUND(3234*I1009,2)</f>
        <v>1529682</v>
      </c>
      <c r="M1009" s="511">
        <v>0</v>
      </c>
      <c r="N1009" s="511">
        <v>0</v>
      </c>
      <c r="O1009" s="511">
        <v>0</v>
      </c>
      <c r="P1009" s="511">
        <v>0</v>
      </c>
      <c r="Q1009" s="511">
        <v>0</v>
      </c>
      <c r="R1009" s="511">
        <v>0</v>
      </c>
      <c r="S1009" s="511">
        <v>0</v>
      </c>
      <c r="T1009" s="511">
        <v>0</v>
      </c>
      <c r="U1009" s="511">
        <v>0</v>
      </c>
      <c r="V1009" s="511">
        <v>0</v>
      </c>
      <c r="X1009" s="38">
        <f>'[2]Приложение 1'!T1004</f>
        <v>4503.95</v>
      </c>
      <c r="Y1009" s="9">
        <f t="shared" si="262"/>
        <v>3234</v>
      </c>
      <c r="Z1009" s="19">
        <f t="shared" si="263"/>
        <v>1269.9499999999998</v>
      </c>
    </row>
    <row r="1010" spans="1:26" s="27" customFormat="1" ht="9" customHeight="1">
      <c r="A1010" s="882" t="s">
        <v>35</v>
      </c>
      <c r="B1010" s="882"/>
      <c r="C1010" s="882"/>
      <c r="D1010" s="882"/>
      <c r="E1010" s="882"/>
      <c r="F1010" s="882"/>
      <c r="G1010" s="882"/>
      <c r="H1010" s="882"/>
      <c r="I1010" s="882"/>
      <c r="J1010" s="882"/>
      <c r="K1010" s="882"/>
      <c r="L1010" s="882"/>
      <c r="M1010" s="882"/>
      <c r="N1010" s="882"/>
      <c r="O1010" s="882"/>
      <c r="P1010" s="882"/>
      <c r="Q1010" s="882"/>
      <c r="R1010" s="882"/>
      <c r="S1010" s="882"/>
      <c r="T1010" s="882"/>
      <c r="U1010" s="882"/>
      <c r="V1010" s="882"/>
      <c r="X1010" s="38">
        <f>'[2]Приложение 1'!T1005</f>
        <v>4503.95</v>
      </c>
      <c r="Y1010" s="9" t="e">
        <f t="shared" si="262"/>
        <v>#DIV/0!</v>
      </c>
      <c r="Z1010" s="19" t="e">
        <f t="shared" si="263"/>
        <v>#DIV/0!</v>
      </c>
    </row>
    <row r="1011" spans="1:26" s="27" customFormat="1" ht="21.75" customHeight="1">
      <c r="A1011" s="900" t="s">
        <v>36</v>
      </c>
      <c r="B1011" s="900"/>
      <c r="C1011" s="58"/>
      <c r="D1011" s="58"/>
      <c r="E1011" s="511">
        <f>SUM(E1012:E1016)</f>
        <v>8823742</v>
      </c>
      <c r="F1011" s="511">
        <f t="shared" ref="F1011:V1011" si="301">SUM(F1012:F1016)</f>
        <v>0</v>
      </c>
      <c r="G1011" s="17">
        <f t="shared" si="301"/>
        <v>0</v>
      </c>
      <c r="H1011" s="511">
        <f t="shared" si="301"/>
        <v>0</v>
      </c>
      <c r="I1011" s="511">
        <f t="shared" si="301"/>
        <v>2713</v>
      </c>
      <c r="J1011" s="511">
        <f t="shared" si="301"/>
        <v>0</v>
      </c>
      <c r="K1011" s="511">
        <f t="shared" si="301"/>
        <v>0</v>
      </c>
      <c r="L1011" s="511">
        <f t="shared" si="301"/>
        <v>8823742</v>
      </c>
      <c r="M1011" s="511">
        <f t="shared" si="301"/>
        <v>0</v>
      </c>
      <c r="N1011" s="511">
        <f t="shared" si="301"/>
        <v>0</v>
      </c>
      <c r="O1011" s="511">
        <f t="shared" si="301"/>
        <v>0</v>
      </c>
      <c r="P1011" s="511">
        <f t="shared" si="301"/>
        <v>0</v>
      </c>
      <c r="Q1011" s="511">
        <f t="shared" si="301"/>
        <v>0</v>
      </c>
      <c r="R1011" s="511">
        <f t="shared" si="301"/>
        <v>0</v>
      </c>
      <c r="S1011" s="511">
        <f t="shared" si="301"/>
        <v>0</v>
      </c>
      <c r="T1011" s="511">
        <f t="shared" si="301"/>
        <v>0</v>
      </c>
      <c r="U1011" s="511">
        <f t="shared" si="301"/>
        <v>0</v>
      </c>
      <c r="V1011" s="511">
        <f t="shared" si="301"/>
        <v>0</v>
      </c>
      <c r="X1011" s="38">
        <f>'[2]Приложение 1'!T1006</f>
        <v>0</v>
      </c>
      <c r="Y1011" s="9">
        <f t="shared" si="262"/>
        <v>3252.3929229635091</v>
      </c>
      <c r="Z1011" s="19">
        <f t="shared" si="263"/>
        <v>-3252.3929229635091</v>
      </c>
    </row>
    <row r="1012" spans="1:26" s="27" customFormat="1" ht="9" customHeight="1">
      <c r="A1012" s="510">
        <v>232</v>
      </c>
      <c r="B1012" s="737" t="s">
        <v>975</v>
      </c>
      <c r="C1012" s="58" t="s">
        <v>1192</v>
      </c>
      <c r="D1012" s="61" t="s">
        <v>111</v>
      </c>
      <c r="E1012" s="511">
        <f t="shared" ref="E1012:E1016" si="302">F1012+H1012+L1012+N1012+P1012+R1012+S1012+T1012+U1012+V1012</f>
        <v>834372</v>
      </c>
      <c r="F1012" s="511">
        <v>0</v>
      </c>
      <c r="G1012" s="17">
        <v>0</v>
      </c>
      <c r="H1012" s="511">
        <v>0</v>
      </c>
      <c r="I1012" s="511">
        <v>258</v>
      </c>
      <c r="J1012" s="21"/>
      <c r="K1012" s="511"/>
      <c r="L1012" s="511">
        <f>ROUND(3234*I1012,2)</f>
        <v>834372</v>
      </c>
      <c r="M1012" s="511">
        <v>0</v>
      </c>
      <c r="N1012" s="511">
        <v>0</v>
      </c>
      <c r="O1012" s="511">
        <v>0</v>
      </c>
      <c r="P1012" s="511">
        <v>0</v>
      </c>
      <c r="Q1012" s="511">
        <v>0</v>
      </c>
      <c r="R1012" s="511">
        <v>0</v>
      </c>
      <c r="S1012" s="511">
        <v>0</v>
      </c>
      <c r="T1012" s="511">
        <v>0</v>
      </c>
      <c r="U1012" s="511">
        <v>0</v>
      </c>
      <c r="V1012" s="511">
        <v>0</v>
      </c>
      <c r="X1012" s="38">
        <f>'[2]Приложение 1'!T1007</f>
        <v>0</v>
      </c>
      <c r="Y1012" s="9">
        <f t="shared" si="262"/>
        <v>3234</v>
      </c>
      <c r="Z1012" s="19">
        <f t="shared" si="263"/>
        <v>-3234</v>
      </c>
    </row>
    <row r="1013" spans="1:26" s="27" customFormat="1" ht="9" customHeight="1">
      <c r="A1013" s="510">
        <v>233</v>
      </c>
      <c r="B1013" s="737" t="s">
        <v>976</v>
      </c>
      <c r="C1013" s="58" t="s">
        <v>1192</v>
      </c>
      <c r="D1013" s="61" t="s">
        <v>111</v>
      </c>
      <c r="E1013" s="511">
        <f t="shared" si="302"/>
        <v>3253404</v>
      </c>
      <c r="F1013" s="511">
        <v>0</v>
      </c>
      <c r="G1013" s="17">
        <v>0</v>
      </c>
      <c r="H1013" s="511">
        <v>0</v>
      </c>
      <c r="I1013" s="511">
        <v>1006</v>
      </c>
      <c r="J1013" s="21"/>
      <c r="K1013" s="511"/>
      <c r="L1013" s="511">
        <f>ROUND(3234*I1013,2)</f>
        <v>3253404</v>
      </c>
      <c r="M1013" s="511">
        <v>0</v>
      </c>
      <c r="N1013" s="511">
        <v>0</v>
      </c>
      <c r="O1013" s="511">
        <v>0</v>
      </c>
      <c r="P1013" s="511">
        <v>0</v>
      </c>
      <c r="Q1013" s="511">
        <v>0</v>
      </c>
      <c r="R1013" s="511">
        <v>0</v>
      </c>
      <c r="S1013" s="511">
        <v>0</v>
      </c>
      <c r="T1013" s="511">
        <v>0</v>
      </c>
      <c r="U1013" s="511">
        <v>0</v>
      </c>
      <c r="V1013" s="511">
        <v>0</v>
      </c>
      <c r="X1013" s="38">
        <f>'[2]Приложение 1'!T1008</f>
        <v>4503.95</v>
      </c>
      <c r="Y1013" s="9">
        <f t="shared" si="262"/>
        <v>3234</v>
      </c>
      <c r="Z1013" s="19">
        <f t="shared" si="263"/>
        <v>1269.9499999999998</v>
      </c>
    </row>
    <row r="1014" spans="1:26" s="27" customFormat="1" ht="9" customHeight="1">
      <c r="A1014" s="510">
        <v>234</v>
      </c>
      <c r="B1014" s="737" t="s">
        <v>977</v>
      </c>
      <c r="C1014" s="58" t="s">
        <v>1192</v>
      </c>
      <c r="D1014" s="61" t="s">
        <v>110</v>
      </c>
      <c r="E1014" s="511">
        <f t="shared" si="302"/>
        <v>1663666</v>
      </c>
      <c r="F1014" s="511">
        <v>0</v>
      </c>
      <c r="G1014" s="17">
        <v>0</v>
      </c>
      <c r="H1014" s="511">
        <v>0</v>
      </c>
      <c r="I1014" s="511">
        <v>499</v>
      </c>
      <c r="J1014" s="21"/>
      <c r="K1014" s="511"/>
      <c r="L1014" s="511">
        <f t="shared" ref="L1014" si="303">ROUND(3334*I1014,2)</f>
        <v>1663666</v>
      </c>
      <c r="M1014" s="511">
        <v>0</v>
      </c>
      <c r="N1014" s="511">
        <v>0</v>
      </c>
      <c r="O1014" s="511">
        <v>0</v>
      </c>
      <c r="P1014" s="511">
        <v>0</v>
      </c>
      <c r="Q1014" s="511">
        <v>0</v>
      </c>
      <c r="R1014" s="511">
        <v>0</v>
      </c>
      <c r="S1014" s="511">
        <v>0</v>
      </c>
      <c r="T1014" s="511">
        <v>0</v>
      </c>
      <c r="U1014" s="511">
        <v>0</v>
      </c>
      <c r="V1014" s="511">
        <v>0</v>
      </c>
      <c r="X1014" s="38">
        <f>'[2]Приложение 1'!T1009</f>
        <v>4503.95</v>
      </c>
      <c r="Y1014" s="9">
        <f t="shared" si="262"/>
        <v>3334</v>
      </c>
      <c r="Z1014" s="19">
        <f t="shared" si="263"/>
        <v>1169.9499999999998</v>
      </c>
    </row>
    <row r="1015" spans="1:26" s="27" customFormat="1" ht="9" customHeight="1">
      <c r="A1015" s="510">
        <v>235</v>
      </c>
      <c r="B1015" s="737" t="s">
        <v>978</v>
      </c>
      <c r="C1015" s="58" t="s">
        <v>1192</v>
      </c>
      <c r="D1015" s="61" t="s">
        <v>111</v>
      </c>
      <c r="E1015" s="511">
        <f t="shared" si="302"/>
        <v>2441670</v>
      </c>
      <c r="F1015" s="511">
        <v>0</v>
      </c>
      <c r="G1015" s="17">
        <v>0</v>
      </c>
      <c r="H1015" s="511">
        <v>0</v>
      </c>
      <c r="I1015" s="511">
        <v>755</v>
      </c>
      <c r="J1015" s="21"/>
      <c r="K1015" s="511"/>
      <c r="L1015" s="511">
        <f>ROUND(3234*I1015,2)</f>
        <v>2441670</v>
      </c>
      <c r="M1015" s="511">
        <v>0</v>
      </c>
      <c r="N1015" s="511">
        <v>0</v>
      </c>
      <c r="O1015" s="511">
        <v>0</v>
      </c>
      <c r="P1015" s="511">
        <v>0</v>
      </c>
      <c r="Q1015" s="511">
        <v>0</v>
      </c>
      <c r="R1015" s="511">
        <v>0</v>
      </c>
      <c r="S1015" s="511">
        <v>0</v>
      </c>
      <c r="T1015" s="511">
        <v>0</v>
      </c>
      <c r="U1015" s="511">
        <v>0</v>
      </c>
      <c r="V1015" s="511">
        <v>0</v>
      </c>
      <c r="X1015" s="38">
        <f>'[2]Приложение 1'!T1010</f>
        <v>4180</v>
      </c>
      <c r="Y1015" s="9">
        <f t="shared" si="262"/>
        <v>3234</v>
      </c>
      <c r="Z1015" s="19">
        <f t="shared" si="263"/>
        <v>946</v>
      </c>
    </row>
    <row r="1016" spans="1:26" s="27" customFormat="1" ht="9" customHeight="1">
      <c r="A1016" s="510">
        <v>236</v>
      </c>
      <c r="B1016" s="737" t="s">
        <v>979</v>
      </c>
      <c r="C1016" s="58" t="s">
        <v>1192</v>
      </c>
      <c r="D1016" s="61" t="s">
        <v>111</v>
      </c>
      <c r="E1016" s="511">
        <f t="shared" si="302"/>
        <v>630630</v>
      </c>
      <c r="F1016" s="511">
        <v>0</v>
      </c>
      <c r="G1016" s="17">
        <v>0</v>
      </c>
      <c r="H1016" s="511">
        <v>0</v>
      </c>
      <c r="I1016" s="511">
        <v>195</v>
      </c>
      <c r="J1016" s="21"/>
      <c r="K1016" s="511"/>
      <c r="L1016" s="511">
        <f>ROUND(3234*I1016,2)</f>
        <v>630630</v>
      </c>
      <c r="M1016" s="511">
        <v>0</v>
      </c>
      <c r="N1016" s="511">
        <v>0</v>
      </c>
      <c r="O1016" s="511">
        <v>0</v>
      </c>
      <c r="P1016" s="511">
        <v>0</v>
      </c>
      <c r="Q1016" s="511">
        <v>0</v>
      </c>
      <c r="R1016" s="511">
        <v>0</v>
      </c>
      <c r="S1016" s="511">
        <v>0</v>
      </c>
      <c r="T1016" s="511">
        <v>0</v>
      </c>
      <c r="U1016" s="511">
        <v>0</v>
      </c>
      <c r="V1016" s="511">
        <v>0</v>
      </c>
      <c r="X1016" s="38">
        <f>'[2]Приложение 1'!T1011</f>
        <v>4503.95</v>
      </c>
      <c r="Y1016" s="9">
        <f t="shared" si="262"/>
        <v>3234</v>
      </c>
      <c r="Z1016" s="19">
        <f t="shared" si="263"/>
        <v>1269.9499999999998</v>
      </c>
    </row>
    <row r="1017" spans="1:26" s="27" customFormat="1" ht="9" customHeight="1">
      <c r="A1017" s="882" t="s">
        <v>40</v>
      </c>
      <c r="B1017" s="882"/>
      <c r="C1017" s="882"/>
      <c r="D1017" s="882"/>
      <c r="E1017" s="882"/>
      <c r="F1017" s="882"/>
      <c r="G1017" s="882"/>
      <c r="H1017" s="882"/>
      <c r="I1017" s="882"/>
      <c r="J1017" s="882"/>
      <c r="K1017" s="882"/>
      <c r="L1017" s="882"/>
      <c r="M1017" s="882"/>
      <c r="N1017" s="882"/>
      <c r="O1017" s="882"/>
      <c r="P1017" s="882"/>
      <c r="Q1017" s="882"/>
      <c r="R1017" s="882"/>
      <c r="S1017" s="882"/>
      <c r="T1017" s="882"/>
      <c r="U1017" s="882"/>
      <c r="V1017" s="882"/>
      <c r="X1017" s="38">
        <f>'[2]Приложение 1'!T1012</f>
        <v>4503.95</v>
      </c>
      <c r="Y1017" s="9" t="e">
        <f t="shared" si="262"/>
        <v>#DIV/0!</v>
      </c>
      <c r="Z1017" s="19" t="e">
        <f t="shared" si="263"/>
        <v>#DIV/0!</v>
      </c>
    </row>
    <row r="1018" spans="1:26" s="27" customFormat="1" ht="25.5" customHeight="1">
      <c r="A1018" s="900" t="s">
        <v>39</v>
      </c>
      <c r="B1018" s="900"/>
      <c r="C1018" s="58"/>
      <c r="D1018" s="58"/>
      <c r="E1018" s="511">
        <f>SUM(E1019:E1021)</f>
        <v>3318084</v>
      </c>
      <c r="F1018" s="511">
        <f t="shared" ref="F1018:V1018" si="304">SUM(F1019:F1021)</f>
        <v>0</v>
      </c>
      <c r="G1018" s="17">
        <f t="shared" si="304"/>
        <v>0</v>
      </c>
      <c r="H1018" s="511">
        <f t="shared" si="304"/>
        <v>0</v>
      </c>
      <c r="I1018" s="511">
        <f t="shared" si="304"/>
        <v>1026</v>
      </c>
      <c r="J1018" s="511">
        <f t="shared" si="304"/>
        <v>0</v>
      </c>
      <c r="K1018" s="511">
        <f t="shared" si="304"/>
        <v>0</v>
      </c>
      <c r="L1018" s="511">
        <f t="shared" si="304"/>
        <v>3318084</v>
      </c>
      <c r="M1018" s="511">
        <f t="shared" si="304"/>
        <v>0</v>
      </c>
      <c r="N1018" s="511">
        <f t="shared" si="304"/>
        <v>0</v>
      </c>
      <c r="O1018" s="511">
        <f t="shared" si="304"/>
        <v>0</v>
      </c>
      <c r="P1018" s="511">
        <f t="shared" si="304"/>
        <v>0</v>
      </c>
      <c r="Q1018" s="511">
        <f t="shared" si="304"/>
        <v>0</v>
      </c>
      <c r="R1018" s="511">
        <f t="shared" si="304"/>
        <v>0</v>
      </c>
      <c r="S1018" s="511">
        <f t="shared" si="304"/>
        <v>0</v>
      </c>
      <c r="T1018" s="511">
        <f t="shared" si="304"/>
        <v>0</v>
      </c>
      <c r="U1018" s="511">
        <f t="shared" si="304"/>
        <v>0</v>
      </c>
      <c r="V1018" s="511">
        <f t="shared" si="304"/>
        <v>0</v>
      </c>
      <c r="X1018" s="38">
        <f>'[2]Приложение 1'!T1013</f>
        <v>0</v>
      </c>
      <c r="Y1018" s="9">
        <f t="shared" si="262"/>
        <v>3234</v>
      </c>
      <c r="Z1018" s="19">
        <f t="shared" si="263"/>
        <v>-3234</v>
      </c>
    </row>
    <row r="1019" spans="1:26" s="27" customFormat="1" ht="9" customHeight="1">
      <c r="A1019" s="510">
        <v>237</v>
      </c>
      <c r="B1019" s="737" t="s">
        <v>999</v>
      </c>
      <c r="C1019" s="58" t="s">
        <v>1192</v>
      </c>
      <c r="D1019" s="61" t="s">
        <v>111</v>
      </c>
      <c r="E1019" s="511">
        <f t="shared" ref="E1019:E1021" si="305">F1019+H1019+L1019+N1019+P1019+R1019+S1019+T1019+U1019+V1019</f>
        <v>1106028</v>
      </c>
      <c r="F1019" s="511">
        <v>0</v>
      </c>
      <c r="G1019" s="17">
        <v>0</v>
      </c>
      <c r="H1019" s="511">
        <v>0</v>
      </c>
      <c r="I1019" s="511">
        <v>342</v>
      </c>
      <c r="J1019" s="511"/>
      <c r="K1019" s="511"/>
      <c r="L1019" s="511">
        <f>ROUND(3234*I1019,2)</f>
        <v>1106028</v>
      </c>
      <c r="M1019" s="511">
        <v>0</v>
      </c>
      <c r="N1019" s="511">
        <v>0</v>
      </c>
      <c r="O1019" s="511">
        <v>0</v>
      </c>
      <c r="P1019" s="511">
        <v>0</v>
      </c>
      <c r="Q1019" s="511">
        <v>0</v>
      </c>
      <c r="R1019" s="511">
        <v>0</v>
      </c>
      <c r="S1019" s="511">
        <v>0</v>
      </c>
      <c r="T1019" s="511">
        <v>0</v>
      </c>
      <c r="U1019" s="511">
        <v>0</v>
      </c>
      <c r="V1019" s="511">
        <v>0</v>
      </c>
      <c r="W1019" s="32"/>
      <c r="X1019" s="38">
        <f>'[2]Приложение 1'!T1014</f>
        <v>0</v>
      </c>
      <c r="Y1019" s="9">
        <f t="shared" si="262"/>
        <v>3234</v>
      </c>
      <c r="Z1019" s="19">
        <f t="shared" si="263"/>
        <v>-3234</v>
      </c>
    </row>
    <row r="1020" spans="1:26" s="27" customFormat="1" ht="9" customHeight="1">
      <c r="A1020" s="510">
        <v>238</v>
      </c>
      <c r="B1020" s="737" t="s">
        <v>1000</v>
      </c>
      <c r="C1020" s="58" t="s">
        <v>1192</v>
      </c>
      <c r="D1020" s="61" t="s">
        <v>111</v>
      </c>
      <c r="E1020" s="511">
        <f t="shared" si="305"/>
        <v>1106028</v>
      </c>
      <c r="F1020" s="511">
        <v>0</v>
      </c>
      <c r="G1020" s="17">
        <v>0</v>
      </c>
      <c r="H1020" s="511">
        <v>0</v>
      </c>
      <c r="I1020" s="511">
        <v>342</v>
      </c>
      <c r="J1020" s="511"/>
      <c r="K1020" s="511"/>
      <c r="L1020" s="511">
        <f>ROUND(3234*I1020,2)</f>
        <v>1106028</v>
      </c>
      <c r="M1020" s="511">
        <v>0</v>
      </c>
      <c r="N1020" s="511">
        <v>0</v>
      </c>
      <c r="O1020" s="511">
        <v>0</v>
      </c>
      <c r="P1020" s="511">
        <v>0</v>
      </c>
      <c r="Q1020" s="511">
        <v>0</v>
      </c>
      <c r="R1020" s="511">
        <v>0</v>
      </c>
      <c r="S1020" s="511">
        <v>0</v>
      </c>
      <c r="T1020" s="511">
        <v>0</v>
      </c>
      <c r="U1020" s="511">
        <v>0</v>
      </c>
      <c r="V1020" s="511">
        <v>0</v>
      </c>
      <c r="W1020" s="32"/>
      <c r="X1020" s="38">
        <f>'[2]Приложение 1'!T1015</f>
        <v>4503.95</v>
      </c>
      <c r="Y1020" s="9">
        <f t="shared" si="262"/>
        <v>3234</v>
      </c>
      <c r="Z1020" s="19">
        <f t="shared" si="263"/>
        <v>1269.9499999999998</v>
      </c>
    </row>
    <row r="1021" spans="1:26" s="27" customFormat="1" ht="9" customHeight="1">
      <c r="A1021" s="510">
        <v>239</v>
      </c>
      <c r="B1021" s="737" t="s">
        <v>1001</v>
      </c>
      <c r="C1021" s="58" t="s">
        <v>1192</v>
      </c>
      <c r="D1021" s="61" t="s">
        <v>111</v>
      </c>
      <c r="E1021" s="511">
        <f t="shared" si="305"/>
        <v>1106028</v>
      </c>
      <c r="F1021" s="511">
        <v>0</v>
      </c>
      <c r="G1021" s="17">
        <v>0</v>
      </c>
      <c r="H1021" s="511">
        <v>0</v>
      </c>
      <c r="I1021" s="511">
        <v>342</v>
      </c>
      <c r="J1021" s="511"/>
      <c r="K1021" s="511"/>
      <c r="L1021" s="511">
        <f>ROUND(3234*I1021,2)</f>
        <v>1106028</v>
      </c>
      <c r="M1021" s="511">
        <v>0</v>
      </c>
      <c r="N1021" s="511">
        <v>0</v>
      </c>
      <c r="O1021" s="511">
        <v>0</v>
      </c>
      <c r="P1021" s="511">
        <v>0</v>
      </c>
      <c r="Q1021" s="511">
        <v>0</v>
      </c>
      <c r="R1021" s="511">
        <v>0</v>
      </c>
      <c r="S1021" s="511">
        <v>0</v>
      </c>
      <c r="T1021" s="511">
        <v>0</v>
      </c>
      <c r="U1021" s="511">
        <v>0</v>
      </c>
      <c r="V1021" s="511">
        <v>0</v>
      </c>
      <c r="W1021" s="32"/>
      <c r="X1021" s="38">
        <f>'[2]Приложение 1'!T1016</f>
        <v>4503.95</v>
      </c>
      <c r="Y1021" s="9">
        <f t="shared" si="262"/>
        <v>3234</v>
      </c>
      <c r="Z1021" s="19">
        <f t="shared" si="263"/>
        <v>1269.9499999999998</v>
      </c>
    </row>
    <row r="1022" spans="1:26" s="27" customFormat="1" ht="9" customHeight="1">
      <c r="A1022" s="915" t="s">
        <v>1077</v>
      </c>
      <c r="B1022" s="916"/>
      <c r="C1022" s="916"/>
      <c r="D1022" s="916"/>
      <c r="E1022" s="916"/>
      <c r="F1022" s="916"/>
      <c r="G1022" s="916"/>
      <c r="H1022" s="916"/>
      <c r="I1022" s="916"/>
      <c r="J1022" s="916"/>
      <c r="K1022" s="916"/>
      <c r="L1022" s="916"/>
      <c r="M1022" s="916"/>
      <c r="N1022" s="916"/>
      <c r="O1022" s="916"/>
      <c r="P1022" s="916"/>
      <c r="Q1022" s="916"/>
      <c r="R1022" s="916"/>
      <c r="S1022" s="916"/>
      <c r="T1022" s="916"/>
      <c r="U1022" s="916"/>
      <c r="V1022" s="917"/>
      <c r="W1022" s="32"/>
      <c r="X1022" s="38">
        <f>'[2]Приложение 1'!T1017</f>
        <v>4503.95</v>
      </c>
      <c r="Y1022" s="9" t="e">
        <f t="shared" si="262"/>
        <v>#DIV/0!</v>
      </c>
      <c r="Z1022" s="19" t="e">
        <f t="shared" si="263"/>
        <v>#DIV/0!</v>
      </c>
    </row>
    <row r="1023" spans="1:26" s="27" customFormat="1" ht="26.25" customHeight="1">
      <c r="A1023" s="900" t="s">
        <v>1076</v>
      </c>
      <c r="B1023" s="900"/>
      <c r="C1023" s="58"/>
      <c r="D1023" s="58"/>
      <c r="E1023" s="511">
        <f>SUM(E1024)</f>
        <v>2147096</v>
      </c>
      <c r="F1023" s="511">
        <f t="shared" ref="F1023:V1023" si="306">SUM(F1024)</f>
        <v>0</v>
      </c>
      <c r="G1023" s="17">
        <f t="shared" si="306"/>
        <v>0</v>
      </c>
      <c r="H1023" s="511">
        <f t="shared" si="306"/>
        <v>0</v>
      </c>
      <c r="I1023" s="511">
        <f t="shared" si="306"/>
        <v>644</v>
      </c>
      <c r="J1023" s="511">
        <f t="shared" si="306"/>
        <v>0</v>
      </c>
      <c r="K1023" s="511">
        <f t="shared" si="306"/>
        <v>0</v>
      </c>
      <c r="L1023" s="511">
        <f t="shared" si="306"/>
        <v>2147096</v>
      </c>
      <c r="M1023" s="511">
        <f t="shared" si="306"/>
        <v>0</v>
      </c>
      <c r="N1023" s="511">
        <f t="shared" si="306"/>
        <v>0</v>
      </c>
      <c r="O1023" s="511">
        <f t="shared" si="306"/>
        <v>0</v>
      </c>
      <c r="P1023" s="511">
        <f t="shared" si="306"/>
        <v>0</v>
      </c>
      <c r="Q1023" s="511">
        <f t="shared" si="306"/>
        <v>0</v>
      </c>
      <c r="R1023" s="511">
        <f t="shared" si="306"/>
        <v>0</v>
      </c>
      <c r="S1023" s="511">
        <f t="shared" si="306"/>
        <v>0</v>
      </c>
      <c r="T1023" s="511">
        <f t="shared" si="306"/>
        <v>0</v>
      </c>
      <c r="U1023" s="511">
        <f t="shared" si="306"/>
        <v>0</v>
      </c>
      <c r="V1023" s="511">
        <f t="shared" si="306"/>
        <v>0</v>
      </c>
      <c r="W1023" s="32"/>
      <c r="X1023" s="38">
        <f>'[2]Приложение 1'!T1018</f>
        <v>0</v>
      </c>
      <c r="Y1023" s="9">
        <f t="shared" si="262"/>
        <v>3334</v>
      </c>
      <c r="Z1023" s="19">
        <f t="shared" si="263"/>
        <v>-3334</v>
      </c>
    </row>
    <row r="1024" spans="1:26" s="27" customFormat="1" ht="9" customHeight="1">
      <c r="A1024" s="510">
        <v>240</v>
      </c>
      <c r="B1024" s="509" t="s">
        <v>1002</v>
      </c>
      <c r="C1024" s="58" t="s">
        <v>1192</v>
      </c>
      <c r="D1024" s="58" t="s">
        <v>110</v>
      </c>
      <c r="E1024" s="511">
        <f t="shared" ref="E1024" si="307">F1024+H1024+L1024+N1024+P1024+R1024+S1024+T1024+U1024+V1024</f>
        <v>2147096</v>
      </c>
      <c r="F1024" s="511">
        <v>0</v>
      </c>
      <c r="G1024" s="17">
        <v>0</v>
      </c>
      <c r="H1024" s="511">
        <v>0</v>
      </c>
      <c r="I1024" s="511">
        <v>644</v>
      </c>
      <c r="J1024" s="511"/>
      <c r="K1024" s="511"/>
      <c r="L1024" s="511">
        <f t="shared" ref="L1024" si="308">ROUND(3334*I1024,2)</f>
        <v>2147096</v>
      </c>
      <c r="M1024" s="511">
        <v>0</v>
      </c>
      <c r="N1024" s="511">
        <v>0</v>
      </c>
      <c r="O1024" s="511">
        <v>0</v>
      </c>
      <c r="P1024" s="511">
        <v>0</v>
      </c>
      <c r="Q1024" s="511">
        <v>0</v>
      </c>
      <c r="R1024" s="511">
        <v>0</v>
      </c>
      <c r="S1024" s="511">
        <v>0</v>
      </c>
      <c r="T1024" s="511">
        <v>0</v>
      </c>
      <c r="U1024" s="511">
        <v>0</v>
      </c>
      <c r="V1024" s="511">
        <v>0</v>
      </c>
      <c r="W1024" s="32"/>
      <c r="X1024" s="38">
        <f>'[2]Приложение 1'!T1019</f>
        <v>0</v>
      </c>
      <c r="Y1024" s="9">
        <f t="shared" ref="Y1024:Y1036" si="309">L1024/I1024</f>
        <v>3334</v>
      </c>
      <c r="Z1024" s="19">
        <f t="shared" ref="Z1024:Z1037" si="310">X1024-Y1024</f>
        <v>-3334</v>
      </c>
    </row>
    <row r="1025" spans="1:26" s="27" customFormat="1" ht="9" customHeight="1">
      <c r="A1025" s="882" t="s">
        <v>45</v>
      </c>
      <c r="B1025" s="882"/>
      <c r="C1025" s="882"/>
      <c r="D1025" s="882"/>
      <c r="E1025" s="882"/>
      <c r="F1025" s="882"/>
      <c r="G1025" s="882"/>
      <c r="H1025" s="882"/>
      <c r="I1025" s="882"/>
      <c r="J1025" s="882"/>
      <c r="K1025" s="882"/>
      <c r="L1025" s="882"/>
      <c r="M1025" s="882"/>
      <c r="N1025" s="882"/>
      <c r="O1025" s="882"/>
      <c r="P1025" s="882"/>
      <c r="Q1025" s="882"/>
      <c r="R1025" s="882"/>
      <c r="S1025" s="882"/>
      <c r="T1025" s="882"/>
      <c r="U1025" s="882"/>
      <c r="V1025" s="882"/>
      <c r="X1025" s="38">
        <f>'[2]Приложение 1'!T1020</f>
        <v>4180</v>
      </c>
      <c r="Y1025" s="9" t="e">
        <f t="shared" si="309"/>
        <v>#DIV/0!</v>
      </c>
      <c r="Z1025" s="19" t="e">
        <f t="shared" si="310"/>
        <v>#DIV/0!</v>
      </c>
    </row>
    <row r="1026" spans="1:26" s="27" customFormat="1" ht="23.25" customHeight="1">
      <c r="A1026" s="900" t="s">
        <v>44</v>
      </c>
      <c r="B1026" s="900"/>
      <c r="C1026" s="58"/>
      <c r="D1026" s="58"/>
      <c r="E1026" s="511">
        <f>SUM(E1027:E1034)</f>
        <v>13146210</v>
      </c>
      <c r="F1026" s="511">
        <f t="shared" ref="F1026:V1026" si="311">SUM(F1027:F1034)</f>
        <v>0</v>
      </c>
      <c r="G1026" s="17">
        <f t="shared" si="311"/>
        <v>0</v>
      </c>
      <c r="H1026" s="511">
        <f t="shared" si="311"/>
        <v>0</v>
      </c>
      <c r="I1026" s="511">
        <f>SUM(I1027:I1034)</f>
        <v>4065</v>
      </c>
      <c r="J1026" s="511">
        <f t="shared" si="311"/>
        <v>0</v>
      </c>
      <c r="K1026" s="511">
        <f t="shared" si="311"/>
        <v>0</v>
      </c>
      <c r="L1026" s="511">
        <f t="shared" si="311"/>
        <v>13146210</v>
      </c>
      <c r="M1026" s="511">
        <f t="shared" si="311"/>
        <v>0</v>
      </c>
      <c r="N1026" s="511">
        <f t="shared" si="311"/>
        <v>0</v>
      </c>
      <c r="O1026" s="511">
        <f t="shared" si="311"/>
        <v>0</v>
      </c>
      <c r="P1026" s="511">
        <f t="shared" si="311"/>
        <v>0</v>
      </c>
      <c r="Q1026" s="511">
        <f t="shared" si="311"/>
        <v>0</v>
      </c>
      <c r="R1026" s="511">
        <f t="shared" si="311"/>
        <v>0</v>
      </c>
      <c r="S1026" s="511">
        <f t="shared" si="311"/>
        <v>0</v>
      </c>
      <c r="T1026" s="511">
        <f t="shared" si="311"/>
        <v>0</v>
      </c>
      <c r="U1026" s="511">
        <f t="shared" si="311"/>
        <v>0</v>
      </c>
      <c r="V1026" s="511">
        <f t="shared" si="311"/>
        <v>0</v>
      </c>
      <c r="X1026" s="38">
        <f>'[2]Приложение 1'!T1021</f>
        <v>0</v>
      </c>
      <c r="Y1026" s="9">
        <f t="shared" si="309"/>
        <v>3234</v>
      </c>
      <c r="Z1026" s="19">
        <f t="shared" si="310"/>
        <v>-3234</v>
      </c>
    </row>
    <row r="1027" spans="1:26" s="27" customFormat="1" ht="9" customHeight="1">
      <c r="A1027" s="510">
        <v>241</v>
      </c>
      <c r="B1027" s="737" t="s">
        <v>991</v>
      </c>
      <c r="C1027" s="58" t="s">
        <v>1192</v>
      </c>
      <c r="D1027" s="61" t="s">
        <v>111</v>
      </c>
      <c r="E1027" s="511">
        <f t="shared" ref="E1027:E1034" si="312">F1027+H1027+L1027+N1027+P1027+R1027+S1027+T1027+U1027+V1027</f>
        <v>1465002</v>
      </c>
      <c r="F1027" s="511">
        <v>0</v>
      </c>
      <c r="G1027" s="17">
        <v>0</v>
      </c>
      <c r="H1027" s="511">
        <v>0</v>
      </c>
      <c r="I1027" s="511">
        <v>453</v>
      </c>
      <c r="J1027" s="511"/>
      <c r="K1027" s="511"/>
      <c r="L1027" s="511">
        <f>ROUND(3234*I1027,2)</f>
        <v>1465002</v>
      </c>
      <c r="M1027" s="511">
        <v>0</v>
      </c>
      <c r="N1027" s="511">
        <v>0</v>
      </c>
      <c r="O1027" s="511">
        <v>0</v>
      </c>
      <c r="P1027" s="511">
        <v>0</v>
      </c>
      <c r="Q1027" s="511">
        <v>0</v>
      </c>
      <c r="R1027" s="511">
        <v>0</v>
      </c>
      <c r="S1027" s="511">
        <v>0</v>
      </c>
      <c r="T1027" s="511">
        <v>0</v>
      </c>
      <c r="U1027" s="511">
        <v>0</v>
      </c>
      <c r="V1027" s="511">
        <v>0</v>
      </c>
      <c r="X1027" s="38">
        <f>'[2]Приложение 1'!T1022</f>
        <v>0</v>
      </c>
      <c r="Y1027" s="9">
        <f t="shared" si="309"/>
        <v>3234</v>
      </c>
      <c r="Z1027" s="19">
        <f t="shared" si="310"/>
        <v>-3234</v>
      </c>
    </row>
    <row r="1028" spans="1:26" s="27" customFormat="1" ht="9" customHeight="1">
      <c r="A1028" s="510">
        <v>242</v>
      </c>
      <c r="B1028" s="737" t="s">
        <v>992</v>
      </c>
      <c r="C1028" s="58" t="s">
        <v>1192</v>
      </c>
      <c r="D1028" s="61" t="s">
        <v>111</v>
      </c>
      <c r="E1028" s="511">
        <f t="shared" si="312"/>
        <v>1497342</v>
      </c>
      <c r="F1028" s="511">
        <v>0</v>
      </c>
      <c r="G1028" s="17">
        <v>0</v>
      </c>
      <c r="H1028" s="511">
        <v>0</v>
      </c>
      <c r="I1028" s="511">
        <v>463</v>
      </c>
      <c r="J1028" s="511"/>
      <c r="K1028" s="511"/>
      <c r="L1028" s="511">
        <f t="shared" ref="L1028:L1034" si="313">ROUND(3234*I1028,2)</f>
        <v>1497342</v>
      </c>
      <c r="M1028" s="511">
        <v>0</v>
      </c>
      <c r="N1028" s="511">
        <v>0</v>
      </c>
      <c r="O1028" s="511">
        <v>0</v>
      </c>
      <c r="P1028" s="511">
        <v>0</v>
      </c>
      <c r="Q1028" s="511">
        <v>0</v>
      </c>
      <c r="R1028" s="511">
        <v>0</v>
      </c>
      <c r="S1028" s="511">
        <v>0</v>
      </c>
      <c r="T1028" s="511">
        <v>0</v>
      </c>
      <c r="U1028" s="511">
        <v>0</v>
      </c>
      <c r="V1028" s="511">
        <v>0</v>
      </c>
      <c r="X1028" s="38">
        <f>'[2]Приложение 1'!T1023</f>
        <v>4503.95</v>
      </c>
      <c r="Y1028" s="9">
        <f t="shared" si="309"/>
        <v>3234</v>
      </c>
      <c r="Z1028" s="19">
        <f t="shared" si="310"/>
        <v>1269.9499999999998</v>
      </c>
    </row>
    <row r="1029" spans="1:26" s="27" customFormat="1" ht="9" customHeight="1">
      <c r="A1029" s="510">
        <v>243</v>
      </c>
      <c r="B1029" s="737" t="s">
        <v>993</v>
      </c>
      <c r="C1029" s="58" t="s">
        <v>1192</v>
      </c>
      <c r="D1029" s="61" t="s">
        <v>111</v>
      </c>
      <c r="E1029" s="511">
        <f t="shared" si="312"/>
        <v>1474704</v>
      </c>
      <c r="F1029" s="511">
        <v>0</v>
      </c>
      <c r="G1029" s="17">
        <v>0</v>
      </c>
      <c r="H1029" s="511">
        <v>0</v>
      </c>
      <c r="I1029" s="511">
        <v>456</v>
      </c>
      <c r="J1029" s="511"/>
      <c r="K1029" s="511"/>
      <c r="L1029" s="511">
        <f t="shared" si="313"/>
        <v>1474704</v>
      </c>
      <c r="M1029" s="511">
        <v>0</v>
      </c>
      <c r="N1029" s="511">
        <v>0</v>
      </c>
      <c r="O1029" s="511">
        <v>0</v>
      </c>
      <c r="P1029" s="511">
        <v>0</v>
      </c>
      <c r="Q1029" s="511">
        <v>0</v>
      </c>
      <c r="R1029" s="511">
        <v>0</v>
      </c>
      <c r="S1029" s="511">
        <v>0</v>
      </c>
      <c r="T1029" s="511">
        <v>0</v>
      </c>
      <c r="U1029" s="511">
        <v>0</v>
      </c>
      <c r="V1029" s="511">
        <v>0</v>
      </c>
      <c r="X1029" s="38">
        <f>'[2]Приложение 1'!T1024</f>
        <v>4503.95</v>
      </c>
      <c r="Y1029" s="9">
        <f t="shared" si="309"/>
        <v>3234</v>
      </c>
      <c r="Z1029" s="19">
        <f t="shared" si="310"/>
        <v>1269.9499999999998</v>
      </c>
    </row>
    <row r="1030" spans="1:26" s="27" customFormat="1" ht="9" customHeight="1">
      <c r="A1030" s="510">
        <v>244</v>
      </c>
      <c r="B1030" s="737" t="s">
        <v>994</v>
      </c>
      <c r="C1030" s="58" t="s">
        <v>1192</v>
      </c>
      <c r="D1030" s="61" t="s">
        <v>111</v>
      </c>
      <c r="E1030" s="511">
        <f t="shared" si="312"/>
        <v>1494108</v>
      </c>
      <c r="F1030" s="511">
        <v>0</v>
      </c>
      <c r="G1030" s="17">
        <v>0</v>
      </c>
      <c r="H1030" s="511">
        <v>0</v>
      </c>
      <c r="I1030" s="511">
        <v>462</v>
      </c>
      <c r="J1030" s="511"/>
      <c r="K1030" s="511"/>
      <c r="L1030" s="511">
        <f t="shared" si="313"/>
        <v>1494108</v>
      </c>
      <c r="M1030" s="511">
        <v>0</v>
      </c>
      <c r="N1030" s="511">
        <v>0</v>
      </c>
      <c r="O1030" s="511">
        <v>0</v>
      </c>
      <c r="P1030" s="511">
        <v>0</v>
      </c>
      <c r="Q1030" s="511">
        <v>0</v>
      </c>
      <c r="R1030" s="511">
        <v>0</v>
      </c>
      <c r="S1030" s="511">
        <v>0</v>
      </c>
      <c r="T1030" s="511">
        <v>0</v>
      </c>
      <c r="U1030" s="511">
        <v>0</v>
      </c>
      <c r="V1030" s="511">
        <v>0</v>
      </c>
      <c r="X1030" s="38">
        <f>'[2]Приложение 1'!T1025</f>
        <v>4503.95</v>
      </c>
      <c r="Y1030" s="9">
        <f t="shared" si="309"/>
        <v>3234</v>
      </c>
      <c r="Z1030" s="19">
        <f t="shared" si="310"/>
        <v>1269.9499999999998</v>
      </c>
    </row>
    <row r="1031" spans="1:26" s="27" customFormat="1" ht="9" customHeight="1">
      <c r="A1031" s="510">
        <v>245</v>
      </c>
      <c r="B1031" s="737" t="s">
        <v>995</v>
      </c>
      <c r="C1031" s="58" t="s">
        <v>1192</v>
      </c>
      <c r="D1031" s="61" t="s">
        <v>111</v>
      </c>
      <c r="E1031" s="511">
        <f t="shared" si="312"/>
        <v>1461768</v>
      </c>
      <c r="F1031" s="511">
        <v>0</v>
      </c>
      <c r="G1031" s="17">
        <v>0</v>
      </c>
      <c r="H1031" s="511">
        <v>0</v>
      </c>
      <c r="I1031" s="511">
        <v>452</v>
      </c>
      <c r="J1031" s="511"/>
      <c r="K1031" s="511"/>
      <c r="L1031" s="511">
        <f t="shared" si="313"/>
        <v>1461768</v>
      </c>
      <c r="M1031" s="511">
        <v>0</v>
      </c>
      <c r="N1031" s="511">
        <v>0</v>
      </c>
      <c r="O1031" s="511">
        <v>0</v>
      </c>
      <c r="P1031" s="511">
        <v>0</v>
      </c>
      <c r="Q1031" s="511">
        <v>0</v>
      </c>
      <c r="R1031" s="511">
        <v>0</v>
      </c>
      <c r="S1031" s="511">
        <v>0</v>
      </c>
      <c r="T1031" s="511">
        <v>0</v>
      </c>
      <c r="U1031" s="511">
        <v>0</v>
      </c>
      <c r="V1031" s="511">
        <v>0</v>
      </c>
      <c r="X1031" s="38">
        <f>'[2]Приложение 1'!T1026</f>
        <v>4503.95</v>
      </c>
      <c r="Y1031" s="9">
        <f t="shared" si="309"/>
        <v>3234</v>
      </c>
      <c r="Z1031" s="19">
        <f t="shared" si="310"/>
        <v>1269.9499999999998</v>
      </c>
    </row>
    <row r="1032" spans="1:26" s="27" customFormat="1" ht="9" customHeight="1">
      <c r="A1032" s="510">
        <v>246</v>
      </c>
      <c r="B1032" s="737" t="s">
        <v>996</v>
      </c>
      <c r="C1032" s="58" t="s">
        <v>1192</v>
      </c>
      <c r="D1032" s="61" t="s">
        <v>111</v>
      </c>
      <c r="E1032" s="511">
        <f t="shared" si="312"/>
        <v>1500576</v>
      </c>
      <c r="F1032" s="511">
        <v>0</v>
      </c>
      <c r="G1032" s="17">
        <v>0</v>
      </c>
      <c r="H1032" s="511">
        <v>0</v>
      </c>
      <c r="I1032" s="511">
        <v>464</v>
      </c>
      <c r="J1032" s="511"/>
      <c r="K1032" s="511"/>
      <c r="L1032" s="511">
        <f t="shared" si="313"/>
        <v>1500576</v>
      </c>
      <c r="M1032" s="511">
        <v>0</v>
      </c>
      <c r="N1032" s="511">
        <v>0</v>
      </c>
      <c r="O1032" s="511">
        <v>0</v>
      </c>
      <c r="P1032" s="511">
        <v>0</v>
      </c>
      <c r="Q1032" s="511">
        <v>0</v>
      </c>
      <c r="R1032" s="511">
        <v>0</v>
      </c>
      <c r="S1032" s="511">
        <v>0</v>
      </c>
      <c r="T1032" s="511">
        <v>0</v>
      </c>
      <c r="U1032" s="511">
        <v>0</v>
      </c>
      <c r="V1032" s="511">
        <v>0</v>
      </c>
      <c r="X1032" s="38">
        <f>'[2]Приложение 1'!T1027</f>
        <v>4503.95</v>
      </c>
      <c r="Y1032" s="9">
        <f t="shared" si="309"/>
        <v>3234</v>
      </c>
      <c r="Z1032" s="19">
        <f t="shared" si="310"/>
        <v>1269.9499999999998</v>
      </c>
    </row>
    <row r="1033" spans="1:26" s="27" customFormat="1" ht="9" customHeight="1">
      <c r="A1033" s="510">
        <v>247</v>
      </c>
      <c r="B1033" s="737" t="s">
        <v>997</v>
      </c>
      <c r="C1033" s="58" t="s">
        <v>1192</v>
      </c>
      <c r="D1033" s="61" t="s">
        <v>111</v>
      </c>
      <c r="E1033" s="511">
        <f t="shared" si="312"/>
        <v>1642872</v>
      </c>
      <c r="F1033" s="511">
        <v>0</v>
      </c>
      <c r="G1033" s="17">
        <v>0</v>
      </c>
      <c r="H1033" s="511">
        <v>0</v>
      </c>
      <c r="I1033" s="511">
        <v>508</v>
      </c>
      <c r="J1033" s="511"/>
      <c r="K1033" s="511"/>
      <c r="L1033" s="511">
        <f t="shared" si="313"/>
        <v>1642872</v>
      </c>
      <c r="M1033" s="511">
        <v>0</v>
      </c>
      <c r="N1033" s="511">
        <v>0</v>
      </c>
      <c r="O1033" s="511">
        <v>0</v>
      </c>
      <c r="P1033" s="511">
        <v>0</v>
      </c>
      <c r="Q1033" s="511">
        <v>0</v>
      </c>
      <c r="R1033" s="511">
        <v>0</v>
      </c>
      <c r="S1033" s="511">
        <v>0</v>
      </c>
      <c r="T1033" s="511">
        <v>0</v>
      </c>
      <c r="U1033" s="511">
        <v>0</v>
      </c>
      <c r="V1033" s="511">
        <v>0</v>
      </c>
      <c r="X1033" s="38">
        <f>'[2]Приложение 1'!T1028</f>
        <v>4503.95</v>
      </c>
      <c r="Y1033" s="9">
        <f t="shared" si="309"/>
        <v>3234</v>
      </c>
      <c r="Z1033" s="19">
        <f t="shared" si="310"/>
        <v>1269.9499999999998</v>
      </c>
    </row>
    <row r="1034" spans="1:26" s="27" customFormat="1" ht="9" customHeight="1">
      <c r="A1034" s="510">
        <v>248</v>
      </c>
      <c r="B1034" s="737" t="s">
        <v>998</v>
      </c>
      <c r="C1034" s="58" t="s">
        <v>1192</v>
      </c>
      <c r="D1034" s="61" t="s">
        <v>111</v>
      </c>
      <c r="E1034" s="511">
        <f t="shared" si="312"/>
        <v>2609838</v>
      </c>
      <c r="F1034" s="511">
        <v>0</v>
      </c>
      <c r="G1034" s="17">
        <v>0</v>
      </c>
      <c r="H1034" s="511">
        <v>0</v>
      </c>
      <c r="I1034" s="511">
        <v>807</v>
      </c>
      <c r="J1034" s="511"/>
      <c r="K1034" s="511"/>
      <c r="L1034" s="511">
        <f t="shared" si="313"/>
        <v>2609838</v>
      </c>
      <c r="M1034" s="511">
        <v>0</v>
      </c>
      <c r="N1034" s="511">
        <v>0</v>
      </c>
      <c r="O1034" s="511">
        <v>0</v>
      </c>
      <c r="P1034" s="511">
        <v>0</v>
      </c>
      <c r="Q1034" s="511">
        <v>0</v>
      </c>
      <c r="R1034" s="511">
        <v>0</v>
      </c>
      <c r="S1034" s="511">
        <v>0</v>
      </c>
      <c r="T1034" s="511">
        <v>0</v>
      </c>
      <c r="U1034" s="511">
        <v>0</v>
      </c>
      <c r="V1034" s="511">
        <v>0</v>
      </c>
      <c r="X1034" s="38">
        <f>'[2]Приложение 1'!T1029</f>
        <v>4503.95</v>
      </c>
      <c r="Y1034" s="9">
        <f t="shared" si="309"/>
        <v>3234</v>
      </c>
      <c r="Z1034" s="19">
        <f t="shared" si="310"/>
        <v>1269.9499999999998</v>
      </c>
    </row>
    <row r="1035" spans="1:26" s="27" customFormat="1" ht="9" customHeight="1">
      <c r="A1035" s="882" t="s">
        <v>1093</v>
      </c>
      <c r="B1035" s="882"/>
      <c r="C1035" s="882"/>
      <c r="D1035" s="882"/>
      <c r="E1035" s="882"/>
      <c r="F1035" s="882"/>
      <c r="G1035" s="882"/>
      <c r="H1035" s="882"/>
      <c r="I1035" s="882"/>
      <c r="J1035" s="882"/>
      <c r="K1035" s="882"/>
      <c r="L1035" s="882"/>
      <c r="M1035" s="882"/>
      <c r="N1035" s="882"/>
      <c r="O1035" s="882"/>
      <c r="P1035" s="882"/>
      <c r="Q1035" s="882"/>
      <c r="R1035" s="882"/>
      <c r="S1035" s="882"/>
      <c r="T1035" s="882"/>
      <c r="U1035" s="882"/>
      <c r="V1035" s="882"/>
      <c r="X1035" s="38">
        <f>'[2]Приложение 1'!T1030</f>
        <v>4503.95</v>
      </c>
      <c r="Y1035" s="9" t="e">
        <f t="shared" si="309"/>
        <v>#DIV/0!</v>
      </c>
      <c r="Z1035" s="19" t="e">
        <f t="shared" si="310"/>
        <v>#DIV/0!</v>
      </c>
    </row>
    <row r="1036" spans="1:26" s="27" customFormat="1" ht="27" customHeight="1">
      <c r="A1036" s="900" t="s">
        <v>1094</v>
      </c>
      <c r="B1036" s="900"/>
      <c r="C1036" s="58"/>
      <c r="D1036" s="58"/>
      <c r="E1036" s="511">
        <f>SUM(E1037)</f>
        <v>1422960</v>
      </c>
      <c r="F1036" s="511">
        <f t="shared" ref="F1036:V1036" si="314">SUM(F1037)</f>
        <v>0</v>
      </c>
      <c r="G1036" s="17">
        <f t="shared" si="314"/>
        <v>0</v>
      </c>
      <c r="H1036" s="511">
        <f t="shared" si="314"/>
        <v>0</v>
      </c>
      <c r="I1036" s="511">
        <f t="shared" si="314"/>
        <v>440</v>
      </c>
      <c r="J1036" s="511">
        <f t="shared" si="314"/>
        <v>0</v>
      </c>
      <c r="K1036" s="511">
        <f t="shared" si="314"/>
        <v>0</v>
      </c>
      <c r="L1036" s="511">
        <f t="shared" si="314"/>
        <v>1422960</v>
      </c>
      <c r="M1036" s="511">
        <f t="shared" si="314"/>
        <v>0</v>
      </c>
      <c r="N1036" s="511">
        <f t="shared" si="314"/>
        <v>0</v>
      </c>
      <c r="O1036" s="511">
        <f t="shared" si="314"/>
        <v>0</v>
      </c>
      <c r="P1036" s="511">
        <f t="shared" si="314"/>
        <v>0</v>
      </c>
      <c r="Q1036" s="511">
        <f t="shared" si="314"/>
        <v>0</v>
      </c>
      <c r="R1036" s="511">
        <f t="shared" si="314"/>
        <v>0</v>
      </c>
      <c r="S1036" s="511">
        <f t="shared" si="314"/>
        <v>0</v>
      </c>
      <c r="T1036" s="511">
        <f t="shared" si="314"/>
        <v>0</v>
      </c>
      <c r="U1036" s="511">
        <f t="shared" si="314"/>
        <v>0</v>
      </c>
      <c r="V1036" s="511">
        <f t="shared" si="314"/>
        <v>0</v>
      </c>
      <c r="X1036" s="38">
        <f>'[2]Приложение 1'!T1031</f>
        <v>0</v>
      </c>
      <c r="Y1036" s="9">
        <f t="shared" si="309"/>
        <v>3234</v>
      </c>
      <c r="Z1036" s="19">
        <f t="shared" si="310"/>
        <v>-3234</v>
      </c>
    </row>
    <row r="1037" spans="1:26" s="27" customFormat="1" ht="9" customHeight="1">
      <c r="A1037" s="510">
        <v>249</v>
      </c>
      <c r="B1037" s="509" t="s">
        <v>1003</v>
      </c>
      <c r="C1037" s="58" t="s">
        <v>1192</v>
      </c>
      <c r="D1037" s="58" t="s">
        <v>111</v>
      </c>
      <c r="E1037" s="511">
        <f t="shared" ref="E1037" si="315">F1037+H1037+L1037+N1037+P1037+R1037+S1037+T1037+U1037+V1037</f>
        <v>1422960</v>
      </c>
      <c r="F1037" s="511">
        <v>0</v>
      </c>
      <c r="G1037" s="17">
        <v>0</v>
      </c>
      <c r="H1037" s="19">
        <v>0</v>
      </c>
      <c r="I1037" s="511">
        <v>440</v>
      </c>
      <c r="J1037" s="511"/>
      <c r="K1037" s="511"/>
      <c r="L1037" s="511">
        <f t="shared" ref="L1037" si="316">ROUND(3234*I1037,2)</f>
        <v>1422960</v>
      </c>
      <c r="M1037" s="19">
        <v>0</v>
      </c>
      <c r="N1037" s="19">
        <v>0</v>
      </c>
      <c r="O1037" s="19">
        <v>0</v>
      </c>
      <c r="P1037" s="19">
        <v>0</v>
      </c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X1037" s="38">
        <f>'[2]Приложение 1'!T1032</f>
        <v>0</v>
      </c>
      <c r="Y1037" s="9">
        <f>L1037/I1037</f>
        <v>3234</v>
      </c>
      <c r="Z1037" s="19">
        <f t="shared" si="310"/>
        <v>-3234</v>
      </c>
    </row>
  </sheetData>
  <autoFilter ref="A18:AA359">
    <filterColumn colId="0" showButton="0"/>
  </autoFilter>
  <mergeCells count="261">
    <mergeCell ref="A1036:B1036"/>
    <mergeCell ref="A1010:V1010"/>
    <mergeCell ref="A1011:B1011"/>
    <mergeCell ref="A1017:V1017"/>
    <mergeCell ref="A1018:B1018"/>
    <mergeCell ref="A1022:V1022"/>
    <mergeCell ref="A1023:B1023"/>
    <mergeCell ref="A1025:V1025"/>
    <mergeCell ref="A1026:B1026"/>
    <mergeCell ref="A1035:V1035"/>
    <mergeCell ref="A991:B991"/>
    <mergeCell ref="A997:V997"/>
    <mergeCell ref="A998:B998"/>
    <mergeCell ref="A1000:V1000"/>
    <mergeCell ref="A1001:B1001"/>
    <mergeCell ref="A1003:V1003"/>
    <mergeCell ref="A1004:B1004"/>
    <mergeCell ref="A1006:V1006"/>
    <mergeCell ref="A1007:B1007"/>
    <mergeCell ref="A976:V976"/>
    <mergeCell ref="A977:B977"/>
    <mergeCell ref="A979:V979"/>
    <mergeCell ref="A980:B980"/>
    <mergeCell ref="A983:V983"/>
    <mergeCell ref="A984:B984"/>
    <mergeCell ref="A987:V987"/>
    <mergeCell ref="A988:B988"/>
    <mergeCell ref="A990:V990"/>
    <mergeCell ref="A953:B953"/>
    <mergeCell ref="A960:V960"/>
    <mergeCell ref="A961:B961"/>
    <mergeCell ref="A964:V964"/>
    <mergeCell ref="A965:B965"/>
    <mergeCell ref="A967:V967"/>
    <mergeCell ref="A968:B968"/>
    <mergeCell ref="A971:V971"/>
    <mergeCell ref="A972:B972"/>
    <mergeCell ref="A935:V935"/>
    <mergeCell ref="A936:B936"/>
    <mergeCell ref="A938:V938"/>
    <mergeCell ref="A939:B939"/>
    <mergeCell ref="A941:V941"/>
    <mergeCell ref="A942:B942"/>
    <mergeCell ref="A949:V949"/>
    <mergeCell ref="A950:B950"/>
    <mergeCell ref="A952:V952"/>
    <mergeCell ref="A912:B912"/>
    <mergeCell ref="A915:V915"/>
    <mergeCell ref="A916:B916"/>
    <mergeCell ref="A918:V918"/>
    <mergeCell ref="A919:B919"/>
    <mergeCell ref="A921:V921"/>
    <mergeCell ref="A922:B922"/>
    <mergeCell ref="A932:V932"/>
    <mergeCell ref="A933:B933"/>
    <mergeCell ref="A894:V894"/>
    <mergeCell ref="A895:B895"/>
    <mergeCell ref="A897:V897"/>
    <mergeCell ref="A898:B898"/>
    <mergeCell ref="A901:V901"/>
    <mergeCell ref="A902:B902"/>
    <mergeCell ref="A905:V905"/>
    <mergeCell ref="A906:B906"/>
    <mergeCell ref="A911:V911"/>
    <mergeCell ref="A850:B850"/>
    <mergeCell ref="A863:V863"/>
    <mergeCell ref="A864:B864"/>
    <mergeCell ref="A868:V868"/>
    <mergeCell ref="A869:B869"/>
    <mergeCell ref="A875:V875"/>
    <mergeCell ref="A876:B876"/>
    <mergeCell ref="A879:V879"/>
    <mergeCell ref="A880:B880"/>
    <mergeCell ref="A692:V692"/>
    <mergeCell ref="A693:B693"/>
    <mergeCell ref="A704:V704"/>
    <mergeCell ref="A705:B705"/>
    <mergeCell ref="A706:V706"/>
    <mergeCell ref="A707:B707"/>
    <mergeCell ref="A840:V840"/>
    <mergeCell ref="A841:B841"/>
    <mergeCell ref="A849:V849"/>
    <mergeCell ref="A670:B670"/>
    <mergeCell ref="A672:V672"/>
    <mergeCell ref="A673:B673"/>
    <mergeCell ref="A675:V675"/>
    <mergeCell ref="A676:B676"/>
    <mergeCell ref="A680:V680"/>
    <mergeCell ref="A681:B681"/>
    <mergeCell ref="A689:V689"/>
    <mergeCell ref="A690:B690"/>
    <mergeCell ref="A653:V653"/>
    <mergeCell ref="A654:B654"/>
    <mergeCell ref="A657:V657"/>
    <mergeCell ref="A658:B658"/>
    <mergeCell ref="A661:V661"/>
    <mergeCell ref="A662:B662"/>
    <mergeCell ref="A666:V666"/>
    <mergeCell ref="A667:B667"/>
    <mergeCell ref="A669:V669"/>
    <mergeCell ref="A634:B634"/>
    <mergeCell ref="A636:V636"/>
    <mergeCell ref="A637:B637"/>
    <mergeCell ref="A639:V639"/>
    <mergeCell ref="A640:B640"/>
    <mergeCell ref="A646:V646"/>
    <mergeCell ref="A647:B647"/>
    <mergeCell ref="A649:V649"/>
    <mergeCell ref="A650:B650"/>
    <mergeCell ref="A611:V611"/>
    <mergeCell ref="A612:B612"/>
    <mergeCell ref="A617:V617"/>
    <mergeCell ref="A618:B618"/>
    <mergeCell ref="A620:V620"/>
    <mergeCell ref="A621:B621"/>
    <mergeCell ref="A628:V628"/>
    <mergeCell ref="A629:B629"/>
    <mergeCell ref="A633:V633"/>
    <mergeCell ref="A587:B587"/>
    <mergeCell ref="A589:V589"/>
    <mergeCell ref="A590:B590"/>
    <mergeCell ref="A592:V592"/>
    <mergeCell ref="A593:B593"/>
    <mergeCell ref="A605:V605"/>
    <mergeCell ref="A606:B606"/>
    <mergeCell ref="A608:V608"/>
    <mergeCell ref="A609:B609"/>
    <mergeCell ref="A572:V572"/>
    <mergeCell ref="A573:B573"/>
    <mergeCell ref="A576:V576"/>
    <mergeCell ref="A577:B577"/>
    <mergeCell ref="A580:V580"/>
    <mergeCell ref="A581:B581"/>
    <mergeCell ref="A583:V583"/>
    <mergeCell ref="A584:B584"/>
    <mergeCell ref="A586:V586"/>
    <mergeCell ref="A531:B531"/>
    <mergeCell ref="A535:V535"/>
    <mergeCell ref="A536:B536"/>
    <mergeCell ref="A544:V544"/>
    <mergeCell ref="A545:B545"/>
    <mergeCell ref="A549:V549"/>
    <mergeCell ref="A550:B550"/>
    <mergeCell ref="A555:V555"/>
    <mergeCell ref="A556:B556"/>
    <mergeCell ref="A360:V360"/>
    <mergeCell ref="A361:B361"/>
    <mergeCell ref="A362:V362"/>
    <mergeCell ref="A363:B363"/>
    <mergeCell ref="A506:V506"/>
    <mergeCell ref="A507:B507"/>
    <mergeCell ref="A515:V515"/>
    <mergeCell ref="A516:B516"/>
    <mergeCell ref="A530:V530"/>
    <mergeCell ref="A210:B210"/>
    <mergeCell ref="A209:V209"/>
    <mergeCell ref="A186:B186"/>
    <mergeCell ref="A202:V202"/>
    <mergeCell ref="A238:V238"/>
    <mergeCell ref="A223:B223"/>
    <mergeCell ref="A222:V222"/>
    <mergeCell ref="A219:V219"/>
    <mergeCell ref="A285:B285"/>
    <mergeCell ref="A281:V281"/>
    <mergeCell ref="A282:B282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A14:B14"/>
    <mergeCell ref="G11:H11"/>
    <mergeCell ref="A203:B203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340:V340"/>
    <mergeCell ref="A295:V295"/>
    <mergeCell ref="A296:B296"/>
    <mergeCell ref="A320:B320"/>
    <mergeCell ref="A298:V298"/>
    <mergeCell ref="A302:B302"/>
    <mergeCell ref="A301:V301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  <mergeCell ref="A341:B341"/>
  </mergeCells>
  <phoneticPr fontId="0" type="noConversion"/>
  <pageMargins left="0.74803149606299213" right="0.19685039370078741" top="1.0629921259842521" bottom="0.43307086614173229" header="1.1023622047244095" footer="0.19685039370078741"/>
  <pageSetup scale="85" fitToHeight="0" orientation="landscape" r:id="rId1"/>
  <headerFooter alignWithMargins="0">
    <oddFooter>&amp;C&amp;"Arial Narrow,обычный"&amp;7&amp;P</oddFooter>
  </headerFooter>
  <ignoredErrors>
    <ignoredError sqref="L45 L371:L372 L390 L419 L757 L763 L7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132"/>
  <sheetViews>
    <sheetView view="pageBreakPreview" topLeftCell="A113" zoomScale="115" zoomScaleSheetLayoutView="115" workbookViewId="0">
      <selection activeCell="X131" sqref="X131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  <col min="19" max="19" width="17.6640625" customWidth="1"/>
  </cols>
  <sheetData>
    <row r="1" spans="1:19" ht="11.25" hidden="1" customHeight="1">
      <c r="A1" s="6"/>
      <c r="B1" s="4"/>
      <c r="D1" s="1"/>
      <c r="E1" s="1"/>
      <c r="F1" s="1"/>
      <c r="G1" s="2"/>
      <c r="H1" s="3"/>
      <c r="I1" s="3"/>
    </row>
    <row r="2" spans="1:19" ht="54" customHeight="1">
      <c r="A2" s="28"/>
      <c r="B2" s="28"/>
      <c r="C2" s="79"/>
      <c r="D2" s="79"/>
      <c r="E2" s="79"/>
      <c r="F2" s="79"/>
      <c r="G2" s="79"/>
      <c r="H2" s="80"/>
      <c r="I2" s="79"/>
      <c r="J2" s="80"/>
      <c r="K2" s="878" t="s">
        <v>1060</v>
      </c>
      <c r="L2" s="878"/>
      <c r="M2" s="878"/>
      <c r="N2" s="878"/>
    </row>
    <row r="3" spans="1:19" ht="45.75" customHeight="1">
      <c r="A3" s="28"/>
      <c r="B3" s="28"/>
      <c r="C3" s="79"/>
      <c r="D3" s="79"/>
      <c r="E3" s="79"/>
      <c r="F3" s="79"/>
      <c r="G3" s="79"/>
      <c r="H3" s="931" t="s">
        <v>1061</v>
      </c>
      <c r="I3" s="931"/>
      <c r="J3" s="931"/>
      <c r="K3" s="931"/>
      <c r="L3" s="931"/>
      <c r="M3" s="931"/>
      <c r="N3" s="931"/>
      <c r="O3" s="931"/>
    </row>
    <row r="4" spans="1:19" ht="3" hidden="1" customHeight="1">
      <c r="A4" s="28"/>
      <c r="B4" s="28"/>
      <c r="C4" s="29"/>
      <c r="D4" s="79"/>
      <c r="E4" s="79"/>
      <c r="F4" s="79"/>
      <c r="G4" s="79"/>
      <c r="H4" s="932"/>
      <c r="I4" s="932"/>
      <c r="J4" s="932"/>
      <c r="K4" s="932"/>
      <c r="L4" s="932"/>
      <c r="M4" s="932"/>
      <c r="N4" s="932"/>
    </row>
    <row r="5" spans="1:19" ht="18" customHeight="1">
      <c r="A5" s="933" t="s">
        <v>100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</row>
    <row r="6" spans="1:19" ht="12.75" customHeight="1">
      <c r="A6" s="934" t="s">
        <v>1038</v>
      </c>
      <c r="B6" s="934" t="s">
        <v>101</v>
      </c>
      <c r="C6" s="938" t="s">
        <v>67</v>
      </c>
      <c r="D6" s="934" t="s">
        <v>65</v>
      </c>
      <c r="E6" s="918" t="s">
        <v>102</v>
      </c>
      <c r="F6" s="919"/>
      <c r="G6" s="919"/>
      <c r="H6" s="919"/>
      <c r="I6" s="920"/>
      <c r="J6" s="879" t="s">
        <v>68</v>
      </c>
      <c r="K6" s="879"/>
      <c r="L6" s="879"/>
      <c r="M6" s="879"/>
      <c r="N6" s="879"/>
    </row>
    <row r="7" spans="1:19" ht="85.5" customHeight="1">
      <c r="A7" s="936"/>
      <c r="B7" s="936"/>
      <c r="C7" s="939"/>
      <c r="D7" s="935"/>
      <c r="E7" s="82" t="s">
        <v>103</v>
      </c>
      <c r="F7" s="82" t="s">
        <v>104</v>
      </c>
      <c r="G7" s="82" t="s">
        <v>105</v>
      </c>
      <c r="H7" s="82" t="s">
        <v>106</v>
      </c>
      <c r="I7" s="82" t="s">
        <v>1039</v>
      </c>
      <c r="J7" s="82" t="s">
        <v>103</v>
      </c>
      <c r="K7" s="82" t="s">
        <v>104</v>
      </c>
      <c r="L7" s="82" t="s">
        <v>105</v>
      </c>
      <c r="M7" s="78" t="s">
        <v>106</v>
      </c>
      <c r="N7" s="78" t="s">
        <v>1039</v>
      </c>
    </row>
    <row r="8" spans="1:19">
      <c r="A8" s="937"/>
      <c r="B8" s="937"/>
      <c r="C8" s="81" t="s">
        <v>69</v>
      </c>
      <c r="D8" s="82" t="s">
        <v>70</v>
      </c>
      <c r="E8" s="82" t="s">
        <v>99</v>
      </c>
      <c r="F8" s="82" t="s">
        <v>99</v>
      </c>
      <c r="G8" s="82" t="s">
        <v>99</v>
      </c>
      <c r="H8" s="82" t="s">
        <v>99</v>
      </c>
      <c r="I8" s="82" t="s">
        <v>99</v>
      </c>
      <c r="J8" s="82" t="s">
        <v>71</v>
      </c>
      <c r="K8" s="82" t="s">
        <v>71</v>
      </c>
      <c r="L8" s="82" t="s">
        <v>71</v>
      </c>
      <c r="M8" s="78" t="s">
        <v>71</v>
      </c>
      <c r="N8" s="78" t="s">
        <v>71</v>
      </c>
    </row>
    <row r="9" spans="1:19" ht="9.75" customHeight="1">
      <c r="A9" s="505">
        <v>1</v>
      </c>
      <c r="B9" s="505">
        <v>2</v>
      </c>
      <c r="C9" s="436">
        <v>3</v>
      </c>
      <c r="D9" s="434">
        <v>4</v>
      </c>
      <c r="E9" s="434">
        <v>5</v>
      </c>
      <c r="F9" s="434">
        <v>6</v>
      </c>
      <c r="G9" s="434">
        <v>7</v>
      </c>
      <c r="H9" s="434">
        <v>8</v>
      </c>
      <c r="I9" s="434">
        <v>9</v>
      </c>
      <c r="J9" s="434">
        <v>10</v>
      </c>
      <c r="K9" s="434">
        <v>11</v>
      </c>
      <c r="L9" s="434">
        <v>12</v>
      </c>
      <c r="M9" s="434">
        <v>13</v>
      </c>
      <c r="N9" s="434">
        <v>14</v>
      </c>
    </row>
    <row r="10" spans="1:19" ht="12.75" customHeight="1">
      <c r="A10" s="918" t="s">
        <v>1191</v>
      </c>
      <c r="B10" s="920"/>
      <c r="C10" s="506">
        <f>C11+'Приложение 3 КСП 2018-2019 гг'!C11</f>
        <v>2231313.4899999998</v>
      </c>
      <c r="D10" s="436">
        <f>D11+'Приложение 3 КСП 2018-2019 гг'!D11</f>
        <v>81580</v>
      </c>
      <c r="E10" s="506" t="s">
        <v>391</v>
      </c>
      <c r="F10" s="506" t="s">
        <v>391</v>
      </c>
      <c r="G10" s="506" t="s">
        <v>391</v>
      </c>
      <c r="H10" s="506" t="s">
        <v>391</v>
      </c>
      <c r="I10" s="436">
        <f>I11+'Приложение 3 КСП 2018-2019 гг'!E11</f>
        <v>779</v>
      </c>
      <c r="J10" s="506" t="s">
        <v>391</v>
      </c>
      <c r="K10" s="506" t="s">
        <v>391</v>
      </c>
      <c r="L10" s="506" t="s">
        <v>391</v>
      </c>
      <c r="M10" s="506" t="s">
        <v>391</v>
      </c>
      <c r="N10" s="506">
        <f>N11+'Приложение 3 КСП 2018-2019 гг'!F11</f>
        <v>2206041785.7571507</v>
      </c>
    </row>
    <row r="11" spans="1:19" s="443" customFormat="1" ht="13.5" customHeight="1">
      <c r="A11" s="879" t="s">
        <v>1042</v>
      </c>
      <c r="B11" s="879"/>
      <c r="C11" s="433">
        <f>SUM(C12:C55)</f>
        <v>621770.20000000007</v>
      </c>
      <c r="D11" s="85">
        <f t="shared" ref="D11:N11" si="0">SUM(D12:D55)</f>
        <v>23405</v>
      </c>
      <c r="E11" s="59">
        <v>0</v>
      </c>
      <c r="F11" s="85">
        <v>0</v>
      </c>
      <c r="G11" s="59">
        <v>0</v>
      </c>
      <c r="H11" s="85">
        <f t="shared" si="0"/>
        <v>255</v>
      </c>
      <c r="I11" s="85">
        <f t="shared" si="0"/>
        <v>255</v>
      </c>
      <c r="J11" s="433">
        <v>0</v>
      </c>
      <c r="K11" s="433">
        <v>0</v>
      </c>
      <c r="L11" s="433">
        <v>0</v>
      </c>
      <c r="M11" s="433">
        <f t="shared" si="0"/>
        <v>594161776.54999995</v>
      </c>
      <c r="N11" s="433">
        <f t="shared" si="0"/>
        <v>594161776.54999995</v>
      </c>
      <c r="O11" s="442"/>
      <c r="S11" s="442">
        <f>N11+'Приложение 3 КСП 2018-2019 гг'!F11</f>
        <v>2206041785.7571507</v>
      </c>
    </row>
    <row r="12" spans="1:19" s="9" customFormat="1">
      <c r="A12" s="437">
        <v>1</v>
      </c>
      <c r="B12" s="438" t="s">
        <v>1040</v>
      </c>
      <c r="C12" s="439">
        <f>'Приложение 1'!J131</f>
        <v>402560.65</v>
      </c>
      <c r="D12" s="440">
        <f>'Приложение 1'!M131</f>
        <v>15036</v>
      </c>
      <c r="E12" s="441">
        <v>0</v>
      </c>
      <c r="F12" s="440">
        <v>0</v>
      </c>
      <c r="G12" s="441">
        <v>0</v>
      </c>
      <c r="H12" s="440">
        <v>115</v>
      </c>
      <c r="I12" s="440">
        <f>H12</f>
        <v>115</v>
      </c>
      <c r="J12" s="435">
        <v>0</v>
      </c>
      <c r="K12" s="435">
        <v>0</v>
      </c>
      <c r="L12" s="435">
        <v>0</v>
      </c>
      <c r="M12" s="439">
        <f>'Приложение 1'!N131</f>
        <v>322467366.57999992</v>
      </c>
      <c r="N12" s="439">
        <f>M12</f>
        <v>322467366.57999992</v>
      </c>
    </row>
    <row r="13" spans="1:19">
      <c r="A13" s="83">
        <v>2</v>
      </c>
      <c r="B13" s="58" t="s">
        <v>221</v>
      </c>
      <c r="C13" s="84">
        <f>'Приложение 1'!J143</f>
        <v>21140.480000000003</v>
      </c>
      <c r="D13" s="85">
        <f>'Приложение 1'!M143</f>
        <v>915</v>
      </c>
      <c r="E13" s="59">
        <v>0</v>
      </c>
      <c r="F13" s="85">
        <v>0</v>
      </c>
      <c r="G13" s="59">
        <v>0</v>
      </c>
      <c r="H13" s="85">
        <v>10</v>
      </c>
      <c r="I13" s="85">
        <f t="shared" ref="I13:I55" si="1">H13</f>
        <v>10</v>
      </c>
      <c r="J13" s="87">
        <v>0</v>
      </c>
      <c r="K13" s="87">
        <v>0</v>
      </c>
      <c r="L13" s="87">
        <v>0</v>
      </c>
      <c r="M13" s="84">
        <f>'Приложение 1'!N143</f>
        <v>25792157.199999999</v>
      </c>
      <c r="N13" s="84">
        <f t="shared" ref="N13:N55" si="2">M13</f>
        <v>25792157.199999999</v>
      </c>
    </row>
    <row r="14" spans="1:19">
      <c r="A14" s="83">
        <v>3</v>
      </c>
      <c r="B14" s="58" t="s">
        <v>232</v>
      </c>
      <c r="C14" s="84">
        <f>'Приложение 1'!J156</f>
        <v>20468.500000000004</v>
      </c>
      <c r="D14" s="85">
        <f>'Приложение 1'!M156</f>
        <v>791</v>
      </c>
      <c r="E14" s="59">
        <v>0</v>
      </c>
      <c r="F14" s="85">
        <v>0</v>
      </c>
      <c r="G14" s="59">
        <v>0</v>
      </c>
      <c r="H14" s="85">
        <v>11</v>
      </c>
      <c r="I14" s="85">
        <f t="shared" si="1"/>
        <v>11</v>
      </c>
      <c r="J14" s="87">
        <v>0</v>
      </c>
      <c r="K14" s="87">
        <v>0</v>
      </c>
      <c r="L14" s="87">
        <v>0</v>
      </c>
      <c r="M14" s="84">
        <f>'Приложение 1'!N156</f>
        <v>15937910.439999999</v>
      </c>
      <c r="N14" s="84">
        <f t="shared" si="2"/>
        <v>15937910.439999999</v>
      </c>
    </row>
    <row r="15" spans="1:19" ht="14.25" customHeight="1">
      <c r="A15" s="83">
        <v>4</v>
      </c>
      <c r="B15" s="58" t="s">
        <v>242</v>
      </c>
      <c r="C15" s="84">
        <f>'Приложение 1'!J161</f>
        <v>6238.9</v>
      </c>
      <c r="D15" s="85">
        <f>'Приложение 1'!M161</f>
        <v>267</v>
      </c>
      <c r="E15" s="59">
        <v>0</v>
      </c>
      <c r="F15" s="85">
        <v>0</v>
      </c>
      <c r="G15" s="59">
        <v>0</v>
      </c>
      <c r="H15" s="85">
        <v>3</v>
      </c>
      <c r="I15" s="85">
        <f t="shared" si="1"/>
        <v>3</v>
      </c>
      <c r="J15" s="87">
        <v>0</v>
      </c>
      <c r="K15" s="87">
        <v>0</v>
      </c>
      <c r="L15" s="87">
        <v>0</v>
      </c>
      <c r="M15" s="84">
        <f>'Приложение 1'!N161</f>
        <v>6971189.4000000004</v>
      </c>
      <c r="N15" s="84">
        <f t="shared" si="2"/>
        <v>6971189.4000000004</v>
      </c>
    </row>
    <row r="16" spans="1:19" ht="15" customHeight="1">
      <c r="A16" s="83">
        <v>5</v>
      </c>
      <c r="B16" s="58" t="s">
        <v>1041</v>
      </c>
      <c r="C16" s="84">
        <f>'Приложение 1'!J169</f>
        <v>15571.5</v>
      </c>
      <c r="D16" s="85">
        <f>'Приложение 1'!M169</f>
        <v>542</v>
      </c>
      <c r="E16" s="59">
        <v>0</v>
      </c>
      <c r="F16" s="85">
        <v>0</v>
      </c>
      <c r="G16" s="59">
        <v>0</v>
      </c>
      <c r="H16" s="85">
        <v>6</v>
      </c>
      <c r="I16" s="85">
        <f t="shared" si="1"/>
        <v>6</v>
      </c>
      <c r="J16" s="87">
        <v>0</v>
      </c>
      <c r="K16" s="87">
        <v>0</v>
      </c>
      <c r="L16" s="87">
        <v>0</v>
      </c>
      <c r="M16" s="84">
        <f>'Приложение 1'!N169</f>
        <v>12168007.539999999</v>
      </c>
      <c r="N16" s="84">
        <f t="shared" si="2"/>
        <v>12168007.539999999</v>
      </c>
    </row>
    <row r="17" spans="1:14" ht="14.25" customHeight="1">
      <c r="A17" s="83">
        <v>6</v>
      </c>
      <c r="B17" s="58" t="s">
        <v>259</v>
      </c>
      <c r="C17" s="84">
        <f>'Приложение 1'!J173</f>
        <v>6195.74</v>
      </c>
      <c r="D17" s="85">
        <f>'Приложение 1'!M173</f>
        <v>222</v>
      </c>
      <c r="E17" s="59">
        <v>0</v>
      </c>
      <c r="F17" s="85">
        <v>0</v>
      </c>
      <c r="G17" s="59">
        <v>0</v>
      </c>
      <c r="H17" s="85">
        <v>2</v>
      </c>
      <c r="I17" s="85">
        <f t="shared" si="1"/>
        <v>2</v>
      </c>
      <c r="J17" s="87">
        <v>0</v>
      </c>
      <c r="K17" s="87">
        <v>0</v>
      </c>
      <c r="L17" s="87">
        <v>0</v>
      </c>
      <c r="M17" s="84">
        <f>'Приложение 1'!N173</f>
        <v>5951684.4000000004</v>
      </c>
      <c r="N17" s="84">
        <f t="shared" si="2"/>
        <v>5951684.4000000004</v>
      </c>
    </row>
    <row r="18" spans="1:14" ht="26.25" customHeight="1">
      <c r="A18" s="83">
        <v>7</v>
      </c>
      <c r="B18" s="86" t="s">
        <v>264</v>
      </c>
      <c r="C18" s="84">
        <f>'Приложение 1'!J179</f>
        <v>1662.14</v>
      </c>
      <c r="D18" s="85">
        <f>'Приложение 1'!M179</f>
        <v>66</v>
      </c>
      <c r="E18" s="59">
        <v>0</v>
      </c>
      <c r="F18" s="85">
        <v>0</v>
      </c>
      <c r="G18" s="59">
        <v>0</v>
      </c>
      <c r="H18" s="85">
        <v>4</v>
      </c>
      <c r="I18" s="85">
        <f t="shared" si="1"/>
        <v>4</v>
      </c>
      <c r="J18" s="87">
        <v>0</v>
      </c>
      <c r="K18" s="87">
        <v>0</v>
      </c>
      <c r="L18" s="87">
        <v>0</v>
      </c>
      <c r="M18" s="84">
        <f>'Приложение 1'!N179</f>
        <v>4700387.95</v>
      </c>
      <c r="N18" s="84">
        <f t="shared" si="2"/>
        <v>4700387.95</v>
      </c>
    </row>
    <row r="19" spans="1:14" ht="22.5">
      <c r="A19" s="83">
        <v>8</v>
      </c>
      <c r="B19" s="86" t="s">
        <v>440</v>
      </c>
      <c r="C19" s="84">
        <f>'Приложение 1'!J182</f>
        <v>427.5</v>
      </c>
      <c r="D19" s="85">
        <f>'Приложение 1'!M182</f>
        <v>26</v>
      </c>
      <c r="E19" s="59">
        <v>0</v>
      </c>
      <c r="F19" s="85">
        <v>0</v>
      </c>
      <c r="G19" s="59">
        <v>0</v>
      </c>
      <c r="H19" s="85">
        <v>1</v>
      </c>
      <c r="I19" s="85">
        <f t="shared" si="1"/>
        <v>1</v>
      </c>
      <c r="J19" s="87">
        <v>0</v>
      </c>
      <c r="K19" s="87">
        <v>0</v>
      </c>
      <c r="L19" s="87">
        <v>0</v>
      </c>
      <c r="M19" s="84">
        <f>'Приложение 1'!N182</f>
        <v>1376215.27</v>
      </c>
      <c r="N19" s="84">
        <f t="shared" si="2"/>
        <v>1376215.27</v>
      </c>
    </row>
    <row r="20" spans="1:14">
      <c r="A20" s="83">
        <v>9</v>
      </c>
      <c r="B20" s="86" t="s">
        <v>395</v>
      </c>
      <c r="C20" s="84">
        <f>'Приложение 1'!J199</f>
        <v>14144.000000000004</v>
      </c>
      <c r="D20" s="85">
        <f>'Приложение 1'!M199</f>
        <v>557</v>
      </c>
      <c r="E20" s="59">
        <v>0</v>
      </c>
      <c r="F20" s="85">
        <v>0</v>
      </c>
      <c r="G20" s="59">
        <v>0</v>
      </c>
      <c r="H20" s="85">
        <v>15</v>
      </c>
      <c r="I20" s="85">
        <f t="shared" si="1"/>
        <v>15</v>
      </c>
      <c r="J20" s="87">
        <v>0</v>
      </c>
      <c r="K20" s="87">
        <v>0</v>
      </c>
      <c r="L20" s="87">
        <v>0</v>
      </c>
      <c r="M20" s="84">
        <f>'Приложение 1'!N199</f>
        <v>23859657.439999998</v>
      </c>
      <c r="N20" s="84">
        <f t="shared" si="2"/>
        <v>23859657.439999998</v>
      </c>
    </row>
    <row r="21" spans="1:14" ht="25.5" customHeight="1">
      <c r="A21" s="83">
        <v>10</v>
      </c>
      <c r="B21" s="86" t="s">
        <v>445</v>
      </c>
      <c r="C21" s="84">
        <f>'Приложение 1'!J203</f>
        <v>1642.3000000000002</v>
      </c>
      <c r="D21" s="85">
        <f>'Приложение 1'!M203</f>
        <v>73</v>
      </c>
      <c r="E21" s="59">
        <v>0</v>
      </c>
      <c r="F21" s="85">
        <v>0</v>
      </c>
      <c r="G21" s="59">
        <v>0</v>
      </c>
      <c r="H21" s="85">
        <v>2</v>
      </c>
      <c r="I21" s="85">
        <f t="shared" si="1"/>
        <v>2</v>
      </c>
      <c r="J21" s="87">
        <v>0</v>
      </c>
      <c r="K21" s="87">
        <v>0</v>
      </c>
      <c r="L21" s="87">
        <v>0</v>
      </c>
      <c r="M21" s="84">
        <f>'Приложение 1'!N203</f>
        <v>3710545.95</v>
      </c>
      <c r="N21" s="84">
        <f t="shared" si="2"/>
        <v>3710545.95</v>
      </c>
    </row>
    <row r="22" spans="1:14" ht="14.25" customHeight="1">
      <c r="A22" s="83">
        <v>11</v>
      </c>
      <c r="B22" s="86" t="s">
        <v>397</v>
      </c>
      <c r="C22" s="84">
        <f>'Приложение 1'!J206</f>
        <v>828.7</v>
      </c>
      <c r="D22" s="85">
        <f>'Приложение 1'!M206</f>
        <v>65</v>
      </c>
      <c r="E22" s="59">
        <v>0</v>
      </c>
      <c r="F22" s="85">
        <v>0</v>
      </c>
      <c r="G22" s="59">
        <v>0</v>
      </c>
      <c r="H22" s="85">
        <v>1</v>
      </c>
      <c r="I22" s="85">
        <f t="shared" si="1"/>
        <v>1</v>
      </c>
      <c r="J22" s="87">
        <v>0</v>
      </c>
      <c r="K22" s="87">
        <v>0</v>
      </c>
      <c r="L22" s="87">
        <v>0</v>
      </c>
      <c r="M22" s="84">
        <f>'Приложение 1'!N206</f>
        <v>1919938.68</v>
      </c>
      <c r="N22" s="84">
        <f t="shared" si="2"/>
        <v>1919938.68</v>
      </c>
    </row>
    <row r="23" spans="1:14" ht="22.5">
      <c r="A23" s="83">
        <v>12</v>
      </c>
      <c r="B23" s="86" t="s">
        <v>442</v>
      </c>
      <c r="C23" s="84">
        <f>'Приложение 1'!J209</f>
        <v>1670.6</v>
      </c>
      <c r="D23" s="85">
        <f>'Приложение 1'!M209</f>
        <v>43</v>
      </c>
      <c r="E23" s="59">
        <v>0</v>
      </c>
      <c r="F23" s="85">
        <v>0</v>
      </c>
      <c r="G23" s="59">
        <v>0</v>
      </c>
      <c r="H23" s="85">
        <v>1</v>
      </c>
      <c r="I23" s="85">
        <f t="shared" si="1"/>
        <v>1</v>
      </c>
      <c r="J23" s="87">
        <v>0</v>
      </c>
      <c r="K23" s="87">
        <v>0</v>
      </c>
      <c r="L23" s="87">
        <v>0</v>
      </c>
      <c r="M23" s="84">
        <f>'Приложение 1'!N209</f>
        <v>2556075.09</v>
      </c>
      <c r="N23" s="84">
        <f t="shared" si="2"/>
        <v>2556075.09</v>
      </c>
    </row>
    <row r="24" spans="1:14" ht="22.5">
      <c r="A24" s="83">
        <v>13</v>
      </c>
      <c r="B24" s="86" t="s">
        <v>435</v>
      </c>
      <c r="C24" s="84">
        <f>'Приложение 1'!J213</f>
        <v>1098.0999999999999</v>
      </c>
      <c r="D24" s="85">
        <f>'Приложение 1'!M213</f>
        <v>46</v>
      </c>
      <c r="E24" s="59">
        <v>0</v>
      </c>
      <c r="F24" s="85">
        <v>0</v>
      </c>
      <c r="G24" s="59">
        <v>0</v>
      </c>
      <c r="H24" s="85">
        <v>2</v>
      </c>
      <c r="I24" s="85">
        <f t="shared" si="1"/>
        <v>2</v>
      </c>
      <c r="J24" s="87">
        <v>0</v>
      </c>
      <c r="K24" s="87">
        <v>0</v>
      </c>
      <c r="L24" s="87">
        <v>0</v>
      </c>
      <c r="M24" s="84">
        <f>'Приложение 1'!N213</f>
        <v>3010576.8099999996</v>
      </c>
      <c r="N24" s="84">
        <f t="shared" si="2"/>
        <v>3010576.8099999996</v>
      </c>
    </row>
    <row r="25" spans="1:14" ht="22.5">
      <c r="A25" s="83">
        <v>14</v>
      </c>
      <c r="B25" s="92" t="s">
        <v>1085</v>
      </c>
      <c r="C25" s="84">
        <f>'Приложение 1'!J216</f>
        <v>2513.1</v>
      </c>
      <c r="D25" s="85">
        <f>'Приложение 1'!M216</f>
        <v>123</v>
      </c>
      <c r="E25" s="59">
        <v>0</v>
      </c>
      <c r="F25" s="85">
        <v>0</v>
      </c>
      <c r="G25" s="59">
        <v>0</v>
      </c>
      <c r="H25" s="85">
        <v>1</v>
      </c>
      <c r="I25" s="85">
        <f t="shared" si="1"/>
        <v>1</v>
      </c>
      <c r="J25" s="87">
        <v>0</v>
      </c>
      <c r="K25" s="87">
        <v>0</v>
      </c>
      <c r="L25" s="87">
        <v>0</v>
      </c>
      <c r="M25" s="84">
        <f>'Приложение 1'!N216</f>
        <v>1594069.23</v>
      </c>
      <c r="N25" s="84">
        <f t="shared" si="2"/>
        <v>1594069.23</v>
      </c>
    </row>
    <row r="26" spans="1:14" ht="22.5">
      <c r="A26" s="83">
        <v>15</v>
      </c>
      <c r="B26" s="86" t="s">
        <v>409</v>
      </c>
      <c r="C26" s="84">
        <f>'Приложение 1'!J219</f>
        <v>419.5</v>
      </c>
      <c r="D26" s="85">
        <f>'Приложение 1'!M219</f>
        <v>21</v>
      </c>
      <c r="E26" s="59">
        <v>0</v>
      </c>
      <c r="F26" s="85">
        <v>0</v>
      </c>
      <c r="G26" s="59">
        <v>0</v>
      </c>
      <c r="H26" s="85">
        <v>1</v>
      </c>
      <c r="I26" s="85">
        <f t="shared" si="1"/>
        <v>1</v>
      </c>
      <c r="J26" s="87">
        <v>0</v>
      </c>
      <c r="K26" s="87">
        <v>0</v>
      </c>
      <c r="L26" s="87">
        <v>0</v>
      </c>
      <c r="M26" s="84">
        <f>'Приложение 1'!N219</f>
        <v>915711.45</v>
      </c>
      <c r="N26" s="84">
        <f t="shared" si="2"/>
        <v>915711.45</v>
      </c>
    </row>
    <row r="27" spans="1:14" ht="22.5">
      <c r="A27" s="83">
        <v>16</v>
      </c>
      <c r="B27" s="86" t="s">
        <v>305</v>
      </c>
      <c r="C27" s="84">
        <f>'Приложение 1'!J222</f>
        <v>505.1</v>
      </c>
      <c r="D27" s="85">
        <f>'Приложение 1'!M222</f>
        <v>17</v>
      </c>
      <c r="E27" s="59">
        <v>0</v>
      </c>
      <c r="F27" s="85">
        <v>0</v>
      </c>
      <c r="G27" s="59">
        <v>0</v>
      </c>
      <c r="H27" s="85">
        <v>1</v>
      </c>
      <c r="I27" s="85">
        <f t="shared" si="1"/>
        <v>1</v>
      </c>
      <c r="J27" s="87">
        <v>0</v>
      </c>
      <c r="K27" s="87">
        <v>0</v>
      </c>
      <c r="L27" s="87">
        <v>0</v>
      </c>
      <c r="M27" s="84">
        <f>'Приложение 1'!N222</f>
        <v>1758941.64</v>
      </c>
      <c r="N27" s="84">
        <f t="shared" si="2"/>
        <v>1758941.64</v>
      </c>
    </row>
    <row r="28" spans="1:14" ht="22.5">
      <c r="A28" s="83">
        <v>17</v>
      </c>
      <c r="B28" s="86" t="s">
        <v>295</v>
      </c>
      <c r="C28" s="84">
        <f>'Приложение 1'!J235</f>
        <v>30800.379999999997</v>
      </c>
      <c r="D28" s="85">
        <f>'Приложение 1'!M235</f>
        <v>1137</v>
      </c>
      <c r="E28" s="59">
        <v>0</v>
      </c>
      <c r="F28" s="85">
        <v>0</v>
      </c>
      <c r="G28" s="59">
        <v>0</v>
      </c>
      <c r="H28" s="85">
        <v>11</v>
      </c>
      <c r="I28" s="85">
        <f t="shared" si="1"/>
        <v>11</v>
      </c>
      <c r="J28" s="87">
        <v>0</v>
      </c>
      <c r="K28" s="87">
        <v>0</v>
      </c>
      <c r="L28" s="87">
        <v>0</v>
      </c>
      <c r="M28" s="84">
        <f>'Приложение 1'!N235</f>
        <v>24744635.82</v>
      </c>
      <c r="N28" s="84">
        <f t="shared" si="2"/>
        <v>24744635.82</v>
      </c>
    </row>
    <row r="29" spans="1:14" ht="22.5">
      <c r="A29" s="83">
        <v>18</v>
      </c>
      <c r="B29" s="86" t="s">
        <v>296</v>
      </c>
      <c r="C29" s="84">
        <f>'Приложение 1'!J239</f>
        <v>1004.5</v>
      </c>
      <c r="D29" s="85">
        <f>'Приложение 1'!M239</f>
        <v>51</v>
      </c>
      <c r="E29" s="59">
        <v>0</v>
      </c>
      <c r="F29" s="85">
        <v>0</v>
      </c>
      <c r="G29" s="59">
        <v>0</v>
      </c>
      <c r="H29" s="85">
        <v>2</v>
      </c>
      <c r="I29" s="85">
        <f t="shared" si="1"/>
        <v>2</v>
      </c>
      <c r="J29" s="87">
        <v>0</v>
      </c>
      <c r="K29" s="87">
        <v>0</v>
      </c>
      <c r="L29" s="87">
        <v>0</v>
      </c>
      <c r="M29" s="84">
        <f>'Приложение 1'!N239</f>
        <v>2940855.84</v>
      </c>
      <c r="N29" s="84">
        <f t="shared" si="2"/>
        <v>2940855.84</v>
      </c>
    </row>
    <row r="30" spans="1:14" ht="22.5">
      <c r="A30" s="83">
        <v>19</v>
      </c>
      <c r="B30" s="86" t="s">
        <v>297</v>
      </c>
      <c r="C30" s="84">
        <f>'Приложение 1'!J242</f>
        <v>1528.8</v>
      </c>
      <c r="D30" s="85">
        <f>'Приложение 1'!M242</f>
        <v>50</v>
      </c>
      <c r="E30" s="59">
        <v>0</v>
      </c>
      <c r="F30" s="85">
        <v>0</v>
      </c>
      <c r="G30" s="59">
        <v>0</v>
      </c>
      <c r="H30" s="85">
        <v>1</v>
      </c>
      <c r="I30" s="85">
        <f t="shared" si="1"/>
        <v>1</v>
      </c>
      <c r="J30" s="87">
        <v>0</v>
      </c>
      <c r="K30" s="87">
        <v>0</v>
      </c>
      <c r="L30" s="87">
        <v>0</v>
      </c>
      <c r="M30" s="84">
        <f>'Приложение 1'!N242</f>
        <v>2023990.89</v>
      </c>
      <c r="N30" s="84">
        <f t="shared" si="2"/>
        <v>2023990.89</v>
      </c>
    </row>
    <row r="31" spans="1:14" ht="22.5">
      <c r="A31" s="83">
        <v>20</v>
      </c>
      <c r="B31" s="86" t="s">
        <v>298</v>
      </c>
      <c r="C31" s="84">
        <f>'Приложение 1'!J245</f>
        <v>1779.6</v>
      </c>
      <c r="D31" s="85">
        <f>'Приложение 1'!M245</f>
        <v>21</v>
      </c>
      <c r="E31" s="59">
        <v>0</v>
      </c>
      <c r="F31" s="85">
        <v>0</v>
      </c>
      <c r="G31" s="59">
        <v>0</v>
      </c>
      <c r="H31" s="85">
        <v>1</v>
      </c>
      <c r="I31" s="85">
        <f t="shared" si="1"/>
        <v>1</v>
      </c>
      <c r="J31" s="87">
        <v>0</v>
      </c>
      <c r="K31" s="87">
        <v>0</v>
      </c>
      <c r="L31" s="87">
        <v>0</v>
      </c>
      <c r="M31" s="84">
        <f>'Приложение 1'!N245</f>
        <v>2137661.38</v>
      </c>
      <c r="N31" s="84">
        <f t="shared" si="2"/>
        <v>2137661.38</v>
      </c>
    </row>
    <row r="32" spans="1:14">
      <c r="A32" s="83">
        <v>21</v>
      </c>
      <c r="B32" s="86" t="s">
        <v>400</v>
      </c>
      <c r="C32" s="84">
        <f>'Приложение 1'!J249</f>
        <v>1665</v>
      </c>
      <c r="D32" s="85">
        <f>'Приложение 1'!M249</f>
        <v>37</v>
      </c>
      <c r="E32" s="59">
        <v>0</v>
      </c>
      <c r="F32" s="85">
        <v>0</v>
      </c>
      <c r="G32" s="59">
        <v>0</v>
      </c>
      <c r="H32" s="85">
        <v>2</v>
      </c>
      <c r="I32" s="85">
        <f t="shared" si="1"/>
        <v>2</v>
      </c>
      <c r="J32" s="87">
        <v>0</v>
      </c>
      <c r="K32" s="87">
        <v>0</v>
      </c>
      <c r="L32" s="87">
        <v>0</v>
      </c>
      <c r="M32" s="84">
        <f>'Приложение 1'!N249</f>
        <v>3591956.5999999996</v>
      </c>
      <c r="N32" s="84">
        <f t="shared" si="2"/>
        <v>3591956.5999999996</v>
      </c>
    </row>
    <row r="33" spans="1:14" ht="22.5">
      <c r="A33" s="83">
        <v>22</v>
      </c>
      <c r="B33" s="86" t="s">
        <v>330</v>
      </c>
      <c r="C33" s="84">
        <f>'Приложение 1'!J253</f>
        <v>10079.700000000001</v>
      </c>
      <c r="D33" s="85">
        <f>'Приложение 1'!M253</f>
        <v>308</v>
      </c>
      <c r="E33" s="59">
        <v>0</v>
      </c>
      <c r="F33" s="85">
        <v>0</v>
      </c>
      <c r="G33" s="59">
        <v>0</v>
      </c>
      <c r="H33" s="85">
        <v>2</v>
      </c>
      <c r="I33" s="85">
        <f t="shared" si="1"/>
        <v>2</v>
      </c>
      <c r="J33" s="87">
        <v>0</v>
      </c>
      <c r="K33" s="87">
        <v>0</v>
      </c>
      <c r="L33" s="87">
        <v>0</v>
      </c>
      <c r="M33" s="84">
        <f>'Приложение 1'!N253</f>
        <v>6597086.1400000006</v>
      </c>
      <c r="N33" s="84">
        <f t="shared" si="2"/>
        <v>6597086.1400000006</v>
      </c>
    </row>
    <row r="34" spans="1:14" ht="22.5">
      <c r="A34" s="83">
        <v>23</v>
      </c>
      <c r="B34" s="86" t="s">
        <v>405</v>
      </c>
      <c r="C34" s="84">
        <f>'Приложение 1'!J256</f>
        <v>1003.5</v>
      </c>
      <c r="D34" s="85">
        <f>'Приложение 1'!M256</f>
        <v>32</v>
      </c>
      <c r="E34" s="59">
        <v>0</v>
      </c>
      <c r="F34" s="85">
        <v>0</v>
      </c>
      <c r="G34" s="59">
        <v>0</v>
      </c>
      <c r="H34" s="85">
        <v>1</v>
      </c>
      <c r="I34" s="85">
        <f t="shared" si="1"/>
        <v>1</v>
      </c>
      <c r="J34" s="87">
        <v>0</v>
      </c>
      <c r="K34" s="87">
        <v>0</v>
      </c>
      <c r="L34" s="87">
        <v>0</v>
      </c>
      <c r="M34" s="84">
        <f>'Приложение 1'!N256</f>
        <v>2050199.17</v>
      </c>
      <c r="N34" s="84">
        <f t="shared" si="2"/>
        <v>2050199.17</v>
      </c>
    </row>
    <row r="35" spans="1:14">
      <c r="A35" s="83">
        <v>24</v>
      </c>
      <c r="B35" s="86" t="s">
        <v>427</v>
      </c>
      <c r="C35" s="84">
        <f>'Приложение 1'!J264</f>
        <v>17664.399999999998</v>
      </c>
      <c r="D35" s="85">
        <f>'Приложение 1'!M264</f>
        <v>668</v>
      </c>
      <c r="E35" s="59">
        <v>0</v>
      </c>
      <c r="F35" s="85">
        <v>0</v>
      </c>
      <c r="G35" s="59">
        <v>0</v>
      </c>
      <c r="H35" s="85">
        <v>6</v>
      </c>
      <c r="I35" s="85">
        <f t="shared" si="1"/>
        <v>6</v>
      </c>
      <c r="J35" s="87">
        <v>0</v>
      </c>
      <c r="K35" s="87">
        <v>0</v>
      </c>
      <c r="L35" s="87">
        <v>0</v>
      </c>
      <c r="M35" s="84">
        <f>'Приложение 1'!N264</f>
        <v>17252755.929999996</v>
      </c>
      <c r="N35" s="84">
        <f t="shared" si="2"/>
        <v>17252755.929999996</v>
      </c>
    </row>
    <row r="36" spans="1:14" ht="22.5">
      <c r="A36" s="83">
        <v>25</v>
      </c>
      <c r="B36" s="86" t="s">
        <v>341</v>
      </c>
      <c r="C36" s="84">
        <f>'Приложение 1'!J268</f>
        <v>753.59999999999991</v>
      </c>
      <c r="D36" s="85">
        <f>'Приложение 1'!M268</f>
        <v>24</v>
      </c>
      <c r="E36" s="59">
        <v>0</v>
      </c>
      <c r="F36" s="85">
        <v>0</v>
      </c>
      <c r="G36" s="59">
        <v>0</v>
      </c>
      <c r="H36" s="85">
        <v>2</v>
      </c>
      <c r="I36" s="85">
        <f t="shared" si="1"/>
        <v>2</v>
      </c>
      <c r="J36" s="87">
        <v>0</v>
      </c>
      <c r="K36" s="87">
        <v>0</v>
      </c>
      <c r="L36" s="87">
        <v>0</v>
      </c>
      <c r="M36" s="84">
        <f>'Приложение 1'!N268</f>
        <v>2592742.1</v>
      </c>
      <c r="N36" s="84">
        <f t="shared" si="2"/>
        <v>2592742.1</v>
      </c>
    </row>
    <row r="37" spans="1:14" ht="22.5">
      <c r="A37" s="83">
        <v>26</v>
      </c>
      <c r="B37" s="86" t="s">
        <v>1043</v>
      </c>
      <c r="C37" s="84">
        <f>'Приложение 1'!J274</f>
        <v>2814.7999999999997</v>
      </c>
      <c r="D37" s="85">
        <f>'Приложение 1'!M274</f>
        <v>86</v>
      </c>
      <c r="E37" s="59">
        <v>0</v>
      </c>
      <c r="F37" s="85">
        <v>0</v>
      </c>
      <c r="G37" s="59">
        <v>0</v>
      </c>
      <c r="H37" s="85">
        <v>4</v>
      </c>
      <c r="I37" s="85">
        <f t="shared" si="1"/>
        <v>4</v>
      </c>
      <c r="J37" s="87">
        <v>0</v>
      </c>
      <c r="K37" s="87">
        <v>0</v>
      </c>
      <c r="L37" s="87">
        <v>0</v>
      </c>
      <c r="M37" s="84">
        <f>'Приложение 1'!N274</f>
        <v>6877592.8399999999</v>
      </c>
      <c r="N37" s="84">
        <f t="shared" si="2"/>
        <v>6877592.8399999999</v>
      </c>
    </row>
    <row r="38" spans="1:14">
      <c r="A38" s="83">
        <v>27</v>
      </c>
      <c r="B38" s="86" t="s">
        <v>425</v>
      </c>
      <c r="C38" s="84">
        <f>'Приложение 1'!J278</f>
        <v>784.1</v>
      </c>
      <c r="D38" s="85">
        <f>'Приложение 1'!M278</f>
        <v>28</v>
      </c>
      <c r="E38" s="59">
        <v>0</v>
      </c>
      <c r="F38" s="85">
        <v>0</v>
      </c>
      <c r="G38" s="59">
        <v>0</v>
      </c>
      <c r="H38" s="85">
        <v>2</v>
      </c>
      <c r="I38" s="85">
        <f t="shared" si="1"/>
        <v>2</v>
      </c>
      <c r="J38" s="87">
        <v>0</v>
      </c>
      <c r="K38" s="87">
        <v>0</v>
      </c>
      <c r="L38" s="87">
        <v>0</v>
      </c>
      <c r="M38" s="84">
        <f>'Приложение 1'!N278</f>
        <v>2587419.73</v>
      </c>
      <c r="N38" s="84">
        <f t="shared" si="2"/>
        <v>2587419.73</v>
      </c>
    </row>
    <row r="39" spans="1:14">
      <c r="A39" s="83">
        <v>28</v>
      </c>
      <c r="B39" s="86" t="s">
        <v>352</v>
      </c>
      <c r="C39" s="84">
        <f>'Приложение 1'!J281</f>
        <v>1071.7</v>
      </c>
      <c r="D39" s="85">
        <f>'Приложение 1'!M281</f>
        <v>34</v>
      </c>
      <c r="E39" s="59">
        <v>0</v>
      </c>
      <c r="F39" s="85">
        <v>0</v>
      </c>
      <c r="G39" s="59">
        <v>0</v>
      </c>
      <c r="H39" s="85">
        <v>1</v>
      </c>
      <c r="I39" s="85">
        <f t="shared" si="1"/>
        <v>1</v>
      </c>
      <c r="J39" s="87">
        <v>0</v>
      </c>
      <c r="K39" s="87">
        <v>0</v>
      </c>
      <c r="L39" s="87">
        <v>0</v>
      </c>
      <c r="M39" s="84">
        <f>'Приложение 1'!N281</f>
        <v>3249893.6</v>
      </c>
      <c r="N39" s="84">
        <f t="shared" si="2"/>
        <v>3249893.6</v>
      </c>
    </row>
    <row r="40" spans="1:14" ht="22.5">
      <c r="A40" s="83">
        <v>29</v>
      </c>
      <c r="B40" s="86" t="s">
        <v>433</v>
      </c>
      <c r="C40" s="84">
        <f>'Приложение 1'!J285</f>
        <v>2334.9</v>
      </c>
      <c r="D40" s="85">
        <f>'Приложение 1'!M285</f>
        <v>59</v>
      </c>
      <c r="E40" s="59">
        <v>0</v>
      </c>
      <c r="F40" s="85">
        <v>0</v>
      </c>
      <c r="G40" s="59">
        <v>0</v>
      </c>
      <c r="H40" s="85">
        <v>2</v>
      </c>
      <c r="I40" s="85">
        <f t="shared" si="1"/>
        <v>2</v>
      </c>
      <c r="J40" s="87">
        <v>0</v>
      </c>
      <c r="K40" s="87">
        <v>0</v>
      </c>
      <c r="L40" s="87">
        <v>0</v>
      </c>
      <c r="M40" s="84">
        <f>'Приложение 1'!N285</f>
        <v>689350.98</v>
      </c>
      <c r="N40" s="84">
        <f t="shared" si="2"/>
        <v>689350.98</v>
      </c>
    </row>
    <row r="41" spans="1:14">
      <c r="A41" s="83">
        <v>30</v>
      </c>
      <c r="B41" s="91" t="s">
        <v>1073</v>
      </c>
      <c r="C41" s="84">
        <f>'Приложение 1'!J288</f>
        <v>478.5</v>
      </c>
      <c r="D41" s="85">
        <f>'Приложение 1'!M288</f>
        <v>13</v>
      </c>
      <c r="E41" s="59">
        <v>0</v>
      </c>
      <c r="F41" s="85">
        <v>0</v>
      </c>
      <c r="G41" s="59">
        <v>0</v>
      </c>
      <c r="H41" s="85">
        <v>1</v>
      </c>
      <c r="I41" s="85">
        <f t="shared" si="1"/>
        <v>1</v>
      </c>
      <c r="J41" s="87">
        <v>0</v>
      </c>
      <c r="K41" s="87">
        <v>0</v>
      </c>
      <c r="L41" s="87">
        <v>0</v>
      </c>
      <c r="M41" s="84">
        <f>'Приложение 1'!N288</f>
        <v>1059478.07</v>
      </c>
      <c r="N41" s="84">
        <f t="shared" si="2"/>
        <v>1059478.07</v>
      </c>
    </row>
    <row r="42" spans="1:14" ht="22.5">
      <c r="A42" s="83">
        <v>31</v>
      </c>
      <c r="B42" s="86" t="s">
        <v>361</v>
      </c>
      <c r="C42" s="84">
        <f>'Приложение 1'!J292</f>
        <v>5593.3</v>
      </c>
      <c r="D42" s="85">
        <f>'Приложение 1'!M292</f>
        <v>193</v>
      </c>
      <c r="E42" s="59">
        <v>0</v>
      </c>
      <c r="F42" s="85">
        <v>0</v>
      </c>
      <c r="G42" s="59">
        <v>0</v>
      </c>
      <c r="H42" s="85">
        <v>2</v>
      </c>
      <c r="I42" s="85">
        <f t="shared" si="1"/>
        <v>2</v>
      </c>
      <c r="J42" s="87">
        <v>0</v>
      </c>
      <c r="K42" s="87">
        <v>0</v>
      </c>
      <c r="L42" s="87">
        <v>0</v>
      </c>
      <c r="M42" s="84">
        <f>'Приложение 1'!N292</f>
        <v>6412375.1500000004</v>
      </c>
      <c r="N42" s="84">
        <f t="shared" si="2"/>
        <v>6412375.1500000004</v>
      </c>
    </row>
    <row r="43" spans="1:14">
      <c r="A43" s="83">
        <v>32</v>
      </c>
      <c r="B43" s="86" t="s">
        <v>431</v>
      </c>
      <c r="C43" s="84">
        <f>'Приложение 1'!J295</f>
        <v>407.5</v>
      </c>
      <c r="D43" s="85">
        <f>'Приложение 1'!M295</f>
        <v>23</v>
      </c>
      <c r="E43" s="59">
        <v>0</v>
      </c>
      <c r="F43" s="85">
        <v>0</v>
      </c>
      <c r="G43" s="59">
        <v>0</v>
      </c>
      <c r="H43" s="85">
        <v>1</v>
      </c>
      <c r="I43" s="85">
        <f t="shared" si="1"/>
        <v>1</v>
      </c>
      <c r="J43" s="87">
        <v>0</v>
      </c>
      <c r="K43" s="87">
        <v>0</v>
      </c>
      <c r="L43" s="87">
        <v>0</v>
      </c>
      <c r="M43" s="84">
        <f>'Приложение 1'!N295</f>
        <v>1131126.47</v>
      </c>
      <c r="N43" s="84">
        <f t="shared" si="2"/>
        <v>1131126.47</v>
      </c>
    </row>
    <row r="44" spans="1:14" ht="22.5">
      <c r="A44" s="83">
        <v>33</v>
      </c>
      <c r="B44" s="86" t="s">
        <v>402</v>
      </c>
      <c r="C44" s="84">
        <f>'Приложение 1'!J298</f>
        <v>658.1</v>
      </c>
      <c r="D44" s="85">
        <f>'Приложение 1'!M298</f>
        <v>17</v>
      </c>
      <c r="E44" s="59">
        <v>0</v>
      </c>
      <c r="F44" s="85">
        <v>0</v>
      </c>
      <c r="G44" s="59">
        <v>0</v>
      </c>
      <c r="H44" s="85">
        <v>1</v>
      </c>
      <c r="I44" s="85">
        <f t="shared" si="1"/>
        <v>1</v>
      </c>
      <c r="J44" s="87">
        <v>0</v>
      </c>
      <c r="K44" s="87">
        <v>0</v>
      </c>
      <c r="L44" s="87">
        <v>0</v>
      </c>
      <c r="M44" s="84">
        <f>'Приложение 1'!N298</f>
        <v>1645051.71</v>
      </c>
      <c r="N44" s="84">
        <f t="shared" si="2"/>
        <v>1645051.71</v>
      </c>
    </row>
    <row r="45" spans="1:14">
      <c r="A45" s="83">
        <v>34</v>
      </c>
      <c r="B45" s="86" t="s">
        <v>3</v>
      </c>
      <c r="C45" s="84">
        <f>'Приложение 1'!J302</f>
        <v>1852.42</v>
      </c>
      <c r="D45" s="85">
        <f>'Приложение 1'!M302</f>
        <v>53</v>
      </c>
      <c r="E45" s="59">
        <v>0</v>
      </c>
      <c r="F45" s="85">
        <v>0</v>
      </c>
      <c r="G45" s="59">
        <v>0</v>
      </c>
      <c r="H45" s="85">
        <v>2</v>
      </c>
      <c r="I45" s="85">
        <f t="shared" si="1"/>
        <v>2</v>
      </c>
      <c r="J45" s="87">
        <v>0</v>
      </c>
      <c r="K45" s="87">
        <v>0</v>
      </c>
      <c r="L45" s="87">
        <v>0</v>
      </c>
      <c r="M45" s="84">
        <f>'Приложение 1'!N302</f>
        <v>2823117.67</v>
      </c>
      <c r="N45" s="84">
        <f t="shared" si="2"/>
        <v>2823117.67</v>
      </c>
    </row>
    <row r="46" spans="1:14">
      <c r="A46" s="83">
        <v>35</v>
      </c>
      <c r="B46" s="86" t="s">
        <v>9</v>
      </c>
      <c r="C46" s="84">
        <f>'Приложение 1'!J306</f>
        <v>1158.4000000000001</v>
      </c>
      <c r="D46" s="85">
        <f>'Приложение 1'!M306</f>
        <v>45</v>
      </c>
      <c r="E46" s="59">
        <v>0</v>
      </c>
      <c r="F46" s="85">
        <v>0</v>
      </c>
      <c r="G46" s="59">
        <v>0</v>
      </c>
      <c r="H46" s="85">
        <v>2</v>
      </c>
      <c r="I46" s="85">
        <f t="shared" si="1"/>
        <v>2</v>
      </c>
      <c r="J46" s="87">
        <v>0</v>
      </c>
      <c r="K46" s="87">
        <v>0</v>
      </c>
      <c r="L46" s="87">
        <v>0</v>
      </c>
      <c r="M46" s="84">
        <f>'Приложение 1'!N306</f>
        <v>2488251.2999999998</v>
      </c>
      <c r="N46" s="84">
        <f t="shared" si="2"/>
        <v>2488251.2999999998</v>
      </c>
    </row>
    <row r="47" spans="1:14" ht="22.5">
      <c r="A47" s="83">
        <v>36</v>
      </c>
      <c r="B47" s="86" t="s">
        <v>11</v>
      </c>
      <c r="C47" s="84">
        <f>'Приложение 1'!J312</f>
        <v>2321.6</v>
      </c>
      <c r="D47" s="85">
        <f>'Приложение 1'!M312</f>
        <v>86</v>
      </c>
      <c r="E47" s="59">
        <v>0</v>
      </c>
      <c r="F47" s="85">
        <v>0</v>
      </c>
      <c r="G47" s="59">
        <v>0</v>
      </c>
      <c r="H47" s="85">
        <v>4</v>
      </c>
      <c r="I47" s="85">
        <f t="shared" si="1"/>
        <v>4</v>
      </c>
      <c r="J47" s="87">
        <v>0</v>
      </c>
      <c r="K47" s="87">
        <v>0</v>
      </c>
      <c r="L47" s="87">
        <v>0</v>
      </c>
      <c r="M47" s="84">
        <f>'Приложение 1'!N312</f>
        <v>5648744.8499999996</v>
      </c>
      <c r="N47" s="84">
        <f t="shared" si="2"/>
        <v>5648744.8499999996</v>
      </c>
    </row>
    <row r="48" spans="1:14" ht="22.5">
      <c r="A48" s="83">
        <v>37</v>
      </c>
      <c r="B48" s="86" t="s">
        <v>392</v>
      </c>
      <c r="C48" s="84">
        <f>'Приложение 1'!J316</f>
        <v>1960</v>
      </c>
      <c r="D48" s="85">
        <f>'Приложение 1'!M316</f>
        <v>71</v>
      </c>
      <c r="E48" s="59">
        <v>0</v>
      </c>
      <c r="F48" s="85">
        <v>0</v>
      </c>
      <c r="G48" s="59">
        <v>0</v>
      </c>
      <c r="H48" s="85">
        <v>2</v>
      </c>
      <c r="I48" s="85">
        <f t="shared" si="1"/>
        <v>2</v>
      </c>
      <c r="J48" s="87">
        <v>0</v>
      </c>
      <c r="K48" s="87">
        <v>0</v>
      </c>
      <c r="L48" s="87">
        <v>0</v>
      </c>
      <c r="M48" s="84">
        <f>'Приложение 1'!N316</f>
        <v>5054598.5600000005</v>
      </c>
      <c r="N48" s="84">
        <f t="shared" si="2"/>
        <v>5054598.5600000005</v>
      </c>
    </row>
    <row r="49" spans="1:14">
      <c r="A49" s="83">
        <v>38</v>
      </c>
      <c r="B49" s="91" t="s">
        <v>1071</v>
      </c>
      <c r="C49" s="84">
        <f>'Приложение 1'!J319</f>
        <v>800.6</v>
      </c>
      <c r="D49" s="85">
        <f>'Приложение 1'!M319</f>
        <v>37</v>
      </c>
      <c r="E49" s="59">
        <v>0</v>
      </c>
      <c r="F49" s="85">
        <v>0</v>
      </c>
      <c r="G49" s="59">
        <v>0</v>
      </c>
      <c r="H49" s="85">
        <v>1</v>
      </c>
      <c r="I49" s="85">
        <f t="shared" si="1"/>
        <v>1</v>
      </c>
      <c r="J49" s="87">
        <v>0</v>
      </c>
      <c r="K49" s="87">
        <v>0</v>
      </c>
      <c r="L49" s="87">
        <v>0</v>
      </c>
      <c r="M49" s="84">
        <f>'Приложение 1'!N319</f>
        <v>551093.68000000005</v>
      </c>
      <c r="N49" s="84">
        <f t="shared" si="2"/>
        <v>551093.68000000005</v>
      </c>
    </row>
    <row r="50" spans="1:14" ht="23.25" customHeight="1">
      <c r="A50" s="83">
        <v>39</v>
      </c>
      <c r="B50" s="86" t="s">
        <v>437</v>
      </c>
      <c r="C50" s="84">
        <f>'Приложение 1'!J322</f>
        <v>936</v>
      </c>
      <c r="D50" s="85">
        <f>'Приложение 1'!M322</f>
        <v>55</v>
      </c>
      <c r="E50" s="59">
        <v>0</v>
      </c>
      <c r="F50" s="85">
        <v>0</v>
      </c>
      <c r="G50" s="59">
        <v>0</v>
      </c>
      <c r="H50" s="85">
        <v>1</v>
      </c>
      <c r="I50" s="85">
        <f t="shared" si="1"/>
        <v>1</v>
      </c>
      <c r="J50" s="87">
        <v>0</v>
      </c>
      <c r="K50" s="87">
        <v>0</v>
      </c>
      <c r="L50" s="87">
        <v>0</v>
      </c>
      <c r="M50" s="84">
        <f>'Приложение 1'!N322</f>
        <v>3606258</v>
      </c>
      <c r="N50" s="84">
        <f t="shared" si="2"/>
        <v>3606258</v>
      </c>
    </row>
    <row r="51" spans="1:14" ht="23.25" customHeight="1">
      <c r="A51" s="83">
        <v>40</v>
      </c>
      <c r="B51" s="86" t="s">
        <v>429</v>
      </c>
      <c r="C51" s="84">
        <f>'Приложение 1'!J326</f>
        <v>1077.3</v>
      </c>
      <c r="D51" s="85">
        <f>'Приложение 1'!M326</f>
        <v>25</v>
      </c>
      <c r="E51" s="59">
        <v>0</v>
      </c>
      <c r="F51" s="85">
        <v>0</v>
      </c>
      <c r="G51" s="59">
        <v>0</v>
      </c>
      <c r="H51" s="85">
        <v>2</v>
      </c>
      <c r="I51" s="85">
        <f t="shared" si="1"/>
        <v>2</v>
      </c>
      <c r="J51" s="87">
        <v>0</v>
      </c>
      <c r="K51" s="87">
        <v>0</v>
      </c>
      <c r="L51" s="87">
        <v>0</v>
      </c>
      <c r="M51" s="84">
        <f>'Приложение 1'!N326</f>
        <v>2901974.3200000003</v>
      </c>
      <c r="N51" s="84">
        <f t="shared" si="2"/>
        <v>2901974.3200000003</v>
      </c>
    </row>
    <row r="52" spans="1:14" ht="23.25" customHeight="1">
      <c r="A52" s="83">
        <v>41</v>
      </c>
      <c r="B52" s="86" t="s">
        <v>29</v>
      </c>
      <c r="C52" s="84">
        <f>'Приложение 1'!J332</f>
        <v>1586.3</v>
      </c>
      <c r="D52" s="85">
        <f>'Приложение 1'!M332</f>
        <v>50</v>
      </c>
      <c r="E52" s="59">
        <v>0</v>
      </c>
      <c r="F52" s="85">
        <v>0</v>
      </c>
      <c r="G52" s="59">
        <v>0</v>
      </c>
      <c r="H52" s="85">
        <v>4</v>
      </c>
      <c r="I52" s="85">
        <f t="shared" si="1"/>
        <v>4</v>
      </c>
      <c r="J52" s="87">
        <v>0</v>
      </c>
      <c r="K52" s="87">
        <v>0</v>
      </c>
      <c r="L52" s="87">
        <v>0</v>
      </c>
      <c r="M52" s="84">
        <f>'Приложение 1'!N332</f>
        <v>4866311.3499999996</v>
      </c>
      <c r="N52" s="84">
        <f t="shared" si="2"/>
        <v>4866311.3499999996</v>
      </c>
    </row>
    <row r="53" spans="1:14" ht="23.25" customHeight="1">
      <c r="A53" s="83">
        <v>42</v>
      </c>
      <c r="B53" s="86" t="s">
        <v>35</v>
      </c>
      <c r="C53" s="84">
        <f>'Приложение 1'!J337</f>
        <v>8741.18</v>
      </c>
      <c r="D53" s="85">
        <f>'Приложение 1'!M337</f>
        <v>302</v>
      </c>
      <c r="E53" s="59">
        <v>0</v>
      </c>
      <c r="F53" s="85">
        <v>0</v>
      </c>
      <c r="G53" s="59">
        <v>0</v>
      </c>
      <c r="H53" s="85">
        <v>3</v>
      </c>
      <c r="I53" s="85">
        <f t="shared" si="1"/>
        <v>3</v>
      </c>
      <c r="J53" s="87">
        <v>0</v>
      </c>
      <c r="K53" s="87">
        <v>0</v>
      </c>
      <c r="L53" s="87">
        <v>0</v>
      </c>
      <c r="M53" s="84">
        <f>'Приложение 1'!N337</f>
        <v>10282222.369999999</v>
      </c>
      <c r="N53" s="84">
        <f t="shared" si="2"/>
        <v>10282222.369999999</v>
      </c>
    </row>
    <row r="54" spans="1:14" ht="21.75" customHeight="1">
      <c r="A54" s="83">
        <v>43</v>
      </c>
      <c r="B54" s="86" t="s">
        <v>40</v>
      </c>
      <c r="C54" s="84">
        <f>'Приложение 1'!J341</f>
        <v>2114.48</v>
      </c>
      <c r="D54" s="85">
        <f>'Приложение 1'!M341</f>
        <v>79</v>
      </c>
      <c r="E54" s="59">
        <v>0</v>
      </c>
      <c r="F54" s="85">
        <v>0</v>
      </c>
      <c r="G54" s="59">
        <v>0</v>
      </c>
      <c r="H54" s="85">
        <v>2</v>
      </c>
      <c r="I54" s="85">
        <f t="shared" si="1"/>
        <v>2</v>
      </c>
      <c r="J54" s="87">
        <v>0</v>
      </c>
      <c r="K54" s="87">
        <v>0</v>
      </c>
      <c r="L54" s="87">
        <v>0</v>
      </c>
      <c r="M54" s="84">
        <f>'Приложение 1'!N341</f>
        <v>4840895.9399999995</v>
      </c>
      <c r="N54" s="84">
        <f t="shared" si="2"/>
        <v>4840895.9399999995</v>
      </c>
    </row>
    <row r="55" spans="1:14" ht="24.75" customHeight="1">
      <c r="A55" s="83">
        <v>44</v>
      </c>
      <c r="B55" s="86" t="s">
        <v>45</v>
      </c>
      <c r="C55" s="84">
        <f>'Приложение 1'!J357</f>
        <v>21712.73</v>
      </c>
      <c r="D55" s="85">
        <f>'Приложение 1'!M357</f>
        <v>1011</v>
      </c>
      <c r="E55" s="59">
        <v>0</v>
      </c>
      <c r="F55" s="85">
        <v>0</v>
      </c>
      <c r="G55" s="59">
        <v>0</v>
      </c>
      <c r="H55" s="85">
        <v>14</v>
      </c>
      <c r="I55" s="85">
        <f t="shared" si="1"/>
        <v>14</v>
      </c>
      <c r="J55" s="87">
        <v>0</v>
      </c>
      <c r="K55" s="87">
        <v>0</v>
      </c>
      <c r="L55" s="87">
        <v>0</v>
      </c>
      <c r="M55" s="84">
        <f>'Приложение 1'!N357</f>
        <v>28823701.019999996</v>
      </c>
      <c r="N55" s="84">
        <f t="shared" si="2"/>
        <v>28823701.019999996</v>
      </c>
    </row>
    <row r="56" spans="1:14" s="782" customFormat="1">
      <c r="A56" s="929" t="s">
        <v>1187</v>
      </c>
      <c r="B56" s="930"/>
      <c r="C56" s="691">
        <f>SUM(C57:C92)</f>
        <v>793787.83999999973</v>
      </c>
      <c r="D56" s="781">
        <f t="shared" ref="D56:N56" si="3">SUM(D57:D92)</f>
        <v>27513</v>
      </c>
      <c r="E56" s="694">
        <v>0</v>
      </c>
      <c r="F56" s="781">
        <v>0</v>
      </c>
      <c r="G56" s="694">
        <v>0</v>
      </c>
      <c r="H56" s="781">
        <f t="shared" si="3"/>
        <v>249</v>
      </c>
      <c r="I56" s="781">
        <f>SUM(I57:I92)</f>
        <v>249</v>
      </c>
      <c r="J56" s="691">
        <v>0</v>
      </c>
      <c r="K56" s="691">
        <v>0</v>
      </c>
      <c r="L56" s="691">
        <v>0</v>
      </c>
      <c r="M56" s="691">
        <f t="shared" si="3"/>
        <v>810639791.42999995</v>
      </c>
      <c r="N56" s="691">
        <f t="shared" si="3"/>
        <v>810639791.42999995</v>
      </c>
    </row>
    <row r="57" spans="1:14" s="9" customFormat="1">
      <c r="A57" s="83">
        <v>1</v>
      </c>
      <c r="B57" s="58" t="s">
        <v>1040</v>
      </c>
      <c r="C57" s="84">
        <f>'[2]Приложение 1'!J503</f>
        <v>576258.85999999987</v>
      </c>
      <c r="D57" s="85">
        <f>'[2]Приложение 1'!M503</f>
        <v>19185</v>
      </c>
      <c r="E57" s="59">
        <v>0</v>
      </c>
      <c r="F57" s="85">
        <v>0</v>
      </c>
      <c r="G57" s="59">
        <v>0</v>
      </c>
      <c r="H57" s="85">
        <v>123</v>
      </c>
      <c r="I57" s="85">
        <f>H57</f>
        <v>123</v>
      </c>
      <c r="J57" s="511">
        <v>0</v>
      </c>
      <c r="K57" s="511">
        <v>0</v>
      </c>
      <c r="L57" s="511">
        <v>0</v>
      </c>
      <c r="M57" s="84">
        <f>'[2]Приложение 1'!N503</f>
        <v>534022374.8300001</v>
      </c>
      <c r="N57" s="84">
        <f>M57</f>
        <v>534022374.8300001</v>
      </c>
    </row>
    <row r="58" spans="1:14">
      <c r="A58" s="83">
        <v>2</v>
      </c>
      <c r="B58" s="58" t="s">
        <v>221</v>
      </c>
      <c r="C58" s="84">
        <f>'[2]Приложение 1'!J512</f>
        <v>22376.699999999997</v>
      </c>
      <c r="D58" s="85">
        <f>'[2]Приложение 1'!M512</f>
        <v>825</v>
      </c>
      <c r="E58" s="59">
        <v>0</v>
      </c>
      <c r="F58" s="85">
        <v>0</v>
      </c>
      <c r="G58" s="59">
        <v>0</v>
      </c>
      <c r="H58" s="85">
        <v>5</v>
      </c>
      <c r="I58" s="85">
        <f t="shared" ref="I58:I92" si="4">H58</f>
        <v>5</v>
      </c>
      <c r="J58" s="511">
        <v>0</v>
      </c>
      <c r="K58" s="511">
        <v>0</v>
      </c>
      <c r="L58" s="511">
        <v>0</v>
      </c>
      <c r="M58" s="84">
        <f>'[2]Приложение 1'!N512</f>
        <v>30671549.82</v>
      </c>
      <c r="N58" s="84">
        <f t="shared" ref="N58:N92" si="5">M58</f>
        <v>30671549.82</v>
      </c>
    </row>
    <row r="59" spans="1:14">
      <c r="A59" s="83">
        <v>3</v>
      </c>
      <c r="B59" s="58" t="s">
        <v>232</v>
      </c>
      <c r="C59" s="84">
        <f>'[2]Приложение 1'!J527</f>
        <v>37695.800000000003</v>
      </c>
      <c r="D59" s="85">
        <f>'[2]Приложение 1'!M527</f>
        <v>1004</v>
      </c>
      <c r="E59" s="59">
        <v>0</v>
      </c>
      <c r="F59" s="85">
        <v>0</v>
      </c>
      <c r="G59" s="59">
        <v>0</v>
      </c>
      <c r="H59" s="85">
        <v>13</v>
      </c>
      <c r="I59" s="85">
        <f t="shared" si="4"/>
        <v>13</v>
      </c>
      <c r="J59" s="511">
        <v>0</v>
      </c>
      <c r="K59" s="511">
        <v>0</v>
      </c>
      <c r="L59" s="511">
        <v>0</v>
      </c>
      <c r="M59" s="84">
        <f>'[2]Приложение 1'!N527</f>
        <v>35735340.399999999</v>
      </c>
      <c r="N59" s="84">
        <f t="shared" si="5"/>
        <v>35735340.399999999</v>
      </c>
    </row>
    <row r="60" spans="1:14">
      <c r="A60" s="83">
        <v>4</v>
      </c>
      <c r="B60" s="58" t="s">
        <v>1045</v>
      </c>
      <c r="C60" s="84">
        <f>'[2]Приложение 1'!J532</f>
        <v>6134.9</v>
      </c>
      <c r="D60" s="85">
        <f>'[2]Приложение 1'!M532</f>
        <v>280</v>
      </c>
      <c r="E60" s="59">
        <v>0</v>
      </c>
      <c r="F60" s="85">
        <v>0</v>
      </c>
      <c r="G60" s="59">
        <v>0</v>
      </c>
      <c r="H60" s="85">
        <v>3</v>
      </c>
      <c r="I60" s="85">
        <f t="shared" si="4"/>
        <v>3</v>
      </c>
      <c r="J60" s="511">
        <v>0</v>
      </c>
      <c r="K60" s="511">
        <v>0</v>
      </c>
      <c r="L60" s="511">
        <v>0</v>
      </c>
      <c r="M60" s="84">
        <f>'[2]Приложение 1'!N532</f>
        <v>7192170</v>
      </c>
      <c r="N60" s="84">
        <f t="shared" si="5"/>
        <v>7192170</v>
      </c>
    </row>
    <row r="61" spans="1:14">
      <c r="A61" s="83">
        <v>5</v>
      </c>
      <c r="B61" s="58" t="s">
        <v>1041</v>
      </c>
      <c r="C61" s="84">
        <f>'[2]Приложение 1'!J541</f>
        <v>8592.82</v>
      </c>
      <c r="D61" s="85">
        <f>'[2]Приложение 1'!M541</f>
        <v>337</v>
      </c>
      <c r="E61" s="59">
        <v>0</v>
      </c>
      <c r="F61" s="85">
        <v>0</v>
      </c>
      <c r="G61" s="59">
        <v>0</v>
      </c>
      <c r="H61" s="85">
        <v>7</v>
      </c>
      <c r="I61" s="85">
        <f t="shared" si="4"/>
        <v>7</v>
      </c>
      <c r="J61" s="511">
        <v>0</v>
      </c>
      <c r="K61" s="511">
        <v>0</v>
      </c>
      <c r="L61" s="511">
        <v>0</v>
      </c>
      <c r="M61" s="84">
        <f>'[2]Приложение 1'!N541</f>
        <v>14964394.000000002</v>
      </c>
      <c r="N61" s="84">
        <f t="shared" si="5"/>
        <v>14964394.000000002</v>
      </c>
    </row>
    <row r="62" spans="1:14">
      <c r="A62" s="83">
        <v>6</v>
      </c>
      <c r="B62" s="58" t="s">
        <v>259</v>
      </c>
      <c r="C62" s="84">
        <f>'[2]Приложение 1'!J546</f>
        <v>6889.5</v>
      </c>
      <c r="D62" s="85">
        <f>'[2]Приложение 1'!M546</f>
        <v>143</v>
      </c>
      <c r="E62" s="59">
        <v>0</v>
      </c>
      <c r="F62" s="85">
        <v>0</v>
      </c>
      <c r="G62" s="59">
        <v>0</v>
      </c>
      <c r="H62" s="85">
        <v>3</v>
      </c>
      <c r="I62" s="85">
        <f t="shared" si="4"/>
        <v>3</v>
      </c>
      <c r="J62" s="511">
        <v>0</v>
      </c>
      <c r="K62" s="511">
        <v>0</v>
      </c>
      <c r="L62" s="511">
        <v>0</v>
      </c>
      <c r="M62" s="84">
        <f>'[2]Приложение 1'!N546</f>
        <v>8158175.4000000004</v>
      </c>
      <c r="N62" s="84">
        <f t="shared" si="5"/>
        <v>8158175.4000000004</v>
      </c>
    </row>
    <row r="63" spans="1:14" ht="22.5">
      <c r="A63" s="83">
        <v>7</v>
      </c>
      <c r="B63" s="509" t="s">
        <v>264</v>
      </c>
      <c r="C63" s="84">
        <f>'[2]Приложение 1'!J552</f>
        <v>2482.71</v>
      </c>
      <c r="D63" s="85">
        <f>'[2]Приложение 1'!M552</f>
        <v>234</v>
      </c>
      <c r="E63" s="59">
        <v>0</v>
      </c>
      <c r="F63" s="85">
        <v>0</v>
      </c>
      <c r="G63" s="59">
        <v>0</v>
      </c>
      <c r="H63" s="85">
        <v>4</v>
      </c>
      <c r="I63" s="85">
        <f t="shared" si="4"/>
        <v>4</v>
      </c>
      <c r="J63" s="511">
        <v>0</v>
      </c>
      <c r="K63" s="511">
        <v>0</v>
      </c>
      <c r="L63" s="511">
        <v>0</v>
      </c>
      <c r="M63" s="84">
        <f>'[2]Приложение 1'!N552</f>
        <v>6712167</v>
      </c>
      <c r="N63" s="84">
        <f t="shared" si="5"/>
        <v>6712167</v>
      </c>
    </row>
    <row r="64" spans="1:14">
      <c r="A64" s="83">
        <v>8</v>
      </c>
      <c r="B64" s="509" t="s">
        <v>395</v>
      </c>
      <c r="C64" s="84">
        <f>'[2]Приложение 1'!J569</f>
        <v>18377.260000000002</v>
      </c>
      <c r="D64" s="85">
        <f>'[2]Приложение 1'!M569</f>
        <v>721</v>
      </c>
      <c r="E64" s="59">
        <v>0</v>
      </c>
      <c r="F64" s="85">
        <v>0</v>
      </c>
      <c r="G64" s="59">
        <v>0</v>
      </c>
      <c r="H64" s="85">
        <v>15</v>
      </c>
      <c r="I64" s="85">
        <f t="shared" si="4"/>
        <v>15</v>
      </c>
      <c r="J64" s="511">
        <v>0</v>
      </c>
      <c r="K64" s="511">
        <v>0</v>
      </c>
      <c r="L64" s="511">
        <v>0</v>
      </c>
      <c r="M64" s="84">
        <f>'[2]Приложение 1'!N569</f>
        <v>26785679.310000002</v>
      </c>
      <c r="N64" s="84">
        <f t="shared" si="5"/>
        <v>26785679.310000002</v>
      </c>
    </row>
    <row r="65" spans="1:14" ht="22.5">
      <c r="A65" s="83">
        <v>9</v>
      </c>
      <c r="B65" s="509" t="s">
        <v>445</v>
      </c>
      <c r="C65" s="84">
        <f>'[2]Приложение 1'!J573</f>
        <v>1160.4000000000001</v>
      </c>
      <c r="D65" s="85">
        <f>'[2]Приложение 1'!M573</f>
        <v>23</v>
      </c>
      <c r="E65" s="59">
        <v>0</v>
      </c>
      <c r="F65" s="85">
        <v>0</v>
      </c>
      <c r="G65" s="59">
        <v>0</v>
      </c>
      <c r="H65" s="85">
        <v>2</v>
      </c>
      <c r="I65" s="85">
        <f t="shared" si="4"/>
        <v>2</v>
      </c>
      <c r="J65" s="511">
        <v>0</v>
      </c>
      <c r="K65" s="511">
        <v>0</v>
      </c>
      <c r="L65" s="511">
        <v>0</v>
      </c>
      <c r="M65" s="84">
        <f>'[2]Приложение 1'!N573</f>
        <v>1508098</v>
      </c>
      <c r="N65" s="84">
        <f t="shared" si="5"/>
        <v>1508098</v>
      </c>
    </row>
    <row r="66" spans="1:14">
      <c r="A66" s="83">
        <v>10</v>
      </c>
      <c r="B66" s="509" t="s">
        <v>397</v>
      </c>
      <c r="C66" s="84">
        <f>'[2]Приложение 1'!J577</f>
        <v>2815.6</v>
      </c>
      <c r="D66" s="85">
        <f>'[2]Приложение 1'!M577</f>
        <v>47</v>
      </c>
      <c r="E66" s="59">
        <v>0</v>
      </c>
      <c r="F66" s="85">
        <v>0</v>
      </c>
      <c r="G66" s="59">
        <v>0</v>
      </c>
      <c r="H66" s="85">
        <v>2</v>
      </c>
      <c r="I66" s="85">
        <f t="shared" si="4"/>
        <v>2</v>
      </c>
      <c r="J66" s="511">
        <v>0</v>
      </c>
      <c r="K66" s="511">
        <v>0</v>
      </c>
      <c r="L66" s="511">
        <v>0</v>
      </c>
      <c r="M66" s="84">
        <f>'[2]Приложение 1'!N577</f>
        <v>3458700</v>
      </c>
      <c r="N66" s="84">
        <f t="shared" si="5"/>
        <v>3458700</v>
      </c>
    </row>
    <row r="67" spans="1:14" ht="22.5">
      <c r="A67" s="83">
        <v>11</v>
      </c>
      <c r="B67" s="509" t="s">
        <v>442</v>
      </c>
      <c r="C67" s="84">
        <f>'[2]Приложение 1'!J580</f>
        <v>2049.8000000000002</v>
      </c>
      <c r="D67" s="85">
        <f>'[2]Приложение 1'!M580</f>
        <v>18</v>
      </c>
      <c r="E67" s="59">
        <v>0</v>
      </c>
      <c r="F67" s="85">
        <v>0</v>
      </c>
      <c r="G67" s="59">
        <v>0</v>
      </c>
      <c r="H67" s="85">
        <v>1</v>
      </c>
      <c r="I67" s="85">
        <f t="shared" si="4"/>
        <v>1</v>
      </c>
      <c r="J67" s="511">
        <v>0</v>
      </c>
      <c r="K67" s="511">
        <v>0</v>
      </c>
      <c r="L67" s="511">
        <v>0</v>
      </c>
      <c r="M67" s="84">
        <f>'[2]Приложение 1'!N580</f>
        <v>2911295.58</v>
      </c>
      <c r="N67" s="84">
        <f t="shared" si="5"/>
        <v>2911295.58</v>
      </c>
    </row>
    <row r="68" spans="1:14" ht="22.5">
      <c r="A68" s="83">
        <v>12</v>
      </c>
      <c r="B68" s="509" t="s">
        <v>435</v>
      </c>
      <c r="C68" s="84">
        <f>'[2]Приложение 1'!J583</f>
        <v>531.5</v>
      </c>
      <c r="D68" s="85">
        <f>'[2]Приложение 1'!M583</f>
        <v>15</v>
      </c>
      <c r="E68" s="59">
        <v>0</v>
      </c>
      <c r="F68" s="85">
        <v>0</v>
      </c>
      <c r="G68" s="59">
        <v>0</v>
      </c>
      <c r="H68" s="85">
        <v>1</v>
      </c>
      <c r="I68" s="85">
        <f t="shared" si="4"/>
        <v>1</v>
      </c>
      <c r="J68" s="511">
        <v>0</v>
      </c>
      <c r="K68" s="511">
        <v>0</v>
      </c>
      <c r="L68" s="511">
        <v>0</v>
      </c>
      <c r="M68" s="84">
        <f>'[2]Приложение 1'!N583</f>
        <v>1856316</v>
      </c>
      <c r="N68" s="84">
        <f t="shared" si="5"/>
        <v>1856316</v>
      </c>
    </row>
    <row r="69" spans="1:14" ht="22.5">
      <c r="A69" s="83">
        <v>13</v>
      </c>
      <c r="B69" s="509" t="s">
        <v>861</v>
      </c>
      <c r="C69" s="84">
        <f>'[2]Приложение 1'!J586</f>
        <v>674.2</v>
      </c>
      <c r="D69" s="85">
        <f>'[2]Приложение 1'!M586</f>
        <v>15</v>
      </c>
      <c r="E69" s="59">
        <v>0</v>
      </c>
      <c r="F69" s="85">
        <v>0</v>
      </c>
      <c r="G69" s="59">
        <v>0</v>
      </c>
      <c r="H69" s="85">
        <v>1</v>
      </c>
      <c r="I69" s="85">
        <f t="shared" si="4"/>
        <v>1</v>
      </c>
      <c r="J69" s="511">
        <v>0</v>
      </c>
      <c r="K69" s="511">
        <v>0</v>
      </c>
      <c r="L69" s="511">
        <v>0</v>
      </c>
      <c r="M69" s="84">
        <f>'[2]Приложение 1'!N586</f>
        <v>1583650</v>
      </c>
      <c r="N69" s="84">
        <f t="shared" si="5"/>
        <v>1583650</v>
      </c>
    </row>
    <row r="70" spans="1:14" ht="22.5">
      <c r="A70" s="83">
        <v>14</v>
      </c>
      <c r="B70" s="509" t="s">
        <v>409</v>
      </c>
      <c r="C70" s="84">
        <f>'[2]Приложение 1'!J589</f>
        <v>1279.2</v>
      </c>
      <c r="D70" s="85">
        <f>'[2]Приложение 1'!M589</f>
        <v>230</v>
      </c>
      <c r="E70" s="59">
        <v>0</v>
      </c>
      <c r="F70" s="85">
        <v>0</v>
      </c>
      <c r="G70" s="59">
        <v>0</v>
      </c>
      <c r="H70" s="85">
        <v>1</v>
      </c>
      <c r="I70" s="85">
        <f t="shared" si="4"/>
        <v>1</v>
      </c>
      <c r="J70" s="511">
        <v>0</v>
      </c>
      <c r="K70" s="511">
        <v>0</v>
      </c>
      <c r="L70" s="511">
        <v>0</v>
      </c>
      <c r="M70" s="84">
        <f>'[2]Приложение 1'!N589</f>
        <v>1667000</v>
      </c>
      <c r="N70" s="84">
        <f t="shared" si="5"/>
        <v>1667000</v>
      </c>
    </row>
    <row r="71" spans="1:14" ht="22.5">
      <c r="A71" s="83">
        <v>15</v>
      </c>
      <c r="B71" s="509" t="s">
        <v>295</v>
      </c>
      <c r="C71" s="84">
        <f>'[2]Приложение 1'!J602</f>
        <v>33588.200000000004</v>
      </c>
      <c r="D71" s="85">
        <f>'[2]Приложение 1'!M602</f>
        <v>1660</v>
      </c>
      <c r="E71" s="59">
        <v>0</v>
      </c>
      <c r="F71" s="85">
        <v>0</v>
      </c>
      <c r="G71" s="59">
        <v>0</v>
      </c>
      <c r="H71" s="85">
        <v>11</v>
      </c>
      <c r="I71" s="85">
        <f t="shared" si="4"/>
        <v>11</v>
      </c>
      <c r="J71" s="511">
        <v>0</v>
      </c>
      <c r="K71" s="511">
        <v>0</v>
      </c>
      <c r="L71" s="511">
        <v>0</v>
      </c>
      <c r="M71" s="84">
        <f>'[2]Приложение 1'!N602</f>
        <v>38180936.390000001</v>
      </c>
      <c r="N71" s="84">
        <f t="shared" si="5"/>
        <v>38180936.390000001</v>
      </c>
    </row>
    <row r="72" spans="1:14" ht="22.5">
      <c r="A72" s="83">
        <v>16</v>
      </c>
      <c r="B72" s="509" t="s">
        <v>296</v>
      </c>
      <c r="C72" s="84">
        <f>'[2]Приложение 1'!J605</f>
        <v>3412.9</v>
      </c>
      <c r="D72" s="85">
        <f>'[2]Приложение 1'!M605</f>
        <v>17</v>
      </c>
      <c r="E72" s="59">
        <v>0</v>
      </c>
      <c r="F72" s="85">
        <v>0</v>
      </c>
      <c r="G72" s="59">
        <v>0</v>
      </c>
      <c r="H72" s="85">
        <v>1</v>
      </c>
      <c r="I72" s="85">
        <f t="shared" si="4"/>
        <v>1</v>
      </c>
      <c r="J72" s="511">
        <v>0</v>
      </c>
      <c r="K72" s="511">
        <v>0</v>
      </c>
      <c r="L72" s="511">
        <v>0</v>
      </c>
      <c r="M72" s="84">
        <f>'[2]Приложение 1'!N605</f>
        <v>3113956</v>
      </c>
      <c r="N72" s="84">
        <f t="shared" si="5"/>
        <v>3113956</v>
      </c>
    </row>
    <row r="73" spans="1:14" ht="22.5">
      <c r="A73" s="83">
        <v>17</v>
      </c>
      <c r="B73" s="509" t="s">
        <v>298</v>
      </c>
      <c r="C73" s="84">
        <f>'[2]Приложение 1'!J608</f>
        <v>4457.7</v>
      </c>
      <c r="D73" s="85">
        <f>'[2]Приложение 1'!M608</f>
        <v>128</v>
      </c>
      <c r="E73" s="59">
        <v>0</v>
      </c>
      <c r="F73" s="85">
        <v>0</v>
      </c>
      <c r="G73" s="59">
        <v>0</v>
      </c>
      <c r="H73" s="85">
        <v>1</v>
      </c>
      <c r="I73" s="85">
        <f t="shared" si="4"/>
        <v>1</v>
      </c>
      <c r="J73" s="511">
        <v>0</v>
      </c>
      <c r="K73" s="511">
        <v>0</v>
      </c>
      <c r="L73" s="511">
        <v>0</v>
      </c>
      <c r="M73" s="84">
        <f>'[2]Приложение 1'!N608</f>
        <v>2757884.8</v>
      </c>
      <c r="N73" s="84">
        <f t="shared" si="5"/>
        <v>2757884.8</v>
      </c>
    </row>
    <row r="74" spans="1:14" ht="22.5">
      <c r="A74" s="83">
        <v>18</v>
      </c>
      <c r="B74" s="509" t="s">
        <v>330</v>
      </c>
      <c r="C74" s="84">
        <f>'[2]Приложение 1'!J614</f>
        <v>23359.39</v>
      </c>
      <c r="D74" s="85">
        <f>'[2]Приложение 1'!M614</f>
        <v>602</v>
      </c>
      <c r="E74" s="59">
        <v>0</v>
      </c>
      <c r="F74" s="85">
        <v>0</v>
      </c>
      <c r="G74" s="59">
        <v>0</v>
      </c>
      <c r="H74" s="85">
        <v>4</v>
      </c>
      <c r="I74" s="85">
        <f t="shared" si="4"/>
        <v>4</v>
      </c>
      <c r="J74" s="511">
        <v>0</v>
      </c>
      <c r="K74" s="511">
        <v>0</v>
      </c>
      <c r="L74" s="511">
        <v>0</v>
      </c>
      <c r="M74" s="84">
        <f>'[2]Приложение 1'!N614</f>
        <v>14919650</v>
      </c>
      <c r="N74" s="84">
        <f t="shared" si="5"/>
        <v>14919650</v>
      </c>
    </row>
    <row r="75" spans="1:14" ht="22.5">
      <c r="A75" s="83">
        <v>19</v>
      </c>
      <c r="B75" s="509" t="s">
        <v>902</v>
      </c>
      <c r="C75" s="84">
        <f>'[2]Приложение 1'!J617</f>
        <v>535.29999999999995</v>
      </c>
      <c r="D75" s="85">
        <f>'[2]Приложение 1'!M617</f>
        <v>12</v>
      </c>
      <c r="E75" s="59">
        <v>0</v>
      </c>
      <c r="F75" s="85">
        <v>0</v>
      </c>
      <c r="G75" s="59">
        <v>0</v>
      </c>
      <c r="H75" s="85">
        <v>1</v>
      </c>
      <c r="I75" s="85">
        <f t="shared" si="4"/>
        <v>1</v>
      </c>
      <c r="J75" s="511">
        <v>0</v>
      </c>
      <c r="K75" s="511">
        <v>0</v>
      </c>
      <c r="L75" s="511">
        <v>0</v>
      </c>
      <c r="M75" s="84">
        <f>'[2]Приложение 1'!N617</f>
        <v>986370</v>
      </c>
      <c r="N75" s="84">
        <f t="shared" si="5"/>
        <v>986370</v>
      </c>
    </row>
    <row r="76" spans="1:14">
      <c r="A76" s="83">
        <v>20</v>
      </c>
      <c r="B76" s="509" t="s">
        <v>427</v>
      </c>
      <c r="C76" s="84">
        <f>'[2]Приложение 1'!J625</f>
        <v>3288.44</v>
      </c>
      <c r="D76" s="85">
        <f>'[2]Приложение 1'!M625</f>
        <v>389</v>
      </c>
      <c r="E76" s="59">
        <v>0</v>
      </c>
      <c r="F76" s="85">
        <v>0</v>
      </c>
      <c r="G76" s="59">
        <v>0</v>
      </c>
      <c r="H76" s="85">
        <v>6</v>
      </c>
      <c r="I76" s="85">
        <f t="shared" si="4"/>
        <v>6</v>
      </c>
      <c r="J76" s="511">
        <v>0</v>
      </c>
      <c r="K76" s="511">
        <v>0</v>
      </c>
      <c r="L76" s="511">
        <v>0</v>
      </c>
      <c r="M76" s="84">
        <f>'[2]Приложение 1'!N625</f>
        <v>8109125.6399999997</v>
      </c>
      <c r="N76" s="84">
        <f t="shared" si="5"/>
        <v>8109125.6399999997</v>
      </c>
    </row>
    <row r="77" spans="1:14" ht="22.5">
      <c r="A77" s="83">
        <v>21</v>
      </c>
      <c r="B77" s="509" t="s">
        <v>1043</v>
      </c>
      <c r="C77" s="84">
        <f>'[2]Приложение 1'!J630</f>
        <v>2197.6999999999998</v>
      </c>
      <c r="D77" s="85">
        <f>'[2]Приложение 1'!M630</f>
        <v>87</v>
      </c>
      <c r="E77" s="59">
        <v>0</v>
      </c>
      <c r="F77" s="85">
        <v>0</v>
      </c>
      <c r="G77" s="59">
        <v>0</v>
      </c>
      <c r="H77" s="85">
        <v>3</v>
      </c>
      <c r="I77" s="85">
        <f t="shared" si="4"/>
        <v>3</v>
      </c>
      <c r="J77" s="511">
        <v>0</v>
      </c>
      <c r="K77" s="511">
        <v>0</v>
      </c>
      <c r="L77" s="511">
        <v>0</v>
      </c>
      <c r="M77" s="84">
        <f>'[2]Приложение 1'!N630</f>
        <v>6133960.1399999997</v>
      </c>
      <c r="N77" s="84">
        <f t="shared" si="5"/>
        <v>6133960.1399999997</v>
      </c>
    </row>
    <row r="78" spans="1:14">
      <c r="A78" s="83">
        <v>22</v>
      </c>
      <c r="B78" s="509" t="s">
        <v>425</v>
      </c>
      <c r="C78" s="84">
        <f>'[2]Приложение 1'!J633</f>
        <v>390</v>
      </c>
      <c r="D78" s="85">
        <f>'[2]Приложение 1'!M633</f>
        <v>12</v>
      </c>
      <c r="E78" s="59">
        <v>0</v>
      </c>
      <c r="F78" s="85">
        <v>0</v>
      </c>
      <c r="G78" s="59">
        <v>0</v>
      </c>
      <c r="H78" s="85">
        <v>1</v>
      </c>
      <c r="I78" s="85">
        <f t="shared" si="4"/>
        <v>1</v>
      </c>
      <c r="J78" s="511">
        <v>0</v>
      </c>
      <c r="K78" s="511">
        <v>0</v>
      </c>
      <c r="L78" s="511">
        <v>0</v>
      </c>
      <c r="M78" s="84">
        <f>'[2]Приложение 1'!N633</f>
        <v>1300068</v>
      </c>
      <c r="N78" s="84">
        <f t="shared" si="5"/>
        <v>1300068</v>
      </c>
    </row>
    <row r="79" spans="1:14">
      <c r="A79" s="83">
        <v>23</v>
      </c>
      <c r="B79" s="509" t="s">
        <v>352</v>
      </c>
      <c r="C79" s="84">
        <f>'[2]Приложение 1'!J636</f>
        <v>621.23</v>
      </c>
      <c r="D79" s="85">
        <f>'[2]Приложение 1'!M636</f>
        <v>19</v>
      </c>
      <c r="E79" s="59">
        <v>0</v>
      </c>
      <c r="F79" s="85">
        <v>0</v>
      </c>
      <c r="G79" s="59">
        <v>0</v>
      </c>
      <c r="H79" s="85">
        <v>1</v>
      </c>
      <c r="I79" s="85">
        <f t="shared" si="4"/>
        <v>1</v>
      </c>
      <c r="J79" s="511">
        <v>0</v>
      </c>
      <c r="K79" s="511">
        <v>0</v>
      </c>
      <c r="L79" s="511">
        <v>0</v>
      </c>
      <c r="M79" s="84">
        <f>'[2]Приложение 1'!N636</f>
        <v>1827210</v>
      </c>
      <c r="N79" s="84">
        <f t="shared" si="5"/>
        <v>1827210</v>
      </c>
    </row>
    <row r="80" spans="1:14" ht="22.5">
      <c r="A80" s="83">
        <v>24</v>
      </c>
      <c r="B80" s="509" t="s">
        <v>433</v>
      </c>
      <c r="C80" s="84">
        <f>'[2]Приложение 1'!J643</f>
        <v>3958.7000000000003</v>
      </c>
      <c r="D80" s="85">
        <f>'[2]Приложение 1'!M643</f>
        <v>127</v>
      </c>
      <c r="E80" s="59">
        <v>0</v>
      </c>
      <c r="F80" s="85">
        <v>0</v>
      </c>
      <c r="G80" s="59">
        <v>0</v>
      </c>
      <c r="H80" s="85">
        <v>5</v>
      </c>
      <c r="I80" s="85">
        <f t="shared" si="4"/>
        <v>5</v>
      </c>
      <c r="J80" s="511">
        <v>0</v>
      </c>
      <c r="K80" s="511">
        <v>0</v>
      </c>
      <c r="L80" s="511">
        <v>0</v>
      </c>
      <c r="M80" s="84">
        <f>'[2]Приложение 1'!N643</f>
        <v>906489.5</v>
      </c>
      <c r="N80" s="84">
        <f t="shared" si="5"/>
        <v>906489.5</v>
      </c>
    </row>
    <row r="81" spans="1:14" ht="22.5">
      <c r="A81" s="83">
        <v>25</v>
      </c>
      <c r="B81" s="509" t="s">
        <v>937</v>
      </c>
      <c r="C81" s="84">
        <f>'[2]Приложение 1'!J646</f>
        <v>661.2</v>
      </c>
      <c r="D81" s="85">
        <f>'[2]Приложение 1'!M646</f>
        <v>24</v>
      </c>
      <c r="E81" s="59">
        <v>0</v>
      </c>
      <c r="F81" s="85">
        <v>0</v>
      </c>
      <c r="G81" s="59">
        <v>0</v>
      </c>
      <c r="H81" s="85">
        <v>1</v>
      </c>
      <c r="I81" s="85">
        <f t="shared" si="4"/>
        <v>1</v>
      </c>
      <c r="J81" s="511">
        <v>0</v>
      </c>
      <c r="K81" s="511">
        <v>0</v>
      </c>
      <c r="L81" s="511">
        <v>0</v>
      </c>
      <c r="M81" s="84">
        <f>'[2]Приложение 1'!N646</f>
        <v>1667579.76</v>
      </c>
      <c r="N81" s="84">
        <f t="shared" si="5"/>
        <v>1667579.76</v>
      </c>
    </row>
    <row r="82" spans="1:14" ht="22.5">
      <c r="A82" s="83">
        <v>26</v>
      </c>
      <c r="B82" s="509" t="s">
        <v>361</v>
      </c>
      <c r="C82" s="84">
        <f>'[2]Приложение 1'!J650</f>
        <v>4790.3399999999992</v>
      </c>
      <c r="D82" s="85">
        <f>'[2]Приложение 1'!M650</f>
        <v>172</v>
      </c>
      <c r="E82" s="59">
        <v>0</v>
      </c>
      <c r="F82" s="85">
        <v>0</v>
      </c>
      <c r="G82" s="59">
        <v>0</v>
      </c>
      <c r="H82" s="85">
        <v>2</v>
      </c>
      <c r="I82" s="85">
        <f t="shared" si="4"/>
        <v>2</v>
      </c>
      <c r="J82" s="511">
        <v>0</v>
      </c>
      <c r="K82" s="511">
        <v>0</v>
      </c>
      <c r="L82" s="511">
        <v>0</v>
      </c>
      <c r="M82" s="84">
        <f>'[2]Приложение 1'!N650</f>
        <v>5712142.2000000002</v>
      </c>
      <c r="N82" s="84">
        <f t="shared" si="5"/>
        <v>5712142.2000000002</v>
      </c>
    </row>
    <row r="83" spans="1:14">
      <c r="A83" s="83">
        <v>27</v>
      </c>
      <c r="B83" s="509" t="s">
        <v>3</v>
      </c>
      <c r="C83" s="84">
        <f>'[2]Приложение 1'!J654</f>
        <v>3080.92</v>
      </c>
      <c r="D83" s="85">
        <f>'[2]Приложение 1'!M654</f>
        <v>133</v>
      </c>
      <c r="E83" s="59">
        <v>0</v>
      </c>
      <c r="F83" s="85">
        <v>0</v>
      </c>
      <c r="G83" s="59">
        <v>0</v>
      </c>
      <c r="H83" s="85">
        <v>2</v>
      </c>
      <c r="I83" s="85">
        <f t="shared" si="4"/>
        <v>2</v>
      </c>
      <c r="J83" s="511">
        <v>0</v>
      </c>
      <c r="K83" s="511">
        <v>0</v>
      </c>
      <c r="L83" s="511">
        <v>0</v>
      </c>
      <c r="M83" s="84">
        <f>'[2]Приложение 1'!N654</f>
        <v>4558646.4000000004</v>
      </c>
      <c r="N83" s="84">
        <f t="shared" si="5"/>
        <v>4558646.4000000004</v>
      </c>
    </row>
    <row r="84" spans="1:14">
      <c r="A84" s="83">
        <v>28</v>
      </c>
      <c r="B84" s="509" t="s">
        <v>9</v>
      </c>
      <c r="C84" s="84">
        <f>'[2]Приложение 1'!J658</f>
        <v>2200.6</v>
      </c>
      <c r="D84" s="85">
        <f>'[2]Приложение 1'!M658</f>
        <v>58</v>
      </c>
      <c r="E84" s="59">
        <v>0</v>
      </c>
      <c r="F84" s="85">
        <v>0</v>
      </c>
      <c r="G84" s="59">
        <v>0</v>
      </c>
      <c r="H84" s="85">
        <v>2</v>
      </c>
      <c r="I84" s="85">
        <f t="shared" si="4"/>
        <v>2</v>
      </c>
      <c r="J84" s="511">
        <v>0</v>
      </c>
      <c r="K84" s="511">
        <v>0</v>
      </c>
      <c r="L84" s="511">
        <v>0</v>
      </c>
      <c r="M84" s="84">
        <f>'[2]Приложение 1'!N658</f>
        <v>3180056.88</v>
      </c>
      <c r="N84" s="84">
        <f t="shared" si="5"/>
        <v>3180056.88</v>
      </c>
    </row>
    <row r="85" spans="1:14" ht="22.5">
      <c r="A85" s="83">
        <v>29</v>
      </c>
      <c r="B85" s="509" t="s">
        <v>11</v>
      </c>
      <c r="C85" s="84">
        <f>'[2]Приложение 1'!J663</f>
        <v>1659.8</v>
      </c>
      <c r="D85" s="85">
        <f>'[2]Приложение 1'!M663</f>
        <v>71</v>
      </c>
      <c r="E85" s="59">
        <v>0</v>
      </c>
      <c r="F85" s="85">
        <v>0</v>
      </c>
      <c r="G85" s="59">
        <v>0</v>
      </c>
      <c r="H85" s="85">
        <v>3</v>
      </c>
      <c r="I85" s="85">
        <f t="shared" si="4"/>
        <v>3</v>
      </c>
      <c r="J85" s="511">
        <v>0</v>
      </c>
      <c r="K85" s="511">
        <v>0</v>
      </c>
      <c r="L85" s="511">
        <v>0</v>
      </c>
      <c r="M85" s="84">
        <f>'[2]Приложение 1'!N663</f>
        <v>3528294</v>
      </c>
      <c r="N85" s="84">
        <f t="shared" si="5"/>
        <v>3528294</v>
      </c>
    </row>
    <row r="86" spans="1:14" ht="22.5">
      <c r="A86" s="83">
        <v>30</v>
      </c>
      <c r="B86" s="509" t="s">
        <v>1062</v>
      </c>
      <c r="C86" s="84">
        <f>'[2]Приложение 1'!J666</f>
        <v>934.9</v>
      </c>
      <c r="D86" s="85">
        <f>'[2]Приложение 1'!M666</f>
        <v>27</v>
      </c>
      <c r="E86" s="59">
        <v>0</v>
      </c>
      <c r="F86" s="85">
        <v>0</v>
      </c>
      <c r="G86" s="59">
        <v>0</v>
      </c>
      <c r="H86" s="85">
        <v>1</v>
      </c>
      <c r="I86" s="85">
        <f t="shared" si="4"/>
        <v>1</v>
      </c>
      <c r="J86" s="511">
        <v>0</v>
      </c>
      <c r="K86" s="511">
        <v>0</v>
      </c>
      <c r="L86" s="511">
        <v>0</v>
      </c>
      <c r="M86" s="84">
        <f>'[2]Приложение 1'!N666</f>
        <v>2790891.4</v>
      </c>
      <c r="N86" s="84">
        <f t="shared" si="5"/>
        <v>2790891.4</v>
      </c>
    </row>
    <row r="87" spans="1:14" ht="22.5">
      <c r="A87" s="83">
        <v>31</v>
      </c>
      <c r="B87" s="509" t="s">
        <v>429</v>
      </c>
      <c r="C87" s="84">
        <f>'[2]Приложение 1'!J669</f>
        <v>996.3</v>
      </c>
      <c r="D87" s="85">
        <f>'[2]Приложение 1'!M669</f>
        <v>41</v>
      </c>
      <c r="E87" s="59">
        <v>0</v>
      </c>
      <c r="F87" s="85">
        <v>0</v>
      </c>
      <c r="G87" s="59">
        <v>0</v>
      </c>
      <c r="H87" s="85">
        <v>1</v>
      </c>
      <c r="I87" s="85">
        <f t="shared" si="4"/>
        <v>1</v>
      </c>
      <c r="J87" s="511">
        <v>0</v>
      </c>
      <c r="K87" s="511">
        <v>0</v>
      </c>
      <c r="L87" s="511">
        <v>0</v>
      </c>
      <c r="M87" s="84">
        <f>'[2]Приложение 1'!N669</f>
        <v>2170014</v>
      </c>
      <c r="N87" s="84">
        <f t="shared" si="5"/>
        <v>2170014</v>
      </c>
    </row>
    <row r="88" spans="1:14" ht="22.5">
      <c r="A88" s="83">
        <v>32</v>
      </c>
      <c r="B88" s="509" t="s">
        <v>1083</v>
      </c>
      <c r="C88" s="84">
        <f>'[2]Приложение 1'!J672</f>
        <v>311.3</v>
      </c>
      <c r="D88" s="85">
        <f>'[2]Приложение 1'!M672</f>
        <v>12</v>
      </c>
      <c r="E88" s="59">
        <v>0</v>
      </c>
      <c r="F88" s="85">
        <v>0</v>
      </c>
      <c r="G88" s="59">
        <v>0</v>
      </c>
      <c r="H88" s="85">
        <v>1</v>
      </c>
      <c r="I88" s="85">
        <f t="shared" si="4"/>
        <v>1</v>
      </c>
      <c r="J88" s="511">
        <v>0</v>
      </c>
      <c r="K88" s="511">
        <v>0</v>
      </c>
      <c r="L88" s="511">
        <v>0</v>
      </c>
      <c r="M88" s="84">
        <f>'[2]Приложение 1'!N672</f>
        <v>1067220</v>
      </c>
      <c r="N88" s="84">
        <f t="shared" si="5"/>
        <v>1067220</v>
      </c>
    </row>
    <row r="89" spans="1:14">
      <c r="A89" s="83">
        <v>33</v>
      </c>
      <c r="B89" s="509" t="s">
        <v>29</v>
      </c>
      <c r="C89" s="84">
        <f>'[2]Приложение 1'!J677</f>
        <v>1745.2</v>
      </c>
      <c r="D89" s="85">
        <f>'[2]Приложение 1'!M677</f>
        <v>79</v>
      </c>
      <c r="E89" s="59">
        <v>0</v>
      </c>
      <c r="F89" s="85">
        <v>0</v>
      </c>
      <c r="G89" s="59">
        <v>0</v>
      </c>
      <c r="H89" s="85">
        <v>3</v>
      </c>
      <c r="I89" s="85">
        <f t="shared" si="4"/>
        <v>3</v>
      </c>
      <c r="J89" s="511">
        <v>0</v>
      </c>
      <c r="K89" s="511">
        <v>0</v>
      </c>
      <c r="L89" s="511">
        <v>0</v>
      </c>
      <c r="M89" s="84">
        <f>'[2]Приложение 1'!N677</f>
        <v>4699002</v>
      </c>
      <c r="N89" s="84">
        <f t="shared" si="5"/>
        <v>4699002</v>
      </c>
    </row>
    <row r="90" spans="1:14" ht="22.5">
      <c r="A90" s="83">
        <v>34</v>
      </c>
      <c r="B90" s="509" t="s">
        <v>35</v>
      </c>
      <c r="C90" s="84">
        <f>'[2]Приложение 1'!J686</f>
        <v>3001.02</v>
      </c>
      <c r="D90" s="85">
        <f>'[2]Приложение 1'!M686</f>
        <v>156</v>
      </c>
      <c r="E90" s="59">
        <v>0</v>
      </c>
      <c r="F90" s="85">
        <v>0</v>
      </c>
      <c r="G90" s="59">
        <v>0</v>
      </c>
      <c r="H90" s="85">
        <v>7</v>
      </c>
      <c r="I90" s="85">
        <f t="shared" si="4"/>
        <v>7</v>
      </c>
      <c r="J90" s="511">
        <v>0</v>
      </c>
      <c r="K90" s="511">
        <v>0</v>
      </c>
      <c r="L90" s="511">
        <v>0</v>
      </c>
      <c r="M90" s="84">
        <f>'[2]Приложение 1'!N686</f>
        <v>7184721.4000000004</v>
      </c>
      <c r="N90" s="84">
        <f t="shared" si="5"/>
        <v>7184721.4000000004</v>
      </c>
    </row>
    <row r="91" spans="1:14" ht="22.5">
      <c r="A91" s="83">
        <v>35</v>
      </c>
      <c r="B91" s="509" t="s">
        <v>40</v>
      </c>
      <c r="C91" s="84">
        <f>'[2]Приложение 1'!J689</f>
        <v>412.31</v>
      </c>
      <c r="D91" s="85">
        <f>'[2]Приложение 1'!M689</f>
        <v>23</v>
      </c>
      <c r="E91" s="59">
        <v>0</v>
      </c>
      <c r="F91" s="85">
        <v>0</v>
      </c>
      <c r="G91" s="59">
        <v>0</v>
      </c>
      <c r="H91" s="85">
        <v>1</v>
      </c>
      <c r="I91" s="85">
        <f>H91</f>
        <v>1</v>
      </c>
      <c r="J91" s="511">
        <v>0</v>
      </c>
      <c r="K91" s="511">
        <v>0</v>
      </c>
      <c r="L91" s="511">
        <v>0</v>
      </c>
      <c r="M91" s="84">
        <f>'[2]Приложение 1'!N689</f>
        <v>1106028</v>
      </c>
      <c r="N91" s="84">
        <f t="shared" si="5"/>
        <v>1106028</v>
      </c>
    </row>
    <row r="92" spans="1:14" ht="22.5">
      <c r="A92" s="83">
        <v>36</v>
      </c>
      <c r="B92" s="509" t="s">
        <v>45</v>
      </c>
      <c r="C92" s="84">
        <f>'[2]Приложение 1'!J701</f>
        <v>10865.14</v>
      </c>
      <c r="D92" s="85">
        <f>'[2]Приложение 1'!M701</f>
        <v>587</v>
      </c>
      <c r="E92" s="59">
        <v>0</v>
      </c>
      <c r="F92" s="85">
        <v>0</v>
      </c>
      <c r="G92" s="59">
        <v>0</v>
      </c>
      <c r="H92" s="85">
        <v>10</v>
      </c>
      <c r="I92" s="85">
        <f t="shared" si="4"/>
        <v>10</v>
      </c>
      <c r="J92" s="511">
        <v>0</v>
      </c>
      <c r="K92" s="511">
        <v>0</v>
      </c>
      <c r="L92" s="511">
        <v>0</v>
      </c>
      <c r="M92" s="84">
        <f>'[2]Приложение 1'!N701</f>
        <v>17512634.579999998</v>
      </c>
      <c r="N92" s="84">
        <f t="shared" si="5"/>
        <v>17512634.579999998</v>
      </c>
    </row>
    <row r="93" spans="1:14" s="782" customFormat="1">
      <c r="A93" s="929" t="s">
        <v>1186</v>
      </c>
      <c r="B93" s="930" t="s">
        <v>1216</v>
      </c>
      <c r="C93" s="783">
        <f>SUM(C94:C132)</f>
        <v>806959.74999999988</v>
      </c>
      <c r="D93" s="781">
        <f t="shared" ref="D93:I93" si="6">SUM(D94:D132)</f>
        <v>30313</v>
      </c>
      <c r="E93" s="694">
        <v>0</v>
      </c>
      <c r="F93" s="781">
        <v>0</v>
      </c>
      <c r="G93" s="694">
        <v>0</v>
      </c>
      <c r="H93" s="781">
        <f t="shared" si="6"/>
        <v>249</v>
      </c>
      <c r="I93" s="781">
        <f t="shared" si="6"/>
        <v>249</v>
      </c>
      <c r="J93" s="691">
        <v>0</v>
      </c>
      <c r="K93" s="691">
        <v>0</v>
      </c>
      <c r="L93" s="691">
        <v>0</v>
      </c>
      <c r="M93" s="783">
        <f>SUM(M94:M132)</f>
        <v>780715944.85000026</v>
      </c>
      <c r="N93" s="783">
        <f>SUM(N94:N132)</f>
        <v>780715944.85000026</v>
      </c>
    </row>
    <row r="94" spans="1:14">
      <c r="A94" s="83">
        <v>1</v>
      </c>
      <c r="B94" s="58" t="s">
        <v>1040</v>
      </c>
      <c r="C94" s="84">
        <f>'[2]Приложение 1'!J836</f>
        <v>591117.16999999993</v>
      </c>
      <c r="D94" s="85">
        <f>'[2]Приложение 1'!M836</f>
        <v>22415</v>
      </c>
      <c r="E94" s="59">
        <v>0</v>
      </c>
      <c r="F94" s="85">
        <v>0</v>
      </c>
      <c r="G94" s="59">
        <v>0</v>
      </c>
      <c r="H94" s="85">
        <v>127</v>
      </c>
      <c r="I94" s="85">
        <f>H94</f>
        <v>127</v>
      </c>
      <c r="J94" s="511">
        <v>0</v>
      </c>
      <c r="K94" s="511">
        <v>0</v>
      </c>
      <c r="L94" s="511">
        <v>0</v>
      </c>
      <c r="M94" s="84">
        <f>'[2]Приложение 1'!N836</f>
        <v>516605060.58999997</v>
      </c>
      <c r="N94" s="84">
        <f>M94</f>
        <v>516605060.58999997</v>
      </c>
    </row>
    <row r="95" spans="1:14">
      <c r="A95" s="83">
        <v>2</v>
      </c>
      <c r="B95" s="58" t="s">
        <v>221</v>
      </c>
      <c r="C95" s="84">
        <f>'[2]Приложение 1'!J845</f>
        <v>22672.400000000001</v>
      </c>
      <c r="D95" s="85">
        <f>'[2]Приложение 1'!M845</f>
        <v>994</v>
      </c>
      <c r="E95" s="59">
        <v>0</v>
      </c>
      <c r="F95" s="85">
        <v>0</v>
      </c>
      <c r="G95" s="59">
        <v>0</v>
      </c>
      <c r="H95" s="85">
        <v>7</v>
      </c>
      <c r="I95" s="85">
        <f t="shared" ref="I95:I132" si="7">H95</f>
        <v>7</v>
      </c>
      <c r="J95" s="511">
        <v>0</v>
      </c>
      <c r="K95" s="511">
        <v>0</v>
      </c>
      <c r="L95" s="511">
        <v>0</v>
      </c>
      <c r="M95" s="84">
        <f>'[2]Приложение 1'!N845</f>
        <v>26325416.399999999</v>
      </c>
      <c r="N95" s="84">
        <f t="shared" ref="N95:N132" si="8">M95</f>
        <v>26325416.399999999</v>
      </c>
    </row>
    <row r="96" spans="1:14">
      <c r="A96" s="83">
        <v>3</v>
      </c>
      <c r="B96" s="58" t="s">
        <v>232</v>
      </c>
      <c r="C96" s="84">
        <f>'[2]Приложение 1'!J859</f>
        <v>45485</v>
      </c>
      <c r="D96" s="85">
        <f>'[2]Приложение 1'!M859</f>
        <v>820</v>
      </c>
      <c r="E96" s="59">
        <v>0</v>
      </c>
      <c r="F96" s="85">
        <v>0</v>
      </c>
      <c r="G96" s="59">
        <v>0</v>
      </c>
      <c r="H96" s="85">
        <v>12</v>
      </c>
      <c r="I96" s="85">
        <f t="shared" si="7"/>
        <v>12</v>
      </c>
      <c r="J96" s="511">
        <v>0</v>
      </c>
      <c r="K96" s="511">
        <v>0</v>
      </c>
      <c r="L96" s="511">
        <v>0</v>
      </c>
      <c r="M96" s="84">
        <f>'[2]Приложение 1'!N859</f>
        <v>45220080</v>
      </c>
      <c r="N96" s="84">
        <f t="shared" si="8"/>
        <v>45220080</v>
      </c>
    </row>
    <row r="97" spans="1:14">
      <c r="A97" s="83">
        <v>4</v>
      </c>
      <c r="B97" s="58" t="s">
        <v>242</v>
      </c>
      <c r="C97" s="84">
        <f>'[2]Приложение 1'!J864</f>
        <v>8973.7000000000007</v>
      </c>
      <c r="D97" s="85">
        <f>'[2]Приложение 1'!M864</f>
        <v>821</v>
      </c>
      <c r="E97" s="59">
        <v>0</v>
      </c>
      <c r="F97" s="85">
        <v>0</v>
      </c>
      <c r="G97" s="59">
        <v>0</v>
      </c>
      <c r="H97" s="85">
        <v>3</v>
      </c>
      <c r="I97" s="85">
        <f t="shared" si="7"/>
        <v>3</v>
      </c>
      <c r="J97" s="511">
        <v>0</v>
      </c>
      <c r="K97" s="511">
        <v>0</v>
      </c>
      <c r="L97" s="511">
        <v>0</v>
      </c>
      <c r="M97" s="84">
        <f>'[2]Приложение 1'!N864</f>
        <v>7496176</v>
      </c>
      <c r="N97" s="84">
        <f t="shared" si="8"/>
        <v>7496176</v>
      </c>
    </row>
    <row r="98" spans="1:14">
      <c r="A98" s="83">
        <v>5</v>
      </c>
      <c r="B98" s="58" t="s">
        <v>1041</v>
      </c>
      <c r="C98" s="84">
        <f>'[2]Приложение 1'!J871</f>
        <v>3854.9000000000005</v>
      </c>
      <c r="D98" s="85">
        <f>'[2]Приложение 1'!M871</f>
        <v>137</v>
      </c>
      <c r="E98" s="59">
        <v>0</v>
      </c>
      <c r="F98" s="85">
        <v>0</v>
      </c>
      <c r="G98" s="59">
        <v>0</v>
      </c>
      <c r="H98" s="85">
        <v>5</v>
      </c>
      <c r="I98" s="85">
        <f t="shared" si="7"/>
        <v>5</v>
      </c>
      <c r="J98" s="511">
        <v>0</v>
      </c>
      <c r="K98" s="511">
        <v>0</v>
      </c>
      <c r="L98" s="511">
        <v>0</v>
      </c>
      <c r="M98" s="84">
        <f>'[2]Приложение 1'!N871</f>
        <v>7661022.5999999996</v>
      </c>
      <c r="N98" s="84">
        <f t="shared" si="8"/>
        <v>7661022.5999999996</v>
      </c>
    </row>
    <row r="99" spans="1:14">
      <c r="A99" s="83">
        <v>6</v>
      </c>
      <c r="B99" s="58" t="s">
        <v>259</v>
      </c>
      <c r="C99" s="84">
        <f>'[2]Приложение 1'!J875</f>
        <v>2732.45</v>
      </c>
      <c r="D99" s="85">
        <f>'[2]Приложение 1'!M875</f>
        <v>151</v>
      </c>
      <c r="E99" s="59">
        <v>0</v>
      </c>
      <c r="F99" s="85">
        <v>0</v>
      </c>
      <c r="G99" s="59">
        <v>0</v>
      </c>
      <c r="H99" s="85">
        <v>2</v>
      </c>
      <c r="I99" s="85">
        <f t="shared" si="7"/>
        <v>2</v>
      </c>
      <c r="J99" s="511">
        <v>0</v>
      </c>
      <c r="K99" s="511">
        <v>0</v>
      </c>
      <c r="L99" s="511">
        <v>0</v>
      </c>
      <c r="M99" s="84">
        <f>'[2]Приложение 1'!N875</f>
        <v>5181256.08</v>
      </c>
      <c r="N99" s="84">
        <f t="shared" si="8"/>
        <v>5181256.08</v>
      </c>
    </row>
    <row r="100" spans="1:14">
      <c r="A100" s="83">
        <v>7</v>
      </c>
      <c r="B100" s="509" t="s">
        <v>395</v>
      </c>
      <c r="C100" s="84">
        <f>'[2]Приложение 1'!J890</f>
        <v>17309.900000000001</v>
      </c>
      <c r="D100" s="85">
        <f>'[2]Приложение 1'!M890</f>
        <v>720</v>
      </c>
      <c r="E100" s="59">
        <v>0</v>
      </c>
      <c r="F100" s="85">
        <v>0</v>
      </c>
      <c r="G100" s="59">
        <v>0</v>
      </c>
      <c r="H100" s="85">
        <v>13</v>
      </c>
      <c r="I100" s="85">
        <f t="shared" si="7"/>
        <v>13</v>
      </c>
      <c r="J100" s="511">
        <v>0</v>
      </c>
      <c r="K100" s="511">
        <v>0</v>
      </c>
      <c r="L100" s="511">
        <v>0</v>
      </c>
      <c r="M100" s="84">
        <f>'[2]Приложение 1'!N890</f>
        <v>25726012.629999995</v>
      </c>
      <c r="N100" s="84">
        <f t="shared" si="8"/>
        <v>25726012.629999995</v>
      </c>
    </row>
    <row r="101" spans="1:14" ht="22.5">
      <c r="A101" s="83">
        <v>8</v>
      </c>
      <c r="B101" s="509" t="s">
        <v>445</v>
      </c>
      <c r="C101" s="84">
        <f>'[2]Приложение 1'!J893</f>
        <v>1476.6</v>
      </c>
      <c r="D101" s="85">
        <f>'[2]Приложение 1'!M893</f>
        <v>7</v>
      </c>
      <c r="E101" s="59">
        <v>0</v>
      </c>
      <c r="F101" s="85">
        <v>0</v>
      </c>
      <c r="G101" s="59">
        <v>0</v>
      </c>
      <c r="H101" s="85">
        <v>1</v>
      </c>
      <c r="I101" s="85">
        <f t="shared" si="7"/>
        <v>1</v>
      </c>
      <c r="J101" s="511">
        <v>0</v>
      </c>
      <c r="K101" s="511">
        <v>0</v>
      </c>
      <c r="L101" s="511">
        <v>0</v>
      </c>
      <c r="M101" s="84">
        <f>'[2]Приложение 1'!N893</f>
        <v>2037420</v>
      </c>
      <c r="N101" s="84">
        <f t="shared" si="8"/>
        <v>2037420</v>
      </c>
    </row>
    <row r="102" spans="1:14">
      <c r="A102" s="83">
        <v>9</v>
      </c>
      <c r="B102" s="509" t="s">
        <v>397</v>
      </c>
      <c r="C102" s="84">
        <f>'[2]Приложение 1'!J897</f>
        <v>1651.8</v>
      </c>
      <c r="D102" s="85">
        <f>'[2]Приложение 1'!M897</f>
        <v>16</v>
      </c>
      <c r="E102" s="59">
        <v>0</v>
      </c>
      <c r="F102" s="85">
        <v>0</v>
      </c>
      <c r="G102" s="59">
        <v>0</v>
      </c>
      <c r="H102" s="85">
        <v>2</v>
      </c>
      <c r="I102" s="85">
        <f t="shared" si="7"/>
        <v>2</v>
      </c>
      <c r="J102" s="511">
        <v>0</v>
      </c>
      <c r="K102" s="511">
        <v>0</v>
      </c>
      <c r="L102" s="511">
        <v>0</v>
      </c>
      <c r="M102" s="84">
        <f>'[2]Приложение 1'!N897</f>
        <v>2800560</v>
      </c>
      <c r="N102" s="84">
        <f t="shared" si="8"/>
        <v>2800560</v>
      </c>
    </row>
    <row r="103" spans="1:14" ht="22.5">
      <c r="A103" s="83">
        <v>10</v>
      </c>
      <c r="B103" s="509" t="s">
        <v>442</v>
      </c>
      <c r="C103" s="84">
        <f>'[2]Приложение 1'!J901</f>
        <v>3720.4</v>
      </c>
      <c r="D103" s="85">
        <f>'[2]Приложение 1'!M901</f>
        <v>32</v>
      </c>
      <c r="E103" s="59">
        <v>0</v>
      </c>
      <c r="F103" s="85">
        <v>0</v>
      </c>
      <c r="G103" s="59">
        <v>0</v>
      </c>
      <c r="H103" s="85">
        <v>2</v>
      </c>
      <c r="I103" s="85">
        <f t="shared" si="7"/>
        <v>2</v>
      </c>
      <c r="J103" s="511">
        <v>0</v>
      </c>
      <c r="K103" s="511">
        <v>0</v>
      </c>
      <c r="L103" s="511">
        <v>0</v>
      </c>
      <c r="M103" s="84">
        <f>'[2]Приложение 1'!N901</f>
        <v>1427127.98</v>
      </c>
      <c r="N103" s="84">
        <f t="shared" si="8"/>
        <v>1427127.98</v>
      </c>
    </row>
    <row r="104" spans="1:14" ht="22.5">
      <c r="A104" s="83">
        <v>11</v>
      </c>
      <c r="B104" s="509" t="s">
        <v>856</v>
      </c>
      <c r="C104" s="84">
        <f>'[2]Приложение 1'!J907</f>
        <v>2929.7799999999997</v>
      </c>
      <c r="D104" s="85">
        <f>'[2]Приложение 1'!M907</f>
        <v>92</v>
      </c>
      <c r="E104" s="59">
        <v>0</v>
      </c>
      <c r="F104" s="85">
        <v>0</v>
      </c>
      <c r="G104" s="59">
        <v>0</v>
      </c>
      <c r="H104" s="85">
        <v>4</v>
      </c>
      <c r="I104" s="85">
        <f t="shared" si="7"/>
        <v>4</v>
      </c>
      <c r="J104" s="511">
        <v>0</v>
      </c>
      <c r="K104" s="511">
        <v>0</v>
      </c>
      <c r="L104" s="511">
        <v>0</v>
      </c>
      <c r="M104" s="84">
        <f>'[2]Приложение 1'!N907</f>
        <v>1647013.44</v>
      </c>
      <c r="N104" s="84">
        <f t="shared" si="8"/>
        <v>1647013.44</v>
      </c>
    </row>
    <row r="105" spans="1:14" ht="22.5">
      <c r="A105" s="83">
        <v>12</v>
      </c>
      <c r="B105" s="509" t="s">
        <v>435</v>
      </c>
      <c r="C105" s="84">
        <f>'[2]Приложение 1'!J911</f>
        <v>1044.9000000000001</v>
      </c>
      <c r="D105" s="85">
        <f>'[2]Приложение 1'!M911</f>
        <v>40</v>
      </c>
      <c r="E105" s="59">
        <v>0</v>
      </c>
      <c r="F105" s="85">
        <v>0</v>
      </c>
      <c r="G105" s="59">
        <v>0</v>
      </c>
      <c r="H105" s="85">
        <v>2</v>
      </c>
      <c r="I105" s="85">
        <f t="shared" si="7"/>
        <v>2</v>
      </c>
      <c r="J105" s="511">
        <v>0</v>
      </c>
      <c r="K105" s="511">
        <v>0</v>
      </c>
      <c r="L105" s="511">
        <v>0</v>
      </c>
      <c r="M105" s="84">
        <f>'[2]Приложение 1'!N911</f>
        <v>3266340</v>
      </c>
      <c r="N105" s="84">
        <f t="shared" si="8"/>
        <v>3266340</v>
      </c>
    </row>
    <row r="106" spans="1:14" ht="22.5">
      <c r="A106" s="83">
        <v>13</v>
      </c>
      <c r="B106" s="509" t="s">
        <v>1085</v>
      </c>
      <c r="C106" s="84">
        <f>'[2]Приложение 1'!J914</f>
        <v>9951</v>
      </c>
      <c r="D106" s="85">
        <f>'[2]Приложение 1'!M914</f>
        <v>637</v>
      </c>
      <c r="E106" s="59">
        <v>0</v>
      </c>
      <c r="F106" s="85">
        <v>0</v>
      </c>
      <c r="G106" s="59">
        <v>0</v>
      </c>
      <c r="H106" s="85">
        <v>1</v>
      </c>
      <c r="I106" s="85">
        <f t="shared" si="7"/>
        <v>1</v>
      </c>
      <c r="J106" s="511">
        <v>0</v>
      </c>
      <c r="K106" s="511">
        <v>0</v>
      </c>
      <c r="L106" s="511">
        <v>0</v>
      </c>
      <c r="M106" s="84">
        <f>'[2]Приложение 1'!N914</f>
        <v>7967926.5999999996</v>
      </c>
      <c r="N106" s="84">
        <f t="shared" si="8"/>
        <v>7967926.5999999996</v>
      </c>
    </row>
    <row r="107" spans="1:14" ht="22.5">
      <c r="A107" s="83">
        <v>14</v>
      </c>
      <c r="B107" s="509" t="s">
        <v>305</v>
      </c>
      <c r="C107" s="84">
        <f>'[2]Приложение 1'!J917</f>
        <v>613.1</v>
      </c>
      <c r="D107" s="85">
        <f>'[2]Приложение 1'!M917</f>
        <v>29</v>
      </c>
      <c r="E107" s="59">
        <v>0</v>
      </c>
      <c r="F107" s="85">
        <v>0</v>
      </c>
      <c r="G107" s="59">
        <v>0</v>
      </c>
      <c r="H107" s="85">
        <v>1</v>
      </c>
      <c r="I107" s="85">
        <f t="shared" si="7"/>
        <v>1</v>
      </c>
      <c r="J107" s="511">
        <v>0</v>
      </c>
      <c r="K107" s="511">
        <v>0</v>
      </c>
      <c r="L107" s="511">
        <v>0</v>
      </c>
      <c r="M107" s="84">
        <f>'[2]Приложение 1'!N917</f>
        <v>1734588.24</v>
      </c>
      <c r="N107" s="84">
        <f t="shared" si="8"/>
        <v>1734588.24</v>
      </c>
    </row>
    <row r="108" spans="1:14" ht="22.5">
      <c r="A108" s="83">
        <v>15</v>
      </c>
      <c r="B108" s="509" t="s">
        <v>295</v>
      </c>
      <c r="C108" s="84">
        <f>'[2]Приложение 1'!J928</f>
        <v>17196.300000000003</v>
      </c>
      <c r="D108" s="85">
        <f>'[2]Приложение 1'!M928</f>
        <v>639</v>
      </c>
      <c r="E108" s="59">
        <v>0</v>
      </c>
      <c r="F108" s="85">
        <v>0</v>
      </c>
      <c r="G108" s="59">
        <v>0</v>
      </c>
      <c r="H108" s="85">
        <v>9</v>
      </c>
      <c r="I108" s="85">
        <f t="shared" si="7"/>
        <v>9</v>
      </c>
      <c r="J108" s="511">
        <v>0</v>
      </c>
      <c r="K108" s="511">
        <v>0</v>
      </c>
      <c r="L108" s="511">
        <v>0</v>
      </c>
      <c r="M108" s="84">
        <f>'[2]Приложение 1'!N928</f>
        <v>21300778.720000003</v>
      </c>
      <c r="N108" s="84">
        <f t="shared" si="8"/>
        <v>21300778.720000003</v>
      </c>
    </row>
    <row r="109" spans="1:14" ht="22.5">
      <c r="A109" s="83">
        <v>16</v>
      </c>
      <c r="B109" s="509" t="s">
        <v>296</v>
      </c>
      <c r="C109" s="84">
        <f>'[2]Приложение 1'!J931</f>
        <v>380.2</v>
      </c>
      <c r="D109" s="85">
        <f>'[2]Приложение 1'!M931</f>
        <v>13</v>
      </c>
      <c r="E109" s="59">
        <v>0</v>
      </c>
      <c r="F109" s="85">
        <v>0</v>
      </c>
      <c r="G109" s="59">
        <v>0</v>
      </c>
      <c r="H109" s="85">
        <v>1</v>
      </c>
      <c r="I109" s="85">
        <f t="shared" si="7"/>
        <v>1</v>
      </c>
      <c r="J109" s="511">
        <v>0</v>
      </c>
      <c r="K109" s="511">
        <v>0</v>
      </c>
      <c r="L109" s="511">
        <v>0</v>
      </c>
      <c r="M109" s="84">
        <f>'[2]Приложение 1'!N931</f>
        <v>1188495</v>
      </c>
      <c r="N109" s="84">
        <f t="shared" si="8"/>
        <v>1188495</v>
      </c>
    </row>
    <row r="110" spans="1:14" ht="22.5">
      <c r="A110" s="83">
        <v>17</v>
      </c>
      <c r="B110" s="509" t="s">
        <v>298</v>
      </c>
      <c r="C110" s="84">
        <f>'[2]Приложение 1'!J934</f>
        <v>2570.4</v>
      </c>
      <c r="D110" s="85">
        <f>'[2]Приложение 1'!M934</f>
        <v>38</v>
      </c>
      <c r="E110" s="59">
        <v>0</v>
      </c>
      <c r="F110" s="85">
        <v>0</v>
      </c>
      <c r="G110" s="59">
        <v>0</v>
      </c>
      <c r="H110" s="85">
        <v>1</v>
      </c>
      <c r="I110" s="85">
        <f t="shared" si="7"/>
        <v>1</v>
      </c>
      <c r="J110" s="511">
        <v>0</v>
      </c>
      <c r="K110" s="511">
        <v>0</v>
      </c>
      <c r="L110" s="511">
        <v>0</v>
      </c>
      <c r="M110" s="84">
        <f>'[2]Приложение 1'!N934</f>
        <v>3568395.6</v>
      </c>
      <c r="N110" s="84">
        <f t="shared" si="8"/>
        <v>3568395.6</v>
      </c>
    </row>
    <row r="111" spans="1:14">
      <c r="A111" s="83">
        <v>18</v>
      </c>
      <c r="B111" s="509" t="s">
        <v>899</v>
      </c>
      <c r="C111" s="84">
        <f>'[2]Приложение 1'!J937</f>
        <v>665.6</v>
      </c>
      <c r="D111" s="85">
        <f>'[2]Приложение 1'!M937</f>
        <v>29</v>
      </c>
      <c r="E111" s="59">
        <v>0</v>
      </c>
      <c r="F111" s="85">
        <v>0</v>
      </c>
      <c r="G111" s="59">
        <v>0</v>
      </c>
      <c r="H111" s="85">
        <v>1</v>
      </c>
      <c r="I111" s="85">
        <f t="shared" si="7"/>
        <v>1</v>
      </c>
      <c r="J111" s="511">
        <v>0</v>
      </c>
      <c r="K111" s="511">
        <v>0</v>
      </c>
      <c r="L111" s="511">
        <v>0</v>
      </c>
      <c r="M111" s="84">
        <f>'[2]Приложение 1'!N937</f>
        <v>1513512</v>
      </c>
      <c r="N111" s="84">
        <f t="shared" si="8"/>
        <v>1513512</v>
      </c>
    </row>
    <row r="112" spans="1:14" ht="22.5">
      <c r="A112" s="83">
        <v>19</v>
      </c>
      <c r="B112" s="509" t="s">
        <v>330</v>
      </c>
      <c r="C112" s="84">
        <f>'[2]Приложение 1'!J945</f>
        <v>26039.360000000001</v>
      </c>
      <c r="D112" s="85">
        <f>'[2]Приложение 1'!M945</f>
        <v>721</v>
      </c>
      <c r="E112" s="59">
        <v>0</v>
      </c>
      <c r="F112" s="85">
        <v>0</v>
      </c>
      <c r="G112" s="59">
        <v>0</v>
      </c>
      <c r="H112" s="85">
        <v>6</v>
      </c>
      <c r="I112" s="85">
        <f t="shared" si="7"/>
        <v>6</v>
      </c>
      <c r="J112" s="511">
        <v>0</v>
      </c>
      <c r="K112" s="511">
        <v>0</v>
      </c>
      <c r="L112" s="511">
        <v>0</v>
      </c>
      <c r="M112" s="84">
        <f>'[2]Приложение 1'!N945</f>
        <v>17133426</v>
      </c>
      <c r="N112" s="84">
        <f t="shared" si="8"/>
        <v>17133426</v>
      </c>
    </row>
    <row r="113" spans="1:14" ht="22.5">
      <c r="A113" s="83">
        <v>20</v>
      </c>
      <c r="B113" s="509" t="s">
        <v>405</v>
      </c>
      <c r="C113" s="84">
        <f>'[2]Приложение 1'!J948</f>
        <v>580.20000000000005</v>
      </c>
      <c r="D113" s="85">
        <f>'[2]Приложение 1'!M948</f>
        <v>40</v>
      </c>
      <c r="E113" s="59">
        <v>0</v>
      </c>
      <c r="F113" s="85">
        <v>0</v>
      </c>
      <c r="G113" s="59">
        <v>0</v>
      </c>
      <c r="H113" s="85">
        <v>1</v>
      </c>
      <c r="I113" s="85">
        <f t="shared" si="7"/>
        <v>1</v>
      </c>
      <c r="J113" s="511">
        <v>0</v>
      </c>
      <c r="K113" s="511">
        <v>0</v>
      </c>
      <c r="L113" s="511">
        <v>0</v>
      </c>
      <c r="M113" s="84">
        <f>'[2]Приложение 1'!N948</f>
        <v>1534533</v>
      </c>
      <c r="N113" s="84">
        <f t="shared" si="8"/>
        <v>1534533</v>
      </c>
    </row>
    <row r="114" spans="1:14">
      <c r="A114" s="83">
        <v>21</v>
      </c>
      <c r="B114" s="509" t="s">
        <v>427</v>
      </c>
      <c r="C114" s="84">
        <f>'[2]Приложение 1'!J956</f>
        <v>9020.9</v>
      </c>
      <c r="D114" s="85">
        <f>'[2]Приложение 1'!M956</f>
        <v>512</v>
      </c>
      <c r="E114" s="59">
        <v>0</v>
      </c>
      <c r="F114" s="85">
        <v>0</v>
      </c>
      <c r="G114" s="59">
        <v>0</v>
      </c>
      <c r="H114" s="85">
        <v>6</v>
      </c>
      <c r="I114" s="85">
        <f t="shared" si="7"/>
        <v>6</v>
      </c>
      <c r="J114" s="511">
        <v>0</v>
      </c>
      <c r="K114" s="511">
        <v>0</v>
      </c>
      <c r="L114" s="511">
        <v>0</v>
      </c>
      <c r="M114" s="84">
        <f>'[2]Приложение 1'!N956</f>
        <v>11412850.68</v>
      </c>
      <c r="N114" s="84">
        <f t="shared" si="8"/>
        <v>11412850.68</v>
      </c>
    </row>
    <row r="115" spans="1:14" ht="22.5">
      <c r="A115" s="83">
        <v>22</v>
      </c>
      <c r="B115" s="509" t="s">
        <v>1043</v>
      </c>
      <c r="C115" s="84">
        <f>'[2]Приложение 1'!J960</f>
        <v>1984.6</v>
      </c>
      <c r="D115" s="85">
        <f>'[2]Приложение 1'!M960</f>
        <v>110</v>
      </c>
      <c r="E115" s="59">
        <v>0</v>
      </c>
      <c r="F115" s="85">
        <v>0</v>
      </c>
      <c r="G115" s="59">
        <v>0</v>
      </c>
      <c r="H115" s="85">
        <v>2</v>
      </c>
      <c r="I115" s="85">
        <f t="shared" si="7"/>
        <v>2</v>
      </c>
      <c r="J115" s="511">
        <v>0</v>
      </c>
      <c r="K115" s="511">
        <v>0</v>
      </c>
      <c r="L115" s="511">
        <v>0</v>
      </c>
      <c r="M115" s="84">
        <f>'[2]Приложение 1'!N960</f>
        <v>5907062.7000000002</v>
      </c>
      <c r="N115" s="84">
        <f t="shared" si="8"/>
        <v>5907062.7000000002</v>
      </c>
    </row>
    <row r="116" spans="1:14">
      <c r="A116" s="83">
        <v>23</v>
      </c>
      <c r="B116" s="509" t="s">
        <v>425</v>
      </c>
      <c r="C116" s="84">
        <f>'[2]Приложение 1'!J963</f>
        <v>647</v>
      </c>
      <c r="D116" s="85">
        <f>'[2]Приложение 1'!M963</f>
        <v>30</v>
      </c>
      <c r="E116" s="59">
        <v>0</v>
      </c>
      <c r="F116" s="85">
        <v>0</v>
      </c>
      <c r="G116" s="59">
        <v>0</v>
      </c>
      <c r="H116" s="85">
        <v>1</v>
      </c>
      <c r="I116" s="85">
        <f t="shared" si="7"/>
        <v>1</v>
      </c>
      <c r="J116" s="511">
        <v>0</v>
      </c>
      <c r="K116" s="511">
        <v>0</v>
      </c>
      <c r="L116" s="511">
        <v>0</v>
      </c>
      <c r="M116" s="84">
        <f>'[2]Приложение 1'!N963</f>
        <v>2003463</v>
      </c>
      <c r="N116" s="84">
        <f t="shared" si="8"/>
        <v>2003463</v>
      </c>
    </row>
    <row r="117" spans="1:14">
      <c r="A117" s="83">
        <v>24</v>
      </c>
      <c r="B117" s="509" t="s">
        <v>352</v>
      </c>
      <c r="C117" s="84">
        <f>'[2]Приложение 1'!J967</f>
        <v>966.28</v>
      </c>
      <c r="D117" s="85">
        <f>'[2]Приложение 1'!M967</f>
        <v>27</v>
      </c>
      <c r="E117" s="59">
        <v>0</v>
      </c>
      <c r="F117" s="85">
        <v>0</v>
      </c>
      <c r="G117" s="59">
        <v>0</v>
      </c>
      <c r="H117" s="85">
        <v>2</v>
      </c>
      <c r="I117" s="85">
        <f t="shared" si="7"/>
        <v>2</v>
      </c>
      <c r="J117" s="511">
        <v>0</v>
      </c>
      <c r="K117" s="511">
        <v>0</v>
      </c>
      <c r="L117" s="511">
        <v>0</v>
      </c>
      <c r="M117" s="84">
        <f>'[2]Приложение 1'!N967</f>
        <v>2726262</v>
      </c>
      <c r="N117" s="84">
        <f t="shared" si="8"/>
        <v>2726262</v>
      </c>
    </row>
    <row r="118" spans="1:14" ht="22.5">
      <c r="A118" s="83">
        <v>25</v>
      </c>
      <c r="B118" s="509" t="s">
        <v>433</v>
      </c>
      <c r="C118" s="84">
        <f>'[2]Приложение 1'!J972</f>
        <v>3744.15</v>
      </c>
      <c r="D118" s="85">
        <f>'[2]Приложение 1'!M972</f>
        <v>119</v>
      </c>
      <c r="E118" s="59">
        <v>0</v>
      </c>
      <c r="F118" s="85">
        <v>0</v>
      </c>
      <c r="G118" s="59">
        <v>0</v>
      </c>
      <c r="H118" s="85">
        <v>3</v>
      </c>
      <c r="I118" s="85">
        <f t="shared" si="7"/>
        <v>3</v>
      </c>
      <c r="J118" s="511">
        <v>0</v>
      </c>
      <c r="K118" s="511">
        <v>0</v>
      </c>
      <c r="L118" s="511">
        <v>0</v>
      </c>
      <c r="M118" s="84">
        <f>'[2]Приложение 1'!N972</f>
        <v>2722145.07</v>
      </c>
      <c r="N118" s="84">
        <f t="shared" si="8"/>
        <v>2722145.07</v>
      </c>
    </row>
    <row r="119" spans="1:14" ht="22.5">
      <c r="A119" s="83">
        <v>26</v>
      </c>
      <c r="B119" s="509" t="s">
        <v>937</v>
      </c>
      <c r="C119" s="84">
        <f>'[2]Приложение 1'!J975</f>
        <v>535</v>
      </c>
      <c r="D119" s="85">
        <f>'[2]Приложение 1'!M975</f>
        <v>16</v>
      </c>
      <c r="E119" s="59">
        <v>0</v>
      </c>
      <c r="F119" s="85">
        <v>0</v>
      </c>
      <c r="G119" s="59">
        <v>0</v>
      </c>
      <c r="H119" s="85">
        <v>1</v>
      </c>
      <c r="I119" s="85">
        <f t="shared" si="7"/>
        <v>1</v>
      </c>
      <c r="J119" s="511">
        <v>0</v>
      </c>
      <c r="K119" s="511">
        <v>0</v>
      </c>
      <c r="L119" s="511">
        <v>0</v>
      </c>
      <c r="M119" s="84">
        <f>'[2]Приложение 1'!N975</f>
        <v>1203048</v>
      </c>
      <c r="N119" s="84">
        <f t="shared" si="8"/>
        <v>1203048</v>
      </c>
    </row>
    <row r="120" spans="1:14" ht="22.5">
      <c r="A120" s="83">
        <v>27</v>
      </c>
      <c r="B120" s="509" t="s">
        <v>361</v>
      </c>
      <c r="C120" s="84">
        <f>'[2]Приложение 1'!J979</f>
        <v>1962.76</v>
      </c>
      <c r="D120" s="85">
        <f>'[2]Приложение 1'!M979</f>
        <v>74</v>
      </c>
      <c r="E120" s="59">
        <v>0</v>
      </c>
      <c r="F120" s="85">
        <v>0</v>
      </c>
      <c r="G120" s="59">
        <v>0</v>
      </c>
      <c r="H120" s="85">
        <v>2</v>
      </c>
      <c r="I120" s="85">
        <f t="shared" si="7"/>
        <v>2</v>
      </c>
      <c r="J120" s="511">
        <v>0</v>
      </c>
      <c r="K120" s="511">
        <v>0</v>
      </c>
      <c r="L120" s="511">
        <v>0</v>
      </c>
      <c r="M120" s="84">
        <f>'[2]Приложение 1'!N979</f>
        <v>4676364</v>
      </c>
      <c r="N120" s="84">
        <f t="shared" si="8"/>
        <v>4676364</v>
      </c>
    </row>
    <row r="121" spans="1:14">
      <c r="A121" s="83">
        <v>28</v>
      </c>
      <c r="B121" s="509" t="s">
        <v>431</v>
      </c>
      <c r="C121" s="84">
        <f>'[2]Приложение 1'!J983</f>
        <v>1222</v>
      </c>
      <c r="D121" s="85">
        <f>'[2]Приложение 1'!M983</f>
        <v>60</v>
      </c>
      <c r="E121" s="59">
        <v>0</v>
      </c>
      <c r="F121" s="85">
        <v>0</v>
      </c>
      <c r="G121" s="59">
        <v>0</v>
      </c>
      <c r="H121" s="85">
        <v>2</v>
      </c>
      <c r="I121" s="85">
        <f t="shared" si="7"/>
        <v>2</v>
      </c>
      <c r="J121" s="511">
        <v>0</v>
      </c>
      <c r="K121" s="511">
        <v>0</v>
      </c>
      <c r="L121" s="511">
        <v>0</v>
      </c>
      <c r="M121" s="84">
        <f>'[2]Приложение 1'!N983</f>
        <v>3005356.2</v>
      </c>
      <c r="N121" s="84">
        <f t="shared" si="8"/>
        <v>3005356.2</v>
      </c>
    </row>
    <row r="122" spans="1:14">
      <c r="A122" s="83">
        <v>29</v>
      </c>
      <c r="B122" s="509" t="s">
        <v>3</v>
      </c>
      <c r="C122" s="84">
        <f>'[2]Приложение 1'!J986</f>
        <v>1144.96</v>
      </c>
      <c r="D122" s="85">
        <f>'[2]Приложение 1'!M986</f>
        <v>20</v>
      </c>
      <c r="E122" s="59">
        <v>0</v>
      </c>
      <c r="F122" s="85">
        <v>0</v>
      </c>
      <c r="G122" s="59">
        <v>0</v>
      </c>
      <c r="H122" s="85">
        <v>1</v>
      </c>
      <c r="I122" s="85">
        <f t="shared" si="7"/>
        <v>1</v>
      </c>
      <c r="J122" s="511">
        <v>0</v>
      </c>
      <c r="K122" s="511">
        <v>0</v>
      </c>
      <c r="L122" s="511">
        <v>0</v>
      </c>
      <c r="M122" s="84">
        <f>'[2]Приложение 1'!N986</f>
        <v>2858856</v>
      </c>
      <c r="N122" s="84">
        <f t="shared" si="8"/>
        <v>2858856</v>
      </c>
    </row>
    <row r="123" spans="1:14" ht="22.5">
      <c r="A123" s="83">
        <v>30</v>
      </c>
      <c r="B123" s="509" t="s">
        <v>11</v>
      </c>
      <c r="C123" s="84">
        <f>'[2]Приложение 1'!J993</f>
        <v>1562.1000000000001</v>
      </c>
      <c r="D123" s="85">
        <f>'[2]Приложение 1'!M993</f>
        <v>54</v>
      </c>
      <c r="E123" s="59">
        <v>0</v>
      </c>
      <c r="F123" s="85">
        <v>0</v>
      </c>
      <c r="G123" s="59">
        <v>0</v>
      </c>
      <c r="H123" s="85">
        <v>5</v>
      </c>
      <c r="I123" s="85">
        <f t="shared" si="7"/>
        <v>5</v>
      </c>
      <c r="J123" s="511">
        <v>0</v>
      </c>
      <c r="K123" s="511">
        <v>0</v>
      </c>
      <c r="L123" s="511">
        <v>0</v>
      </c>
      <c r="M123" s="84">
        <f>'[2]Приложение 1'!N993</f>
        <v>4168626</v>
      </c>
      <c r="N123" s="84">
        <f t="shared" si="8"/>
        <v>4168626</v>
      </c>
    </row>
    <row r="124" spans="1:14" ht="22.5">
      <c r="A124" s="83">
        <v>31</v>
      </c>
      <c r="B124" s="509" t="s">
        <v>392</v>
      </c>
      <c r="C124" s="84">
        <f>'[2]Приложение 1'!J996</f>
        <v>200</v>
      </c>
      <c r="D124" s="85">
        <f>'[2]Приложение 1'!M996</f>
        <v>10</v>
      </c>
      <c r="E124" s="59">
        <v>0</v>
      </c>
      <c r="F124" s="85">
        <v>0</v>
      </c>
      <c r="G124" s="59">
        <v>0</v>
      </c>
      <c r="H124" s="85">
        <v>1</v>
      </c>
      <c r="I124" s="85">
        <f t="shared" si="7"/>
        <v>1</v>
      </c>
      <c r="J124" s="511">
        <v>0</v>
      </c>
      <c r="K124" s="511">
        <v>0</v>
      </c>
      <c r="L124" s="511">
        <v>0</v>
      </c>
      <c r="M124" s="84">
        <f>'[2]Приложение 1'!N996</f>
        <v>581149.80000000005</v>
      </c>
      <c r="N124" s="84">
        <f t="shared" si="8"/>
        <v>581149.80000000005</v>
      </c>
    </row>
    <row r="125" spans="1:14" ht="25.5" customHeight="1">
      <c r="A125" s="83">
        <v>32</v>
      </c>
      <c r="B125" s="509" t="s">
        <v>437</v>
      </c>
      <c r="C125" s="84">
        <f>'[2]Приложение 1'!J999</f>
        <v>907.5</v>
      </c>
      <c r="D125" s="85">
        <f>'[2]Приложение 1'!M998</f>
        <v>48</v>
      </c>
      <c r="E125" s="59">
        <v>0</v>
      </c>
      <c r="F125" s="85">
        <v>0</v>
      </c>
      <c r="G125" s="59">
        <v>0</v>
      </c>
      <c r="H125" s="85">
        <v>1</v>
      </c>
      <c r="I125" s="85">
        <f t="shared" si="7"/>
        <v>1</v>
      </c>
      <c r="J125" s="511">
        <v>0</v>
      </c>
      <c r="K125" s="511">
        <v>0</v>
      </c>
      <c r="L125" s="511">
        <v>0</v>
      </c>
      <c r="M125" s="84">
        <f>'[2]Приложение 1'!N999</f>
        <v>2133026.52</v>
      </c>
      <c r="N125" s="84">
        <f t="shared" si="8"/>
        <v>2133026.52</v>
      </c>
    </row>
    <row r="126" spans="1:14" ht="22.5">
      <c r="A126" s="83">
        <v>33</v>
      </c>
      <c r="B126" s="509" t="s">
        <v>429</v>
      </c>
      <c r="C126" s="84">
        <f>'[2]Приложение 1'!J1002</f>
        <v>1571.55</v>
      </c>
      <c r="D126" s="85">
        <f>'[2]Приложение 1'!M1002</f>
        <v>42</v>
      </c>
      <c r="E126" s="59">
        <v>0</v>
      </c>
      <c r="F126" s="85">
        <v>0</v>
      </c>
      <c r="G126" s="59">
        <v>0</v>
      </c>
      <c r="H126" s="85">
        <v>1</v>
      </c>
      <c r="I126" s="85">
        <f t="shared" si="7"/>
        <v>1</v>
      </c>
      <c r="J126" s="511">
        <v>0</v>
      </c>
      <c r="K126" s="511">
        <v>0</v>
      </c>
      <c r="L126" s="511">
        <v>0</v>
      </c>
      <c r="M126" s="84">
        <f>'[2]Приложение 1'!N1002</f>
        <v>2988216</v>
      </c>
      <c r="N126" s="84">
        <f t="shared" si="8"/>
        <v>2988216</v>
      </c>
    </row>
    <row r="127" spans="1:14">
      <c r="A127" s="83">
        <v>34</v>
      </c>
      <c r="B127" s="509" t="s">
        <v>29</v>
      </c>
      <c r="C127" s="84">
        <f>'[2]Приложение 1'!J1006</f>
        <v>1535.9</v>
      </c>
      <c r="D127" s="85">
        <f>'[2]Приложение 1'!M1006</f>
        <v>63</v>
      </c>
      <c r="E127" s="59">
        <v>0</v>
      </c>
      <c r="F127" s="85">
        <v>0</v>
      </c>
      <c r="G127" s="59">
        <v>0</v>
      </c>
      <c r="H127" s="85">
        <v>2</v>
      </c>
      <c r="I127" s="85">
        <f t="shared" si="7"/>
        <v>2</v>
      </c>
      <c r="J127" s="511">
        <v>0</v>
      </c>
      <c r="K127" s="511">
        <v>0</v>
      </c>
      <c r="L127" s="511">
        <v>0</v>
      </c>
      <c r="M127" s="84">
        <f>'[2]Приложение 1'!N1006</f>
        <v>4136286</v>
      </c>
      <c r="N127" s="84">
        <f t="shared" si="8"/>
        <v>4136286</v>
      </c>
    </row>
    <row r="128" spans="1:14" ht="22.5">
      <c r="A128" s="83">
        <v>35</v>
      </c>
      <c r="B128" s="509" t="s">
        <v>35</v>
      </c>
      <c r="C128" s="84">
        <f>'[2]Приложение 1'!J1013</f>
        <v>4140.1000000000004</v>
      </c>
      <c r="D128" s="85">
        <f>'[2]Приложение 1'!M1013</f>
        <v>169</v>
      </c>
      <c r="E128" s="59">
        <v>0</v>
      </c>
      <c r="F128" s="85">
        <v>0</v>
      </c>
      <c r="G128" s="59">
        <v>0</v>
      </c>
      <c r="H128" s="85">
        <v>5</v>
      </c>
      <c r="I128" s="85">
        <f t="shared" si="7"/>
        <v>5</v>
      </c>
      <c r="J128" s="511">
        <v>0</v>
      </c>
      <c r="K128" s="511">
        <v>0</v>
      </c>
      <c r="L128" s="511">
        <v>0</v>
      </c>
      <c r="M128" s="84">
        <f>'[2]Приложение 1'!N1013</f>
        <v>8823742</v>
      </c>
      <c r="N128" s="84">
        <f t="shared" si="8"/>
        <v>8823742</v>
      </c>
    </row>
    <row r="129" spans="1:14" ht="22.5">
      <c r="A129" s="83">
        <v>36</v>
      </c>
      <c r="B129" s="509" t="s">
        <v>40</v>
      </c>
      <c r="C129" s="84">
        <f>'[2]Приложение 1'!J1018</f>
        <v>1251.0899999999999</v>
      </c>
      <c r="D129" s="85">
        <f>'[2]Приложение 1'!M1018</f>
        <v>59</v>
      </c>
      <c r="E129" s="59">
        <v>0</v>
      </c>
      <c r="F129" s="85">
        <v>0</v>
      </c>
      <c r="G129" s="59">
        <v>0</v>
      </c>
      <c r="H129" s="85">
        <v>3</v>
      </c>
      <c r="I129" s="85">
        <f t="shared" si="7"/>
        <v>3</v>
      </c>
      <c r="J129" s="511">
        <v>0</v>
      </c>
      <c r="K129" s="511">
        <v>0</v>
      </c>
      <c r="L129" s="511">
        <v>0</v>
      </c>
      <c r="M129" s="84">
        <f>'[2]Приложение 1'!N1018</f>
        <v>3318084</v>
      </c>
      <c r="N129" s="84">
        <f t="shared" si="8"/>
        <v>3318084</v>
      </c>
    </row>
    <row r="130" spans="1:14">
      <c r="A130" s="83">
        <v>37</v>
      </c>
      <c r="B130" s="509" t="s">
        <v>1077</v>
      </c>
      <c r="C130" s="84">
        <f>'[2]Приложение 1'!J1021</f>
        <v>918</v>
      </c>
      <c r="D130" s="85">
        <f>'[2]Приложение 1'!M1021</f>
        <v>25</v>
      </c>
      <c r="E130" s="59">
        <v>0</v>
      </c>
      <c r="F130" s="85">
        <v>0</v>
      </c>
      <c r="G130" s="59">
        <v>0</v>
      </c>
      <c r="H130" s="85">
        <v>1</v>
      </c>
      <c r="I130" s="85">
        <f t="shared" si="7"/>
        <v>1</v>
      </c>
      <c r="J130" s="511">
        <v>0</v>
      </c>
      <c r="K130" s="511">
        <v>0</v>
      </c>
      <c r="L130" s="511">
        <v>0</v>
      </c>
      <c r="M130" s="84">
        <f>'[2]Приложение 1'!N1021</f>
        <v>2147096</v>
      </c>
      <c r="N130" s="84">
        <f t="shared" si="8"/>
        <v>2147096</v>
      </c>
    </row>
    <row r="131" spans="1:14" ht="22.5">
      <c r="A131" s="83">
        <v>38</v>
      </c>
      <c r="B131" s="509" t="s">
        <v>45</v>
      </c>
      <c r="C131" s="84">
        <f>'[2]Приложение 1'!J1031</f>
        <v>12065.599999999999</v>
      </c>
      <c r="D131" s="85">
        <f>'[2]Приложение 1'!M1031</f>
        <v>458</v>
      </c>
      <c r="E131" s="59">
        <v>0</v>
      </c>
      <c r="F131" s="85">
        <v>0</v>
      </c>
      <c r="G131" s="59">
        <v>0</v>
      </c>
      <c r="H131" s="85">
        <v>8</v>
      </c>
      <c r="I131" s="85">
        <f t="shared" si="7"/>
        <v>8</v>
      </c>
      <c r="J131" s="511">
        <v>0</v>
      </c>
      <c r="K131" s="511">
        <v>0</v>
      </c>
      <c r="L131" s="511">
        <v>0</v>
      </c>
      <c r="M131" s="84">
        <f>'[2]Приложение 1'!N1031</f>
        <v>13146210</v>
      </c>
      <c r="N131" s="84">
        <f t="shared" si="8"/>
        <v>13146210</v>
      </c>
    </row>
    <row r="132" spans="1:14">
      <c r="A132" s="83">
        <v>39</v>
      </c>
      <c r="B132" s="509" t="s">
        <v>1093</v>
      </c>
      <c r="C132" s="84">
        <f>'[2]Приложение 1'!J1034</f>
        <v>615.1</v>
      </c>
      <c r="D132" s="85">
        <f>'[2]Приложение 1'!M1034</f>
        <v>26</v>
      </c>
      <c r="E132" s="59">
        <v>0</v>
      </c>
      <c r="F132" s="85">
        <v>0</v>
      </c>
      <c r="G132" s="59">
        <v>0</v>
      </c>
      <c r="H132" s="85">
        <v>1</v>
      </c>
      <c r="I132" s="85">
        <f t="shared" si="7"/>
        <v>1</v>
      </c>
      <c r="J132" s="511">
        <v>0</v>
      </c>
      <c r="K132" s="511">
        <v>0</v>
      </c>
      <c r="L132" s="511">
        <v>0</v>
      </c>
      <c r="M132" s="84">
        <f>'[2]Приложение 1'!N1034</f>
        <v>1422960</v>
      </c>
      <c r="N132" s="84">
        <f t="shared" si="8"/>
        <v>1422960</v>
      </c>
    </row>
  </sheetData>
  <mergeCells count="14">
    <mergeCell ref="A56:B56"/>
    <mergeCell ref="A93:B93"/>
    <mergeCell ref="K2:N2"/>
    <mergeCell ref="H3:O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0.8661417322834645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2"/>
  <sheetViews>
    <sheetView topLeftCell="A125" zoomScale="140" zoomScaleNormal="140" zoomScaleSheetLayoutView="115" workbookViewId="0">
      <selection activeCell="F157" sqref="F157:J157"/>
    </sheetView>
  </sheetViews>
  <sheetFormatPr defaultRowHeight="27.75" customHeight="1"/>
  <cols>
    <col min="1" max="1" width="3.1640625" style="28" customWidth="1"/>
    <col min="2" max="2" width="38.83203125" style="284" customWidth="1"/>
    <col min="3" max="3" width="8.6640625" style="281" customWidth="1"/>
    <col min="4" max="4" width="8.6640625" style="284" customWidth="1"/>
    <col min="5" max="5" width="5.33203125" style="79" customWidth="1"/>
    <col min="6" max="6" width="11.83203125" style="79" customWidth="1"/>
    <col min="7" max="8" width="2.33203125" style="79" customWidth="1"/>
    <col min="9" max="10" width="9" style="29" customWidth="1"/>
    <col min="11" max="11" width="7.1640625" style="283" customWidth="1"/>
    <col min="12" max="12" width="11.1640625" style="282" customWidth="1"/>
    <col min="13" max="13" width="9.83203125" style="282" customWidth="1"/>
    <col min="14" max="14" width="9.6640625" style="282" customWidth="1"/>
    <col min="15" max="15" width="8.83203125" style="282" customWidth="1"/>
    <col min="16" max="16" width="12.5" style="282" customWidth="1"/>
    <col min="17" max="17" width="11.6640625" style="282" customWidth="1"/>
    <col min="18" max="18" width="7.1640625" style="282" customWidth="1"/>
    <col min="19" max="19" width="5.5" style="281" customWidth="1"/>
    <col min="20" max="21" width="9.33203125" style="296"/>
    <col min="22" max="16384" width="9.33203125" style="28"/>
  </cols>
  <sheetData>
    <row r="1" spans="1:21" ht="39" customHeight="1">
      <c r="I1" s="290"/>
      <c r="J1" s="290"/>
      <c r="K1" s="940"/>
      <c r="L1" s="940"/>
      <c r="M1" s="940"/>
      <c r="N1" s="940"/>
      <c r="O1" s="940"/>
      <c r="P1" s="940"/>
      <c r="Q1" s="940"/>
      <c r="R1" s="940"/>
      <c r="S1" s="940"/>
    </row>
    <row r="2" spans="1:21" ht="18" customHeight="1">
      <c r="K2" s="941"/>
      <c r="L2" s="941"/>
      <c r="M2" s="941"/>
      <c r="N2" s="941"/>
      <c r="O2" s="941"/>
      <c r="P2" s="941"/>
      <c r="Q2" s="941"/>
      <c r="R2" s="941"/>
      <c r="S2" s="941"/>
    </row>
    <row r="3" spans="1:21" ht="12.75" customHeight="1">
      <c r="A3" s="942" t="s">
        <v>1132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</row>
    <row r="4" spans="1:21" ht="12" customHeight="1">
      <c r="A4" s="943" t="s">
        <v>1131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</row>
    <row r="5" spans="1:21" ht="12" customHeight="1">
      <c r="A5" s="287"/>
      <c r="B5" s="287"/>
      <c r="C5" s="348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</row>
    <row r="6" spans="1:21" ht="15.75" customHeight="1">
      <c r="A6" s="879" t="s">
        <v>1038</v>
      </c>
      <c r="B6" s="879" t="s">
        <v>66</v>
      </c>
      <c r="C6" s="945" t="s">
        <v>1130</v>
      </c>
      <c r="D6" s="944" t="s">
        <v>1129</v>
      </c>
      <c r="E6" s="944" t="s">
        <v>1128</v>
      </c>
      <c r="F6" s="944" t="s">
        <v>381</v>
      </c>
      <c r="G6" s="944" t="s">
        <v>382</v>
      </c>
      <c r="H6" s="944" t="s">
        <v>383</v>
      </c>
      <c r="I6" s="948" t="s">
        <v>67</v>
      </c>
      <c r="J6" s="948" t="s">
        <v>1127</v>
      </c>
      <c r="K6" s="949" t="s">
        <v>385</v>
      </c>
      <c r="L6" s="898" t="s">
        <v>68</v>
      </c>
      <c r="M6" s="898"/>
      <c r="N6" s="898"/>
      <c r="O6" s="898"/>
      <c r="P6" s="898"/>
      <c r="Q6" s="898"/>
      <c r="R6" s="898"/>
      <c r="S6" s="945" t="s">
        <v>388</v>
      </c>
    </row>
    <row r="7" spans="1:21" ht="18.75" customHeight="1">
      <c r="A7" s="879"/>
      <c r="B7" s="879"/>
      <c r="C7" s="945"/>
      <c r="D7" s="944"/>
      <c r="E7" s="944"/>
      <c r="F7" s="944"/>
      <c r="G7" s="944"/>
      <c r="H7" s="944"/>
      <c r="I7" s="948"/>
      <c r="J7" s="948"/>
      <c r="K7" s="949"/>
      <c r="L7" s="947" t="s">
        <v>462</v>
      </c>
      <c r="M7" s="898" t="s">
        <v>472</v>
      </c>
      <c r="N7" s="898"/>
      <c r="O7" s="898"/>
      <c r="P7" s="898"/>
      <c r="Q7" s="898"/>
      <c r="R7" s="898"/>
      <c r="S7" s="945"/>
    </row>
    <row r="8" spans="1:21" ht="96.75" customHeight="1">
      <c r="A8" s="879"/>
      <c r="B8" s="879"/>
      <c r="C8" s="945"/>
      <c r="D8" s="944"/>
      <c r="E8" s="944"/>
      <c r="F8" s="944"/>
      <c r="G8" s="944"/>
      <c r="H8" s="944"/>
      <c r="I8" s="948"/>
      <c r="J8" s="948"/>
      <c r="K8" s="949"/>
      <c r="L8" s="947"/>
      <c r="M8" s="947" t="s">
        <v>1126</v>
      </c>
      <c r="N8" s="947" t="s">
        <v>470</v>
      </c>
      <c r="O8" s="947" t="s">
        <v>471</v>
      </c>
      <c r="P8" s="947" t="s">
        <v>473</v>
      </c>
      <c r="Q8" s="947"/>
      <c r="R8" s="947" t="s">
        <v>1125</v>
      </c>
      <c r="S8" s="945"/>
    </row>
    <row r="9" spans="1:21" ht="101.25" customHeight="1">
      <c r="A9" s="879"/>
      <c r="B9" s="879"/>
      <c r="C9" s="945"/>
      <c r="D9" s="944"/>
      <c r="E9" s="944"/>
      <c r="F9" s="944"/>
      <c r="G9" s="944"/>
      <c r="H9" s="944"/>
      <c r="I9" s="948"/>
      <c r="J9" s="948"/>
      <c r="K9" s="949"/>
      <c r="L9" s="947"/>
      <c r="M9" s="947"/>
      <c r="N9" s="947"/>
      <c r="O9" s="947"/>
      <c r="P9" s="286" t="s">
        <v>1124</v>
      </c>
      <c r="Q9" s="286" t="s">
        <v>1123</v>
      </c>
      <c r="R9" s="947"/>
      <c r="S9" s="945"/>
    </row>
    <row r="10" spans="1:21" ht="15" customHeight="1">
      <c r="A10" s="879"/>
      <c r="B10" s="879"/>
      <c r="C10" s="945"/>
      <c r="D10" s="944"/>
      <c r="E10" s="944"/>
      <c r="F10" s="944"/>
      <c r="G10" s="944"/>
      <c r="H10" s="944"/>
      <c r="I10" s="81" t="s">
        <v>69</v>
      </c>
      <c r="J10" s="81" t="s">
        <v>69</v>
      </c>
      <c r="K10" s="285" t="s">
        <v>70</v>
      </c>
      <c r="L10" s="274" t="s">
        <v>71</v>
      </c>
      <c r="M10" s="274" t="s">
        <v>71</v>
      </c>
      <c r="N10" s="274" t="s">
        <v>71</v>
      </c>
      <c r="O10" s="274" t="s">
        <v>71</v>
      </c>
      <c r="P10" s="274" t="s">
        <v>71</v>
      </c>
      <c r="Q10" s="274" t="s">
        <v>71</v>
      </c>
      <c r="R10" s="274" t="s">
        <v>71</v>
      </c>
      <c r="S10" s="945"/>
    </row>
    <row r="11" spans="1:21" ht="12" customHeight="1">
      <c r="A11" s="285">
        <v>1</v>
      </c>
      <c r="B11" s="285">
        <v>2</v>
      </c>
      <c r="C11" s="349">
        <v>3</v>
      </c>
      <c r="D11" s="285">
        <v>4</v>
      </c>
      <c r="E11" s="285">
        <v>5</v>
      </c>
      <c r="F11" s="285">
        <v>6</v>
      </c>
      <c r="G11" s="285">
        <v>7</v>
      </c>
      <c r="H11" s="285">
        <v>8</v>
      </c>
      <c r="I11" s="285">
        <v>9</v>
      </c>
      <c r="J11" s="285">
        <v>10</v>
      </c>
      <c r="K11" s="285">
        <v>11</v>
      </c>
      <c r="L11" s="285">
        <v>12</v>
      </c>
      <c r="M11" s="285">
        <v>13</v>
      </c>
      <c r="N11" s="285">
        <v>14</v>
      </c>
      <c r="O11" s="285">
        <v>15</v>
      </c>
      <c r="P11" s="285">
        <v>16</v>
      </c>
      <c r="Q11" s="285">
        <v>17</v>
      </c>
      <c r="R11" s="285">
        <v>18</v>
      </c>
      <c r="S11" s="285">
        <v>19</v>
      </c>
    </row>
    <row r="12" spans="1:21" ht="12" customHeight="1">
      <c r="A12" s="822" t="s">
        <v>1151</v>
      </c>
      <c r="B12" s="822"/>
      <c r="C12" s="349"/>
      <c r="D12" s="285"/>
      <c r="E12" s="141" t="s">
        <v>391</v>
      </c>
      <c r="F12" s="141" t="s">
        <v>391</v>
      </c>
      <c r="G12" s="141" t="s">
        <v>391</v>
      </c>
      <c r="H12" s="141" t="s">
        <v>391</v>
      </c>
      <c r="I12" s="410">
        <f>I14+I358</f>
        <v>1609543.2899999996</v>
      </c>
      <c r="J12" s="410">
        <f t="shared" ref="J12:R12" si="0">J14+J358</f>
        <v>1368643.6600000001</v>
      </c>
      <c r="K12" s="410">
        <f t="shared" si="0"/>
        <v>58175</v>
      </c>
      <c r="L12" s="410">
        <f t="shared" si="0"/>
        <v>1611880009.2071505</v>
      </c>
      <c r="M12" s="410">
        <f t="shared" si="0"/>
        <v>0</v>
      </c>
      <c r="N12" s="410">
        <f t="shared" si="0"/>
        <v>0</v>
      </c>
      <c r="O12" s="410">
        <f t="shared" si="0"/>
        <v>200000</v>
      </c>
      <c r="P12" s="410">
        <f t="shared" si="0"/>
        <v>1611680009.2071505</v>
      </c>
      <c r="Q12" s="410">
        <f t="shared" si="0"/>
        <v>0</v>
      </c>
      <c r="R12" s="410">
        <f t="shared" si="0"/>
        <v>0</v>
      </c>
      <c r="S12" s="285"/>
    </row>
    <row r="13" spans="1:21" ht="10.5" customHeight="1">
      <c r="A13" s="821" t="s">
        <v>1046</v>
      </c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</row>
    <row r="14" spans="1:21" ht="11.25" customHeight="1">
      <c r="A14" s="822" t="s">
        <v>1025</v>
      </c>
      <c r="B14" s="822"/>
      <c r="C14" s="132"/>
      <c r="D14" s="265" t="s">
        <v>1024</v>
      </c>
      <c r="E14" s="141" t="s">
        <v>391</v>
      </c>
      <c r="F14" s="141" t="s">
        <v>391</v>
      </c>
      <c r="G14" s="141" t="s">
        <v>391</v>
      </c>
      <c r="H14" s="141" t="s">
        <v>391</v>
      </c>
      <c r="I14" s="362">
        <f>I158+I167+I182+I187+I196+I201+I207+I224+I228+I232+I235+I238+I241+I244+I257+I260+I263+I269+I272+I280+I285+I288+I291+I298+I301+I305+I309+I313+I318+I321+I324+I327+I332+I341+I344+I356</f>
        <v>797609.43999999971</v>
      </c>
      <c r="J14" s="362">
        <f t="shared" ref="J14:R14" si="1">J158+J167+J182+J187+J196+J201+J207+J224+J228+J232+J235+J238+J241+J244+J257+J260+J263+J269+J272+J280+J285+J288+J291+J298+J301+J305+J309+J313+J318+J321+J324+J327+J332+J341+J344+J356</f>
        <v>678125.87999999989</v>
      </c>
      <c r="K14" s="362">
        <f t="shared" si="1"/>
        <v>27667</v>
      </c>
      <c r="L14" s="362">
        <f>L158+L167+L182+L187+L196+L201+L207+L224+L228+L232+L235+L238+L241+L244+L257+L260+L263+L269+L272+L280+L285+L288+L291+L298+L301+L305+L309+L313+L318+L321+L324+L327+L332+L341+L344+L356</f>
        <v>825892644.3571502</v>
      </c>
      <c r="M14" s="362">
        <f t="shared" si="1"/>
        <v>0</v>
      </c>
      <c r="N14" s="362">
        <f t="shared" si="1"/>
        <v>0</v>
      </c>
      <c r="O14" s="362">
        <f t="shared" si="1"/>
        <v>200000</v>
      </c>
      <c r="P14" s="362">
        <f t="shared" si="1"/>
        <v>825692644.3571502</v>
      </c>
      <c r="Q14" s="362">
        <f t="shared" si="1"/>
        <v>0</v>
      </c>
      <c r="R14" s="362">
        <f t="shared" si="1"/>
        <v>0</v>
      </c>
      <c r="S14" s="267"/>
      <c r="T14" s="126"/>
      <c r="U14" s="127"/>
    </row>
    <row r="15" spans="1:21" ht="9" customHeight="1">
      <c r="A15" s="821" t="s">
        <v>217</v>
      </c>
      <c r="B15" s="82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297"/>
      <c r="U15" s="297"/>
    </row>
    <row r="16" spans="1:21" ht="9" customHeight="1">
      <c r="A16" s="268">
        <v>1</v>
      </c>
      <c r="B16" s="200" t="s">
        <v>476</v>
      </c>
      <c r="C16" s="347" t="s">
        <v>1155</v>
      </c>
      <c r="D16" s="201" t="s">
        <v>1154</v>
      </c>
      <c r="E16" s="202">
        <v>1966</v>
      </c>
      <c r="F16" s="203" t="s">
        <v>88</v>
      </c>
      <c r="G16" s="203">
        <v>3</v>
      </c>
      <c r="H16" s="204">
        <v>4</v>
      </c>
      <c r="I16" s="205">
        <v>1605.85</v>
      </c>
      <c r="J16" s="205">
        <v>1337.92</v>
      </c>
      <c r="K16" s="205">
        <v>57</v>
      </c>
      <c r="L16" s="205">
        <f>'Приложение 2 КСП 2018-2019 гг'!H17</f>
        <v>3156384</v>
      </c>
      <c r="M16" s="267">
        <v>0</v>
      </c>
      <c r="N16" s="267">
        <v>0</v>
      </c>
      <c r="O16" s="267">
        <v>0</v>
      </c>
      <c r="P16" s="267">
        <f>L16</f>
        <v>3156384</v>
      </c>
      <c r="Q16" s="267">
        <v>0</v>
      </c>
      <c r="R16" s="267">
        <v>0</v>
      </c>
      <c r="S16" s="267" t="s">
        <v>589</v>
      </c>
      <c r="T16" s="126"/>
      <c r="U16" s="127"/>
    </row>
    <row r="17" spans="1:21" ht="9" customHeight="1">
      <c r="A17" s="268">
        <v>2</v>
      </c>
      <c r="B17" s="200" t="s">
        <v>477</v>
      </c>
      <c r="C17" s="347" t="s">
        <v>1155</v>
      </c>
      <c r="D17" s="201" t="s">
        <v>1154</v>
      </c>
      <c r="E17" s="202">
        <v>1977</v>
      </c>
      <c r="F17" s="203" t="s">
        <v>90</v>
      </c>
      <c r="G17" s="203">
        <v>5</v>
      </c>
      <c r="H17" s="204">
        <v>4</v>
      </c>
      <c r="I17" s="205">
        <v>3650.6</v>
      </c>
      <c r="J17" s="205">
        <v>3113.8</v>
      </c>
      <c r="K17" s="205">
        <v>158</v>
      </c>
      <c r="L17" s="205">
        <f>'Приложение 2 КСП 2018-2019 гг'!H18</f>
        <v>2770554</v>
      </c>
      <c r="M17" s="267">
        <v>0</v>
      </c>
      <c r="N17" s="267">
        <v>0</v>
      </c>
      <c r="O17" s="267">
        <v>0</v>
      </c>
      <c r="P17" s="368">
        <f>L17</f>
        <v>2770554</v>
      </c>
      <c r="Q17" s="267">
        <v>0</v>
      </c>
      <c r="R17" s="267">
        <v>0</v>
      </c>
      <c r="S17" s="267" t="s">
        <v>589</v>
      </c>
      <c r="T17" s="126"/>
      <c r="U17" s="127"/>
    </row>
    <row r="18" spans="1:21" ht="9" customHeight="1">
      <c r="A18" s="268">
        <v>3</v>
      </c>
      <c r="B18" s="200" t="s">
        <v>478</v>
      </c>
      <c r="C18" s="347" t="s">
        <v>1155</v>
      </c>
      <c r="D18" s="201" t="s">
        <v>1154</v>
      </c>
      <c r="E18" s="202">
        <v>1977</v>
      </c>
      <c r="F18" s="203" t="s">
        <v>90</v>
      </c>
      <c r="G18" s="203">
        <v>5</v>
      </c>
      <c r="H18" s="204">
        <v>4</v>
      </c>
      <c r="I18" s="205">
        <v>3638.2</v>
      </c>
      <c r="J18" s="205">
        <v>3103.7</v>
      </c>
      <c r="K18" s="205">
        <v>161</v>
      </c>
      <c r="L18" s="205">
        <f>'Приложение 2 КСП 2018-2019 гг'!H19</f>
        <v>2770554</v>
      </c>
      <c r="M18" s="267">
        <v>0</v>
      </c>
      <c r="N18" s="267">
        <v>0</v>
      </c>
      <c r="O18" s="368">
        <v>0</v>
      </c>
      <c r="P18" s="368">
        <f t="shared" ref="P18:P81" si="2">L18</f>
        <v>2770554</v>
      </c>
      <c r="Q18" s="267">
        <v>0</v>
      </c>
      <c r="R18" s="267">
        <v>0</v>
      </c>
      <c r="S18" s="267" t="s">
        <v>589</v>
      </c>
      <c r="T18" s="126"/>
      <c r="U18" s="127"/>
    </row>
    <row r="19" spans="1:21" ht="9" customHeight="1">
      <c r="A19" s="366">
        <v>4</v>
      </c>
      <c r="B19" s="200" t="s">
        <v>479</v>
      </c>
      <c r="C19" s="347" t="s">
        <v>1155</v>
      </c>
      <c r="D19" s="201" t="s">
        <v>1154</v>
      </c>
      <c r="E19" s="202">
        <v>1977</v>
      </c>
      <c r="F19" s="203" t="s">
        <v>90</v>
      </c>
      <c r="G19" s="203">
        <v>5</v>
      </c>
      <c r="H19" s="204">
        <v>4</v>
      </c>
      <c r="I19" s="205">
        <v>3667.4</v>
      </c>
      <c r="J19" s="205">
        <v>3133</v>
      </c>
      <c r="K19" s="205">
        <v>148</v>
      </c>
      <c r="L19" s="205">
        <f>'Приложение 2 КСП 2018-2019 гг'!H20</f>
        <v>2770554</v>
      </c>
      <c r="M19" s="267">
        <v>0</v>
      </c>
      <c r="N19" s="267">
        <v>0</v>
      </c>
      <c r="O19" s="368">
        <v>0</v>
      </c>
      <c r="P19" s="368">
        <f t="shared" si="2"/>
        <v>2770554</v>
      </c>
      <c r="Q19" s="267">
        <v>0</v>
      </c>
      <c r="R19" s="267">
        <v>0</v>
      </c>
      <c r="S19" s="267" t="s">
        <v>589</v>
      </c>
      <c r="T19" s="126"/>
      <c r="U19" s="127"/>
    </row>
    <row r="20" spans="1:21" ht="9" customHeight="1">
      <c r="A20" s="366">
        <v>5</v>
      </c>
      <c r="B20" s="200" t="s">
        <v>480</v>
      </c>
      <c r="C20" s="347" t="s">
        <v>1155</v>
      </c>
      <c r="D20" s="201" t="s">
        <v>1154</v>
      </c>
      <c r="E20" s="202">
        <v>1977</v>
      </c>
      <c r="F20" s="203" t="s">
        <v>90</v>
      </c>
      <c r="G20" s="203">
        <v>5</v>
      </c>
      <c r="H20" s="204">
        <v>4</v>
      </c>
      <c r="I20" s="205">
        <v>3663.7</v>
      </c>
      <c r="J20" s="205">
        <v>3234.4</v>
      </c>
      <c r="K20" s="205">
        <v>169</v>
      </c>
      <c r="L20" s="205">
        <f>'Приложение 2 КСП 2018-2019 гг'!H21</f>
        <v>2770554</v>
      </c>
      <c r="M20" s="267">
        <v>0</v>
      </c>
      <c r="N20" s="267">
        <v>0</v>
      </c>
      <c r="O20" s="368">
        <v>0</v>
      </c>
      <c r="P20" s="368">
        <f t="shared" si="2"/>
        <v>2770554</v>
      </c>
      <c r="Q20" s="267">
        <v>0</v>
      </c>
      <c r="R20" s="267">
        <v>0</v>
      </c>
      <c r="S20" s="267" t="s">
        <v>589</v>
      </c>
      <c r="T20" s="126"/>
      <c r="U20" s="127"/>
    </row>
    <row r="21" spans="1:21" ht="9" customHeight="1">
      <c r="A21" s="366">
        <v>6</v>
      </c>
      <c r="B21" s="200" t="s">
        <v>481</v>
      </c>
      <c r="C21" s="347" t="s">
        <v>1155</v>
      </c>
      <c r="D21" s="201" t="s">
        <v>1154</v>
      </c>
      <c r="E21" s="202">
        <v>1989</v>
      </c>
      <c r="F21" s="203" t="s">
        <v>90</v>
      </c>
      <c r="G21" s="203">
        <v>5</v>
      </c>
      <c r="H21" s="204">
        <v>4</v>
      </c>
      <c r="I21" s="205">
        <v>3222.9</v>
      </c>
      <c r="J21" s="205">
        <v>2881.9</v>
      </c>
      <c r="K21" s="205">
        <v>124</v>
      </c>
      <c r="L21" s="205">
        <f>'Приложение 2 КСП 2018-2019 гг'!H22</f>
        <v>2417150</v>
      </c>
      <c r="M21" s="267">
        <v>0</v>
      </c>
      <c r="N21" s="267">
        <v>0</v>
      </c>
      <c r="O21" s="368">
        <v>0</v>
      </c>
      <c r="P21" s="368">
        <f t="shared" si="2"/>
        <v>2417150</v>
      </c>
      <c r="Q21" s="267">
        <v>0</v>
      </c>
      <c r="R21" s="267">
        <v>0</v>
      </c>
      <c r="S21" s="267" t="s">
        <v>589</v>
      </c>
      <c r="T21" s="126"/>
      <c r="U21" s="127"/>
    </row>
    <row r="22" spans="1:21" ht="9" customHeight="1">
      <c r="A22" s="366">
        <v>7</v>
      </c>
      <c r="B22" s="200" t="s">
        <v>482</v>
      </c>
      <c r="C22" s="347" t="s">
        <v>1155</v>
      </c>
      <c r="D22" s="201" t="s">
        <v>1154</v>
      </c>
      <c r="E22" s="202">
        <v>1987</v>
      </c>
      <c r="F22" s="203" t="s">
        <v>1189</v>
      </c>
      <c r="G22" s="203">
        <v>5</v>
      </c>
      <c r="H22" s="204">
        <v>2</v>
      </c>
      <c r="I22" s="205">
        <v>2505.6</v>
      </c>
      <c r="J22" s="205">
        <v>2377.6</v>
      </c>
      <c r="K22" s="205">
        <v>166</v>
      </c>
      <c r="L22" s="205">
        <f>'Приложение 2 КСП 2018-2019 гг'!H23</f>
        <v>2890578</v>
      </c>
      <c r="M22" s="267">
        <v>0</v>
      </c>
      <c r="N22" s="267">
        <v>0</v>
      </c>
      <c r="O22" s="368">
        <v>0</v>
      </c>
      <c r="P22" s="368">
        <f t="shared" si="2"/>
        <v>2890578</v>
      </c>
      <c r="Q22" s="267">
        <v>0</v>
      </c>
      <c r="R22" s="267">
        <v>0</v>
      </c>
      <c r="S22" s="267" t="s">
        <v>589</v>
      </c>
      <c r="T22" s="126"/>
      <c r="U22" s="127"/>
    </row>
    <row r="23" spans="1:21" ht="9" customHeight="1">
      <c r="A23" s="366">
        <v>8</v>
      </c>
      <c r="B23" s="200" t="s">
        <v>483</v>
      </c>
      <c r="C23" s="347" t="s">
        <v>1155</v>
      </c>
      <c r="D23" s="201" t="s">
        <v>1154</v>
      </c>
      <c r="E23" s="202">
        <v>1964</v>
      </c>
      <c r="F23" s="203" t="s">
        <v>88</v>
      </c>
      <c r="G23" s="203">
        <v>5</v>
      </c>
      <c r="H23" s="204">
        <v>3</v>
      </c>
      <c r="I23" s="205">
        <v>2741.4</v>
      </c>
      <c r="J23" s="205">
        <v>2525.73</v>
      </c>
      <c r="K23" s="205">
        <v>105</v>
      </c>
      <c r="L23" s="205">
        <f>'Приложение 2 КСП 2018-2019 гг'!H24</f>
        <v>2865324</v>
      </c>
      <c r="M23" s="267">
        <v>0</v>
      </c>
      <c r="N23" s="267">
        <v>0</v>
      </c>
      <c r="O23" s="368">
        <v>0</v>
      </c>
      <c r="P23" s="368">
        <f t="shared" si="2"/>
        <v>2865324</v>
      </c>
      <c r="Q23" s="267">
        <v>0</v>
      </c>
      <c r="R23" s="267">
        <v>0</v>
      </c>
      <c r="S23" s="267" t="s">
        <v>589</v>
      </c>
      <c r="T23" s="126"/>
      <c r="U23" s="127"/>
    </row>
    <row r="24" spans="1:21" ht="9" customHeight="1">
      <c r="A24" s="366">
        <v>9</v>
      </c>
      <c r="B24" s="200" t="s">
        <v>484</v>
      </c>
      <c r="C24" s="347" t="s">
        <v>1155</v>
      </c>
      <c r="D24" s="201" t="s">
        <v>1154</v>
      </c>
      <c r="E24" s="202">
        <v>1977</v>
      </c>
      <c r="F24" s="203" t="s">
        <v>88</v>
      </c>
      <c r="G24" s="203">
        <v>10</v>
      </c>
      <c r="H24" s="204">
        <v>1</v>
      </c>
      <c r="I24" s="205">
        <v>3485.9</v>
      </c>
      <c r="J24" s="205">
        <v>3098.8</v>
      </c>
      <c r="K24" s="205">
        <v>105</v>
      </c>
      <c r="L24" s="205">
        <f>'Приложение 2 КСП 2018-2019 гг'!H25</f>
        <v>1600320</v>
      </c>
      <c r="M24" s="267">
        <v>0</v>
      </c>
      <c r="N24" s="267">
        <v>0</v>
      </c>
      <c r="O24" s="368">
        <v>0</v>
      </c>
      <c r="P24" s="368">
        <f t="shared" si="2"/>
        <v>1600320</v>
      </c>
      <c r="Q24" s="267">
        <v>0</v>
      </c>
      <c r="R24" s="267">
        <v>0</v>
      </c>
      <c r="S24" s="267" t="s">
        <v>589</v>
      </c>
      <c r="T24" s="126"/>
      <c r="U24" s="127"/>
    </row>
    <row r="25" spans="1:21" ht="9" customHeight="1">
      <c r="A25" s="366">
        <v>10</v>
      </c>
      <c r="B25" s="200" t="s">
        <v>485</v>
      </c>
      <c r="C25" s="347" t="s">
        <v>1155</v>
      </c>
      <c r="D25" s="201" t="s">
        <v>1154</v>
      </c>
      <c r="E25" s="202">
        <v>1964</v>
      </c>
      <c r="F25" s="203" t="s">
        <v>88</v>
      </c>
      <c r="G25" s="203">
        <v>5</v>
      </c>
      <c r="H25" s="204">
        <v>2</v>
      </c>
      <c r="I25" s="205">
        <v>1563.6</v>
      </c>
      <c r="J25" s="205">
        <v>1410.6</v>
      </c>
      <c r="K25" s="205">
        <v>56</v>
      </c>
      <c r="L25" s="205">
        <f>'Приложение 2 КСП 2018-2019 гг'!H26</f>
        <v>1853082</v>
      </c>
      <c r="M25" s="267">
        <v>0</v>
      </c>
      <c r="N25" s="267">
        <v>0</v>
      </c>
      <c r="O25" s="368">
        <v>0</v>
      </c>
      <c r="P25" s="368">
        <f t="shared" si="2"/>
        <v>1853082</v>
      </c>
      <c r="Q25" s="267">
        <v>0</v>
      </c>
      <c r="R25" s="267">
        <v>0</v>
      </c>
      <c r="S25" s="267" t="s">
        <v>589</v>
      </c>
      <c r="T25" s="126"/>
      <c r="U25" s="127"/>
    </row>
    <row r="26" spans="1:21" ht="9" customHeight="1">
      <c r="A26" s="366">
        <v>11</v>
      </c>
      <c r="B26" s="200" t="s">
        <v>486</v>
      </c>
      <c r="C26" s="347" t="s">
        <v>1155</v>
      </c>
      <c r="D26" s="201" t="s">
        <v>1154</v>
      </c>
      <c r="E26" s="202">
        <v>1965</v>
      </c>
      <c r="F26" s="203" t="s">
        <v>88</v>
      </c>
      <c r="G26" s="203">
        <v>5</v>
      </c>
      <c r="H26" s="204">
        <v>4</v>
      </c>
      <c r="I26" s="205">
        <v>3417.1</v>
      </c>
      <c r="J26" s="205">
        <v>2579.1</v>
      </c>
      <c r="K26" s="205">
        <v>144</v>
      </c>
      <c r="L26" s="205">
        <f>'Приложение 2 КСП 2018-2019 гг'!H27</f>
        <v>3363360</v>
      </c>
      <c r="M26" s="267">
        <v>0</v>
      </c>
      <c r="N26" s="267">
        <v>0</v>
      </c>
      <c r="O26" s="368">
        <v>0</v>
      </c>
      <c r="P26" s="368">
        <f t="shared" si="2"/>
        <v>3363360</v>
      </c>
      <c r="Q26" s="267">
        <v>0</v>
      </c>
      <c r="R26" s="267">
        <v>0</v>
      </c>
      <c r="S26" s="267" t="s">
        <v>589</v>
      </c>
      <c r="T26" s="126"/>
      <c r="U26" s="127"/>
    </row>
    <row r="27" spans="1:21" ht="9" customHeight="1">
      <c r="A27" s="366">
        <v>12</v>
      </c>
      <c r="B27" s="200" t="s">
        <v>487</v>
      </c>
      <c r="C27" s="347" t="s">
        <v>1155</v>
      </c>
      <c r="D27" s="201" t="s">
        <v>1154</v>
      </c>
      <c r="E27" s="202">
        <v>1970</v>
      </c>
      <c r="F27" s="203" t="s">
        <v>88</v>
      </c>
      <c r="G27" s="203">
        <v>5</v>
      </c>
      <c r="H27" s="204">
        <v>6</v>
      </c>
      <c r="I27" s="205">
        <v>5372.1</v>
      </c>
      <c r="J27" s="205">
        <v>3781.6</v>
      </c>
      <c r="K27" s="205">
        <v>114</v>
      </c>
      <c r="L27" s="205">
        <f>'Приложение 2 КСП 2018-2019 гг'!H28</f>
        <v>6073452</v>
      </c>
      <c r="M27" s="267">
        <v>0</v>
      </c>
      <c r="N27" s="267">
        <v>0</v>
      </c>
      <c r="O27" s="368">
        <v>0</v>
      </c>
      <c r="P27" s="368">
        <f t="shared" si="2"/>
        <v>6073452</v>
      </c>
      <c r="Q27" s="267">
        <v>0</v>
      </c>
      <c r="R27" s="267">
        <v>0</v>
      </c>
      <c r="S27" s="267" t="s">
        <v>589</v>
      </c>
      <c r="T27" s="126"/>
      <c r="U27" s="127"/>
    </row>
    <row r="28" spans="1:21" ht="9" customHeight="1">
      <c r="A28" s="366">
        <v>13</v>
      </c>
      <c r="B28" s="200" t="s">
        <v>488</v>
      </c>
      <c r="C28" s="347" t="s">
        <v>1155</v>
      </c>
      <c r="D28" s="201" t="s">
        <v>1154</v>
      </c>
      <c r="E28" s="202">
        <v>1972</v>
      </c>
      <c r="F28" s="203" t="s">
        <v>88</v>
      </c>
      <c r="G28" s="203">
        <v>5</v>
      </c>
      <c r="H28" s="204">
        <v>6</v>
      </c>
      <c r="I28" s="205">
        <v>5261.1</v>
      </c>
      <c r="J28" s="205">
        <v>3819.7</v>
      </c>
      <c r="K28" s="205">
        <v>184</v>
      </c>
      <c r="L28" s="205">
        <f>'Приложение 2 КСП 2018-2019 гг'!H29</f>
        <v>5724180</v>
      </c>
      <c r="M28" s="267">
        <v>0</v>
      </c>
      <c r="N28" s="267">
        <v>0</v>
      </c>
      <c r="O28" s="368">
        <v>0</v>
      </c>
      <c r="P28" s="368">
        <f t="shared" si="2"/>
        <v>5724180</v>
      </c>
      <c r="Q28" s="267">
        <v>0</v>
      </c>
      <c r="R28" s="267">
        <v>0</v>
      </c>
      <c r="S28" s="267" t="s">
        <v>589</v>
      </c>
      <c r="T28" s="126"/>
      <c r="U28" s="127"/>
    </row>
    <row r="29" spans="1:21" ht="9" customHeight="1">
      <c r="A29" s="366">
        <v>14</v>
      </c>
      <c r="B29" s="200" t="s">
        <v>489</v>
      </c>
      <c r="C29" s="347" t="s">
        <v>1155</v>
      </c>
      <c r="D29" s="201" t="s">
        <v>1154</v>
      </c>
      <c r="E29" s="202">
        <v>1971</v>
      </c>
      <c r="F29" s="203" t="s">
        <v>88</v>
      </c>
      <c r="G29" s="203">
        <v>5</v>
      </c>
      <c r="H29" s="204">
        <v>6</v>
      </c>
      <c r="I29" s="205">
        <v>4907.6000000000004</v>
      </c>
      <c r="J29" s="205">
        <v>4509.6000000000004</v>
      </c>
      <c r="K29" s="205">
        <v>245</v>
      </c>
      <c r="L29" s="205">
        <f>'Приложение 2 КСП 2018-2019 гг'!H30</f>
        <v>4624620</v>
      </c>
      <c r="M29" s="267">
        <v>0</v>
      </c>
      <c r="N29" s="267">
        <v>0</v>
      </c>
      <c r="O29" s="368">
        <v>0</v>
      </c>
      <c r="P29" s="368">
        <f t="shared" si="2"/>
        <v>4624620</v>
      </c>
      <c r="Q29" s="267">
        <v>0</v>
      </c>
      <c r="R29" s="267">
        <v>0</v>
      </c>
      <c r="S29" s="267" t="s">
        <v>589</v>
      </c>
      <c r="T29" s="126"/>
      <c r="U29" s="127"/>
    </row>
    <row r="30" spans="1:21" ht="9" customHeight="1">
      <c r="A30" s="366">
        <v>15</v>
      </c>
      <c r="B30" s="200" t="s">
        <v>490</v>
      </c>
      <c r="C30" s="347" t="s">
        <v>1155</v>
      </c>
      <c r="D30" s="201" t="s">
        <v>1154</v>
      </c>
      <c r="E30" s="202">
        <v>1983</v>
      </c>
      <c r="F30" s="203" t="s">
        <v>90</v>
      </c>
      <c r="G30" s="203">
        <v>5</v>
      </c>
      <c r="H30" s="204">
        <v>6</v>
      </c>
      <c r="I30" s="205">
        <v>4539</v>
      </c>
      <c r="J30" s="205">
        <v>4084.6</v>
      </c>
      <c r="K30" s="205">
        <v>186</v>
      </c>
      <c r="L30" s="205">
        <f>'Приложение 2 КСП 2018-2019 гг'!H31</f>
        <v>3624058</v>
      </c>
      <c r="M30" s="267">
        <v>0</v>
      </c>
      <c r="N30" s="267">
        <v>0</v>
      </c>
      <c r="O30" s="368">
        <v>0</v>
      </c>
      <c r="P30" s="368">
        <f t="shared" si="2"/>
        <v>3624058</v>
      </c>
      <c r="Q30" s="267">
        <v>0</v>
      </c>
      <c r="R30" s="267">
        <v>0</v>
      </c>
      <c r="S30" s="267" t="s">
        <v>589</v>
      </c>
      <c r="T30" s="126"/>
      <c r="U30" s="127"/>
    </row>
    <row r="31" spans="1:21" ht="9" customHeight="1">
      <c r="A31" s="366">
        <v>16</v>
      </c>
      <c r="B31" s="200" t="s">
        <v>491</v>
      </c>
      <c r="C31" s="347" t="s">
        <v>1155</v>
      </c>
      <c r="D31" s="201" t="s">
        <v>1154</v>
      </c>
      <c r="E31" s="202">
        <v>1982</v>
      </c>
      <c r="F31" s="203" t="s">
        <v>90</v>
      </c>
      <c r="G31" s="203">
        <v>5</v>
      </c>
      <c r="H31" s="204">
        <v>6</v>
      </c>
      <c r="I31" s="205">
        <v>4702.7</v>
      </c>
      <c r="J31" s="205">
        <v>4230.7</v>
      </c>
      <c r="K31" s="205">
        <v>205</v>
      </c>
      <c r="L31" s="205">
        <f>'Приложение 2 КСП 2018-2019 гг'!H32</f>
        <v>3647396</v>
      </c>
      <c r="M31" s="267">
        <v>0</v>
      </c>
      <c r="N31" s="267">
        <v>0</v>
      </c>
      <c r="O31" s="368">
        <v>0</v>
      </c>
      <c r="P31" s="368">
        <f t="shared" si="2"/>
        <v>3647396</v>
      </c>
      <c r="Q31" s="267">
        <v>0</v>
      </c>
      <c r="R31" s="267">
        <v>0</v>
      </c>
      <c r="S31" s="267" t="s">
        <v>589</v>
      </c>
      <c r="T31" s="126"/>
      <c r="U31" s="127"/>
    </row>
    <row r="32" spans="1:21" ht="9" customHeight="1">
      <c r="A32" s="366">
        <v>17</v>
      </c>
      <c r="B32" s="200" t="s">
        <v>492</v>
      </c>
      <c r="C32" s="347" t="s">
        <v>1155</v>
      </c>
      <c r="D32" s="201" t="s">
        <v>1154</v>
      </c>
      <c r="E32" s="202">
        <v>1986</v>
      </c>
      <c r="F32" s="203" t="s">
        <v>90</v>
      </c>
      <c r="G32" s="203">
        <v>5</v>
      </c>
      <c r="H32" s="204">
        <v>6</v>
      </c>
      <c r="I32" s="205">
        <v>4776.8</v>
      </c>
      <c r="J32" s="205">
        <v>4184.3</v>
      </c>
      <c r="K32" s="205">
        <v>195</v>
      </c>
      <c r="L32" s="205">
        <f>'Приложение 2 КСП 2018-2019 гг'!H33</f>
        <v>3630726</v>
      </c>
      <c r="M32" s="267">
        <v>0</v>
      </c>
      <c r="N32" s="267">
        <v>0</v>
      </c>
      <c r="O32" s="368">
        <v>0</v>
      </c>
      <c r="P32" s="368">
        <f t="shared" si="2"/>
        <v>3630726</v>
      </c>
      <c r="Q32" s="267">
        <v>0</v>
      </c>
      <c r="R32" s="267">
        <v>0</v>
      </c>
      <c r="S32" s="267" t="s">
        <v>589</v>
      </c>
      <c r="T32" s="126"/>
      <c r="U32" s="127"/>
    </row>
    <row r="33" spans="1:21" ht="9" customHeight="1">
      <c r="A33" s="366">
        <v>18</v>
      </c>
      <c r="B33" s="200" t="s">
        <v>493</v>
      </c>
      <c r="C33" s="347" t="s">
        <v>1155</v>
      </c>
      <c r="D33" s="201" t="s">
        <v>1154</v>
      </c>
      <c r="E33" s="202">
        <v>1983</v>
      </c>
      <c r="F33" s="203" t="s">
        <v>90</v>
      </c>
      <c r="G33" s="203">
        <v>5</v>
      </c>
      <c r="H33" s="204">
        <v>2</v>
      </c>
      <c r="I33" s="205">
        <v>1616.8</v>
      </c>
      <c r="J33" s="205">
        <v>1458.8</v>
      </c>
      <c r="K33" s="205">
        <v>54</v>
      </c>
      <c r="L33" s="205">
        <f>'Приложение 2 КСП 2018-2019 гг'!H34</f>
        <v>1246916</v>
      </c>
      <c r="M33" s="267">
        <v>0</v>
      </c>
      <c r="N33" s="267">
        <v>0</v>
      </c>
      <c r="O33" s="368">
        <v>0</v>
      </c>
      <c r="P33" s="368">
        <f t="shared" si="2"/>
        <v>1246916</v>
      </c>
      <c r="Q33" s="267">
        <v>0</v>
      </c>
      <c r="R33" s="267">
        <v>0</v>
      </c>
      <c r="S33" s="267" t="s">
        <v>589</v>
      </c>
      <c r="T33" s="126"/>
      <c r="U33" s="127"/>
    </row>
    <row r="34" spans="1:21" ht="9" customHeight="1">
      <c r="A34" s="366">
        <v>19</v>
      </c>
      <c r="B34" s="200" t="s">
        <v>494</v>
      </c>
      <c r="C34" s="347" t="s">
        <v>1155</v>
      </c>
      <c r="D34" s="201" t="s">
        <v>1154</v>
      </c>
      <c r="E34" s="202">
        <v>1989</v>
      </c>
      <c r="F34" s="203" t="s">
        <v>90</v>
      </c>
      <c r="G34" s="203">
        <v>5</v>
      </c>
      <c r="H34" s="204">
        <v>4</v>
      </c>
      <c r="I34" s="205">
        <v>2898.6</v>
      </c>
      <c r="J34" s="205">
        <v>2594.6</v>
      </c>
      <c r="K34" s="205">
        <v>30</v>
      </c>
      <c r="L34" s="205">
        <f>'Приложение 2 КСП 2018-2019 гг'!H35</f>
        <v>2587184</v>
      </c>
      <c r="M34" s="267">
        <v>0</v>
      </c>
      <c r="N34" s="267">
        <v>0</v>
      </c>
      <c r="O34" s="368">
        <v>0</v>
      </c>
      <c r="P34" s="368">
        <f t="shared" si="2"/>
        <v>2587184</v>
      </c>
      <c r="Q34" s="267">
        <v>0</v>
      </c>
      <c r="R34" s="267">
        <v>0</v>
      </c>
      <c r="S34" s="267" t="s">
        <v>589</v>
      </c>
      <c r="T34" s="126"/>
      <c r="U34" s="127"/>
    </row>
    <row r="35" spans="1:21" ht="9" customHeight="1">
      <c r="A35" s="366">
        <v>20</v>
      </c>
      <c r="B35" s="200" t="s">
        <v>495</v>
      </c>
      <c r="C35" s="347" t="s">
        <v>1155</v>
      </c>
      <c r="D35" s="201" t="s">
        <v>1154</v>
      </c>
      <c r="E35" s="202">
        <v>1979</v>
      </c>
      <c r="F35" s="203" t="s">
        <v>88</v>
      </c>
      <c r="G35" s="203">
        <v>5</v>
      </c>
      <c r="H35" s="204">
        <v>4</v>
      </c>
      <c r="I35" s="205">
        <v>4030.7</v>
      </c>
      <c r="J35" s="205">
        <v>3421.9</v>
      </c>
      <c r="K35" s="205">
        <v>146</v>
      </c>
      <c r="L35" s="205">
        <f>'Приложение 2 КСП 2018-2019 гг'!H36</f>
        <v>3327332</v>
      </c>
      <c r="M35" s="267">
        <v>0</v>
      </c>
      <c r="N35" s="267">
        <v>0</v>
      </c>
      <c r="O35" s="368">
        <v>0</v>
      </c>
      <c r="P35" s="368">
        <f t="shared" si="2"/>
        <v>3327332</v>
      </c>
      <c r="Q35" s="267">
        <v>0</v>
      </c>
      <c r="R35" s="267">
        <v>0</v>
      </c>
      <c r="S35" s="267" t="s">
        <v>589</v>
      </c>
      <c r="T35" s="126"/>
      <c r="U35" s="127"/>
    </row>
    <row r="36" spans="1:21" ht="9" customHeight="1">
      <c r="A36" s="366">
        <v>21</v>
      </c>
      <c r="B36" s="200" t="s">
        <v>496</v>
      </c>
      <c r="C36" s="347" t="s">
        <v>1155</v>
      </c>
      <c r="D36" s="201" t="s">
        <v>1154</v>
      </c>
      <c r="E36" s="202">
        <v>1954</v>
      </c>
      <c r="F36" s="203" t="s">
        <v>88</v>
      </c>
      <c r="G36" s="203">
        <v>5</v>
      </c>
      <c r="H36" s="204">
        <v>2</v>
      </c>
      <c r="I36" s="205">
        <v>2521.3000000000002</v>
      </c>
      <c r="J36" s="205">
        <v>1981.6</v>
      </c>
      <c r="K36" s="205">
        <v>79</v>
      </c>
      <c r="L36" s="205">
        <f>'Приложение 2 КСП 2018-2019 гг'!H37</f>
        <v>2865324</v>
      </c>
      <c r="M36" s="267">
        <v>0</v>
      </c>
      <c r="N36" s="267">
        <v>0</v>
      </c>
      <c r="O36" s="368">
        <v>0</v>
      </c>
      <c r="P36" s="368">
        <f t="shared" si="2"/>
        <v>2865324</v>
      </c>
      <c r="Q36" s="267">
        <v>0</v>
      </c>
      <c r="R36" s="267">
        <v>0</v>
      </c>
      <c r="S36" s="267" t="s">
        <v>589</v>
      </c>
      <c r="T36" s="126"/>
      <c r="U36" s="127"/>
    </row>
    <row r="37" spans="1:21" ht="9" customHeight="1">
      <c r="A37" s="366">
        <v>22</v>
      </c>
      <c r="B37" s="200" t="s">
        <v>497</v>
      </c>
      <c r="C37" s="347" t="s">
        <v>1155</v>
      </c>
      <c r="D37" s="201" t="s">
        <v>1154</v>
      </c>
      <c r="E37" s="202">
        <v>1959</v>
      </c>
      <c r="F37" s="203" t="s">
        <v>88</v>
      </c>
      <c r="G37" s="203">
        <v>4</v>
      </c>
      <c r="H37" s="204">
        <v>3</v>
      </c>
      <c r="I37" s="205">
        <v>3062</v>
      </c>
      <c r="J37" s="205">
        <v>2755.8</v>
      </c>
      <c r="K37" s="205">
        <v>110</v>
      </c>
      <c r="L37" s="205">
        <f>'Приложение 2 КСП 2018-2019 гг'!H38</f>
        <v>2823282</v>
      </c>
      <c r="M37" s="267">
        <v>0</v>
      </c>
      <c r="N37" s="267">
        <v>0</v>
      </c>
      <c r="O37" s="368">
        <v>0</v>
      </c>
      <c r="P37" s="368">
        <f t="shared" si="2"/>
        <v>2823282</v>
      </c>
      <c r="Q37" s="267">
        <v>0</v>
      </c>
      <c r="R37" s="267">
        <v>0</v>
      </c>
      <c r="S37" s="267" t="s">
        <v>589</v>
      </c>
      <c r="T37" s="126"/>
      <c r="U37" s="127"/>
    </row>
    <row r="38" spans="1:21" ht="9" customHeight="1">
      <c r="A38" s="366">
        <v>23</v>
      </c>
      <c r="B38" s="200" t="s">
        <v>498</v>
      </c>
      <c r="C38" s="347" t="s">
        <v>1155</v>
      </c>
      <c r="D38" s="201" t="s">
        <v>1154</v>
      </c>
      <c r="E38" s="202">
        <v>1959</v>
      </c>
      <c r="F38" s="203" t="s">
        <v>88</v>
      </c>
      <c r="G38" s="203">
        <v>4</v>
      </c>
      <c r="H38" s="204">
        <v>3</v>
      </c>
      <c r="I38" s="205">
        <v>2145</v>
      </c>
      <c r="J38" s="205">
        <v>1934.6</v>
      </c>
      <c r="K38" s="205">
        <v>65</v>
      </c>
      <c r="L38" s="205">
        <f>'Приложение 2 КСП 2018-2019 гг'!H39</f>
        <v>2393160</v>
      </c>
      <c r="M38" s="267">
        <v>0</v>
      </c>
      <c r="N38" s="267">
        <v>0</v>
      </c>
      <c r="O38" s="368">
        <v>0</v>
      </c>
      <c r="P38" s="368">
        <f t="shared" si="2"/>
        <v>2393160</v>
      </c>
      <c r="Q38" s="267">
        <v>0</v>
      </c>
      <c r="R38" s="267">
        <v>0</v>
      </c>
      <c r="S38" s="267" t="s">
        <v>589</v>
      </c>
      <c r="T38" s="126"/>
      <c r="U38" s="127"/>
    </row>
    <row r="39" spans="1:21" ht="9" customHeight="1">
      <c r="A39" s="366">
        <v>24</v>
      </c>
      <c r="B39" s="200" t="s">
        <v>499</v>
      </c>
      <c r="C39" s="347" t="s">
        <v>1155</v>
      </c>
      <c r="D39" s="201" t="s">
        <v>1154</v>
      </c>
      <c r="E39" s="202">
        <v>1971</v>
      </c>
      <c r="F39" s="203" t="s">
        <v>88</v>
      </c>
      <c r="G39" s="203">
        <v>5</v>
      </c>
      <c r="H39" s="204">
        <v>4</v>
      </c>
      <c r="I39" s="205">
        <v>3709.5</v>
      </c>
      <c r="J39" s="205">
        <v>2711</v>
      </c>
      <c r="K39" s="205">
        <v>105</v>
      </c>
      <c r="L39" s="205">
        <f>'Приложение 2 КСП 2018-2019 гг'!H40</f>
        <v>5821200</v>
      </c>
      <c r="M39" s="267">
        <v>0</v>
      </c>
      <c r="N39" s="267">
        <v>0</v>
      </c>
      <c r="O39" s="368">
        <v>0</v>
      </c>
      <c r="P39" s="368">
        <f t="shared" si="2"/>
        <v>5821200</v>
      </c>
      <c r="Q39" s="267">
        <v>0</v>
      </c>
      <c r="R39" s="267">
        <v>0</v>
      </c>
      <c r="S39" s="267" t="s">
        <v>589</v>
      </c>
      <c r="T39" s="126"/>
      <c r="U39" s="127"/>
    </row>
    <row r="40" spans="1:21" ht="9" customHeight="1">
      <c r="A40" s="366">
        <v>25</v>
      </c>
      <c r="B40" s="200" t="s">
        <v>500</v>
      </c>
      <c r="C40" s="347" t="s">
        <v>1155</v>
      </c>
      <c r="D40" s="201" t="s">
        <v>1154</v>
      </c>
      <c r="E40" s="202">
        <v>1981</v>
      </c>
      <c r="F40" s="203" t="s">
        <v>88</v>
      </c>
      <c r="G40" s="203">
        <v>5</v>
      </c>
      <c r="H40" s="204">
        <v>10</v>
      </c>
      <c r="I40" s="205">
        <v>7783.55</v>
      </c>
      <c r="J40" s="205">
        <v>6957.45</v>
      </c>
      <c r="K40" s="205">
        <v>269</v>
      </c>
      <c r="L40" s="205">
        <f>'Приложение 2 КСП 2018-2019 гг'!H41</f>
        <v>8234980</v>
      </c>
      <c r="M40" s="267">
        <v>0</v>
      </c>
      <c r="N40" s="267">
        <v>0</v>
      </c>
      <c r="O40" s="368">
        <v>0</v>
      </c>
      <c r="P40" s="368">
        <f t="shared" si="2"/>
        <v>8234980</v>
      </c>
      <c r="Q40" s="267">
        <v>0</v>
      </c>
      <c r="R40" s="267">
        <v>0</v>
      </c>
      <c r="S40" s="267" t="s">
        <v>589</v>
      </c>
      <c r="T40" s="126"/>
      <c r="U40" s="127"/>
    </row>
    <row r="41" spans="1:21" ht="9" customHeight="1">
      <c r="A41" s="366">
        <v>26</v>
      </c>
      <c r="B41" s="200" t="s">
        <v>501</v>
      </c>
      <c r="C41" s="347" t="s">
        <v>1155</v>
      </c>
      <c r="D41" s="201" t="s">
        <v>1154</v>
      </c>
      <c r="E41" s="202">
        <v>1988</v>
      </c>
      <c r="F41" s="203" t="s">
        <v>88</v>
      </c>
      <c r="G41" s="203">
        <v>5</v>
      </c>
      <c r="H41" s="204">
        <v>10</v>
      </c>
      <c r="I41" s="205">
        <v>8326.9</v>
      </c>
      <c r="J41" s="205">
        <v>7495.9</v>
      </c>
      <c r="K41" s="205">
        <v>335</v>
      </c>
      <c r="L41" s="205">
        <f>'Приложение 2 КСП 2018-2019 гг'!H42</f>
        <v>4580916</v>
      </c>
      <c r="M41" s="267">
        <v>0</v>
      </c>
      <c r="N41" s="267">
        <v>0</v>
      </c>
      <c r="O41" s="368">
        <v>0</v>
      </c>
      <c r="P41" s="368">
        <f t="shared" si="2"/>
        <v>4580916</v>
      </c>
      <c r="Q41" s="267">
        <v>0</v>
      </c>
      <c r="R41" s="267">
        <v>0</v>
      </c>
      <c r="S41" s="267" t="s">
        <v>589</v>
      </c>
      <c r="T41" s="126"/>
      <c r="U41" s="127"/>
    </row>
    <row r="42" spans="1:21" ht="9" customHeight="1">
      <c r="A42" s="366">
        <v>27</v>
      </c>
      <c r="B42" s="200" t="s">
        <v>502</v>
      </c>
      <c r="C42" s="347" t="s">
        <v>1155</v>
      </c>
      <c r="D42" s="201" t="s">
        <v>1154</v>
      </c>
      <c r="E42" s="202">
        <v>1962</v>
      </c>
      <c r="F42" s="203" t="s">
        <v>88</v>
      </c>
      <c r="G42" s="203">
        <v>2</v>
      </c>
      <c r="H42" s="204">
        <v>2</v>
      </c>
      <c r="I42" s="205">
        <v>1038.8</v>
      </c>
      <c r="J42" s="205">
        <v>750.8</v>
      </c>
      <c r="K42" s="205">
        <v>63</v>
      </c>
      <c r="L42" s="205">
        <f>'Приложение 2 КСП 2018-2019 гг'!H43</f>
        <v>2668050</v>
      </c>
      <c r="M42" s="267">
        <v>0</v>
      </c>
      <c r="N42" s="267">
        <v>0</v>
      </c>
      <c r="O42" s="368">
        <v>0</v>
      </c>
      <c r="P42" s="368">
        <f t="shared" si="2"/>
        <v>2668050</v>
      </c>
      <c r="Q42" s="267">
        <v>0</v>
      </c>
      <c r="R42" s="267">
        <v>0</v>
      </c>
      <c r="S42" s="267" t="s">
        <v>589</v>
      </c>
      <c r="T42" s="126"/>
      <c r="U42" s="127"/>
    </row>
    <row r="43" spans="1:21" ht="9" customHeight="1">
      <c r="A43" s="366">
        <v>28</v>
      </c>
      <c r="B43" s="200" t="s">
        <v>503</v>
      </c>
      <c r="C43" s="347" t="s">
        <v>1155</v>
      </c>
      <c r="D43" s="201" t="s">
        <v>1154</v>
      </c>
      <c r="E43" s="202">
        <v>1976</v>
      </c>
      <c r="F43" s="203" t="s">
        <v>88</v>
      </c>
      <c r="G43" s="203">
        <v>5</v>
      </c>
      <c r="H43" s="204">
        <v>6</v>
      </c>
      <c r="I43" s="205">
        <v>4748.7</v>
      </c>
      <c r="J43" s="205">
        <v>3960.7</v>
      </c>
      <c r="K43" s="205">
        <v>200</v>
      </c>
      <c r="L43" s="205">
        <f>'Приложение 2 КСП 2018-2019 гг'!H44</f>
        <v>6668000</v>
      </c>
      <c r="M43" s="267">
        <v>0</v>
      </c>
      <c r="N43" s="267">
        <v>0</v>
      </c>
      <c r="O43" s="368">
        <v>0</v>
      </c>
      <c r="P43" s="368">
        <f t="shared" si="2"/>
        <v>6668000</v>
      </c>
      <c r="Q43" s="267">
        <v>0</v>
      </c>
      <c r="R43" s="267">
        <v>0</v>
      </c>
      <c r="S43" s="267" t="s">
        <v>589</v>
      </c>
      <c r="T43" s="126"/>
      <c r="U43" s="127"/>
    </row>
    <row r="44" spans="1:21" ht="9" customHeight="1">
      <c r="A44" s="366">
        <v>29</v>
      </c>
      <c r="B44" s="200" t="s">
        <v>504</v>
      </c>
      <c r="C44" s="347" t="s">
        <v>1155</v>
      </c>
      <c r="D44" s="201" t="s">
        <v>1154</v>
      </c>
      <c r="E44" s="202">
        <v>1976</v>
      </c>
      <c r="F44" s="203" t="s">
        <v>90</v>
      </c>
      <c r="G44" s="203">
        <v>5</v>
      </c>
      <c r="H44" s="204">
        <v>6</v>
      </c>
      <c r="I44" s="205">
        <v>4347.1000000000004</v>
      </c>
      <c r="J44" s="205">
        <v>3936.1</v>
      </c>
      <c r="K44" s="205">
        <v>182</v>
      </c>
      <c r="L44" s="205">
        <f>'Приложение 2 КСП 2018-2019 гг'!H45</f>
        <v>4000800</v>
      </c>
      <c r="M44" s="267">
        <v>0</v>
      </c>
      <c r="N44" s="267">
        <v>0</v>
      </c>
      <c r="O44" s="368">
        <v>0</v>
      </c>
      <c r="P44" s="368">
        <f t="shared" si="2"/>
        <v>4000800</v>
      </c>
      <c r="Q44" s="267">
        <v>0</v>
      </c>
      <c r="R44" s="267">
        <v>0</v>
      </c>
      <c r="S44" s="267" t="s">
        <v>589</v>
      </c>
      <c r="T44" s="126"/>
      <c r="U44" s="127"/>
    </row>
    <row r="45" spans="1:21" ht="9" customHeight="1">
      <c r="A45" s="366">
        <v>30</v>
      </c>
      <c r="B45" s="200" t="s">
        <v>505</v>
      </c>
      <c r="C45" s="347" t="s">
        <v>1155</v>
      </c>
      <c r="D45" s="201" t="s">
        <v>1154</v>
      </c>
      <c r="E45" s="202">
        <v>1976</v>
      </c>
      <c r="F45" s="203" t="s">
        <v>88</v>
      </c>
      <c r="G45" s="203">
        <v>5</v>
      </c>
      <c r="H45" s="204">
        <v>4</v>
      </c>
      <c r="I45" s="205">
        <v>3433.6</v>
      </c>
      <c r="J45" s="205">
        <v>3164.8</v>
      </c>
      <c r="K45" s="205">
        <v>169</v>
      </c>
      <c r="L45" s="205">
        <f>'Приложение 2 КСП 2018-2019 гг'!H46</f>
        <v>3114956.2</v>
      </c>
      <c r="M45" s="267">
        <v>0</v>
      </c>
      <c r="N45" s="267">
        <v>0</v>
      </c>
      <c r="O45" s="368">
        <v>0</v>
      </c>
      <c r="P45" s="368">
        <f t="shared" si="2"/>
        <v>3114956.2</v>
      </c>
      <c r="Q45" s="267">
        <v>0</v>
      </c>
      <c r="R45" s="267">
        <v>0</v>
      </c>
      <c r="S45" s="267" t="s">
        <v>589</v>
      </c>
      <c r="T45" s="126"/>
      <c r="U45" s="127"/>
    </row>
    <row r="46" spans="1:21" ht="9" customHeight="1">
      <c r="A46" s="366">
        <v>31</v>
      </c>
      <c r="B46" s="200" t="s">
        <v>506</v>
      </c>
      <c r="C46" s="347" t="s">
        <v>1155</v>
      </c>
      <c r="D46" s="201" t="s">
        <v>1154</v>
      </c>
      <c r="E46" s="202">
        <v>1972</v>
      </c>
      <c r="F46" s="203" t="s">
        <v>88</v>
      </c>
      <c r="G46" s="203">
        <v>5</v>
      </c>
      <c r="H46" s="204">
        <v>4</v>
      </c>
      <c r="I46" s="205">
        <v>3331.6</v>
      </c>
      <c r="J46" s="205">
        <v>2990.3</v>
      </c>
      <c r="K46" s="205">
        <v>155</v>
      </c>
      <c r="L46" s="205">
        <f>'Приложение 2 КСП 2018-2019 гг'!H47</f>
        <v>3190638</v>
      </c>
      <c r="M46" s="267">
        <v>0</v>
      </c>
      <c r="N46" s="267">
        <v>0</v>
      </c>
      <c r="O46" s="368">
        <v>0</v>
      </c>
      <c r="P46" s="368">
        <f t="shared" si="2"/>
        <v>3190638</v>
      </c>
      <c r="Q46" s="267">
        <v>0</v>
      </c>
      <c r="R46" s="267">
        <v>0</v>
      </c>
      <c r="S46" s="267" t="s">
        <v>589</v>
      </c>
      <c r="T46" s="126"/>
      <c r="U46" s="127"/>
    </row>
    <row r="47" spans="1:21" ht="9" customHeight="1">
      <c r="A47" s="366">
        <v>32</v>
      </c>
      <c r="B47" s="200" t="s">
        <v>507</v>
      </c>
      <c r="C47" s="347" t="s">
        <v>1155</v>
      </c>
      <c r="D47" s="201" t="s">
        <v>1154</v>
      </c>
      <c r="E47" s="202">
        <v>1979</v>
      </c>
      <c r="F47" s="203" t="s">
        <v>90</v>
      </c>
      <c r="G47" s="203">
        <v>5</v>
      </c>
      <c r="H47" s="204">
        <v>6</v>
      </c>
      <c r="I47" s="205">
        <v>4305.3999999999996</v>
      </c>
      <c r="J47" s="205">
        <v>3894.4</v>
      </c>
      <c r="K47" s="205">
        <v>205</v>
      </c>
      <c r="L47" s="205">
        <f>'Приложение 2 КСП 2018-2019 гг'!H48</f>
        <v>4000800</v>
      </c>
      <c r="M47" s="267">
        <v>0</v>
      </c>
      <c r="N47" s="267">
        <v>0</v>
      </c>
      <c r="O47" s="368">
        <v>0</v>
      </c>
      <c r="P47" s="368">
        <f t="shared" si="2"/>
        <v>4000800</v>
      </c>
      <c r="Q47" s="267">
        <v>0</v>
      </c>
      <c r="R47" s="267">
        <v>0</v>
      </c>
      <c r="S47" s="267" t="s">
        <v>589</v>
      </c>
      <c r="T47" s="126"/>
      <c r="U47" s="127"/>
    </row>
    <row r="48" spans="1:21" ht="9" customHeight="1">
      <c r="A48" s="366">
        <v>33</v>
      </c>
      <c r="B48" s="200" t="s">
        <v>508</v>
      </c>
      <c r="C48" s="347" t="s">
        <v>1155</v>
      </c>
      <c r="D48" s="201" t="s">
        <v>1154</v>
      </c>
      <c r="E48" s="202">
        <v>1983</v>
      </c>
      <c r="F48" s="203" t="s">
        <v>88</v>
      </c>
      <c r="G48" s="203">
        <v>5</v>
      </c>
      <c r="H48" s="204">
        <v>8</v>
      </c>
      <c r="I48" s="205">
        <v>6069.4</v>
      </c>
      <c r="J48" s="205">
        <v>4613.5</v>
      </c>
      <c r="K48" s="205">
        <v>202</v>
      </c>
      <c r="L48" s="205">
        <f>'Приложение 2 КСП 2018-2019 гг'!H49</f>
        <v>6334600</v>
      </c>
      <c r="M48" s="267">
        <v>0</v>
      </c>
      <c r="N48" s="267">
        <v>0</v>
      </c>
      <c r="O48" s="368">
        <v>0</v>
      </c>
      <c r="P48" s="368">
        <f t="shared" si="2"/>
        <v>6334600</v>
      </c>
      <c r="Q48" s="267">
        <v>0</v>
      </c>
      <c r="R48" s="267">
        <v>0</v>
      </c>
      <c r="S48" s="267" t="s">
        <v>589</v>
      </c>
      <c r="T48" s="126"/>
      <c r="U48" s="127"/>
    </row>
    <row r="49" spans="1:21" ht="9" customHeight="1">
      <c r="A49" s="366">
        <v>34</v>
      </c>
      <c r="B49" s="200" t="s">
        <v>509</v>
      </c>
      <c r="C49" s="347" t="s">
        <v>1155</v>
      </c>
      <c r="D49" s="201" t="s">
        <v>1154</v>
      </c>
      <c r="E49" s="202">
        <v>1988</v>
      </c>
      <c r="F49" s="203" t="s">
        <v>88</v>
      </c>
      <c r="G49" s="203">
        <v>5</v>
      </c>
      <c r="H49" s="204">
        <v>2</v>
      </c>
      <c r="I49" s="205">
        <v>1579.9</v>
      </c>
      <c r="J49" s="205">
        <v>1116.4000000000001</v>
      </c>
      <c r="K49" s="205">
        <v>51</v>
      </c>
      <c r="L49" s="205">
        <f>'Приложение 2 КСП 2018-2019 гг'!H50</f>
        <v>1833700</v>
      </c>
      <c r="M49" s="267">
        <v>0</v>
      </c>
      <c r="N49" s="267">
        <v>0</v>
      </c>
      <c r="O49" s="368">
        <v>0</v>
      </c>
      <c r="P49" s="368">
        <f t="shared" si="2"/>
        <v>1833700</v>
      </c>
      <c r="Q49" s="267">
        <v>0</v>
      </c>
      <c r="R49" s="267">
        <v>0</v>
      </c>
      <c r="S49" s="267" t="s">
        <v>589</v>
      </c>
      <c r="T49" s="126"/>
      <c r="U49" s="127"/>
    </row>
    <row r="50" spans="1:21" ht="9" customHeight="1">
      <c r="A50" s="366">
        <v>35</v>
      </c>
      <c r="B50" s="200" t="s">
        <v>511</v>
      </c>
      <c r="C50" s="347" t="s">
        <v>1155</v>
      </c>
      <c r="D50" s="201" t="s">
        <v>1154</v>
      </c>
      <c r="E50" s="202">
        <v>1980</v>
      </c>
      <c r="F50" s="203" t="s">
        <v>88</v>
      </c>
      <c r="G50" s="203">
        <v>5</v>
      </c>
      <c r="H50" s="204">
        <v>4</v>
      </c>
      <c r="I50" s="205">
        <v>3652.1</v>
      </c>
      <c r="J50" s="205">
        <v>2676.7</v>
      </c>
      <c r="K50" s="205">
        <v>143</v>
      </c>
      <c r="L50" s="205">
        <f>'Приложение 2 КСП 2018-2019 гг'!H51</f>
        <v>3390678</v>
      </c>
      <c r="M50" s="267">
        <v>0</v>
      </c>
      <c r="N50" s="267">
        <v>0</v>
      </c>
      <c r="O50" s="368">
        <v>0</v>
      </c>
      <c r="P50" s="368">
        <f t="shared" si="2"/>
        <v>3390678</v>
      </c>
      <c r="Q50" s="267">
        <v>0</v>
      </c>
      <c r="R50" s="267">
        <v>0</v>
      </c>
      <c r="S50" s="267" t="s">
        <v>589</v>
      </c>
      <c r="T50" s="126"/>
      <c r="U50" s="127"/>
    </row>
    <row r="51" spans="1:21" ht="9" customHeight="1">
      <c r="A51" s="366">
        <v>36</v>
      </c>
      <c r="B51" s="200" t="s">
        <v>512</v>
      </c>
      <c r="C51" s="347" t="s">
        <v>1155</v>
      </c>
      <c r="D51" s="201" t="s">
        <v>1154</v>
      </c>
      <c r="E51" s="202">
        <v>1955</v>
      </c>
      <c r="F51" s="203" t="s">
        <v>88</v>
      </c>
      <c r="G51" s="203">
        <v>3</v>
      </c>
      <c r="H51" s="204">
        <v>3</v>
      </c>
      <c r="I51" s="205">
        <v>2187.1999999999998</v>
      </c>
      <c r="J51" s="205">
        <v>1421.4</v>
      </c>
      <c r="K51" s="205">
        <v>66</v>
      </c>
      <c r="L51" s="205">
        <f>'Приложение 2 КСП 2018-2019 гг'!H52</f>
        <v>3790248</v>
      </c>
      <c r="M51" s="267">
        <v>0</v>
      </c>
      <c r="N51" s="267">
        <v>0</v>
      </c>
      <c r="O51" s="368">
        <v>0</v>
      </c>
      <c r="P51" s="368">
        <f t="shared" si="2"/>
        <v>3790248</v>
      </c>
      <c r="Q51" s="267">
        <v>0</v>
      </c>
      <c r="R51" s="267">
        <v>0</v>
      </c>
      <c r="S51" s="267" t="s">
        <v>589</v>
      </c>
      <c r="T51" s="126"/>
      <c r="U51" s="127"/>
    </row>
    <row r="52" spans="1:21" ht="9" customHeight="1">
      <c r="A52" s="366">
        <v>37</v>
      </c>
      <c r="B52" s="200" t="s">
        <v>513</v>
      </c>
      <c r="C52" s="347" t="s">
        <v>1155</v>
      </c>
      <c r="D52" s="201" t="s">
        <v>1154</v>
      </c>
      <c r="E52" s="202">
        <v>1964</v>
      </c>
      <c r="F52" s="203" t="s">
        <v>88</v>
      </c>
      <c r="G52" s="203">
        <v>5</v>
      </c>
      <c r="H52" s="204">
        <v>2</v>
      </c>
      <c r="I52" s="205">
        <v>1713.5</v>
      </c>
      <c r="J52" s="205">
        <v>1549.7</v>
      </c>
      <c r="K52" s="205">
        <v>69</v>
      </c>
      <c r="L52" s="205">
        <f>'Приложение 2 КСП 2018-2019 гг'!H53</f>
        <v>1875720</v>
      </c>
      <c r="M52" s="267">
        <v>0</v>
      </c>
      <c r="N52" s="267">
        <v>0</v>
      </c>
      <c r="O52" s="368">
        <v>0</v>
      </c>
      <c r="P52" s="368">
        <f t="shared" si="2"/>
        <v>1875720</v>
      </c>
      <c r="Q52" s="267">
        <v>0</v>
      </c>
      <c r="R52" s="267">
        <v>0</v>
      </c>
      <c r="S52" s="267" t="s">
        <v>589</v>
      </c>
      <c r="T52" s="126"/>
      <c r="U52" s="127"/>
    </row>
    <row r="53" spans="1:21" ht="9" customHeight="1">
      <c r="A53" s="366">
        <v>38</v>
      </c>
      <c r="B53" s="200" t="s">
        <v>514</v>
      </c>
      <c r="C53" s="347" t="s">
        <v>1155</v>
      </c>
      <c r="D53" s="201" t="s">
        <v>1154</v>
      </c>
      <c r="E53" s="202">
        <v>1963</v>
      </c>
      <c r="F53" s="203" t="s">
        <v>88</v>
      </c>
      <c r="G53" s="203">
        <v>3</v>
      </c>
      <c r="H53" s="204">
        <v>4</v>
      </c>
      <c r="I53" s="205">
        <v>1976.1</v>
      </c>
      <c r="J53" s="205">
        <v>1764.7</v>
      </c>
      <c r="K53" s="205">
        <v>69</v>
      </c>
      <c r="L53" s="205">
        <f>'Приложение 2 КСП 2018-2019 гг'!H54</f>
        <v>3557400</v>
      </c>
      <c r="M53" s="267">
        <v>0</v>
      </c>
      <c r="N53" s="267">
        <v>0</v>
      </c>
      <c r="O53" s="368">
        <v>0</v>
      </c>
      <c r="P53" s="368">
        <f t="shared" si="2"/>
        <v>3557400</v>
      </c>
      <c r="Q53" s="267">
        <v>0</v>
      </c>
      <c r="R53" s="267">
        <v>0</v>
      </c>
      <c r="S53" s="267" t="s">
        <v>589</v>
      </c>
      <c r="T53" s="126"/>
      <c r="U53" s="127"/>
    </row>
    <row r="54" spans="1:21" ht="9" customHeight="1">
      <c r="A54" s="366">
        <v>39</v>
      </c>
      <c r="B54" s="200" t="s">
        <v>515</v>
      </c>
      <c r="C54" s="347" t="s">
        <v>1155</v>
      </c>
      <c r="D54" s="201" t="s">
        <v>1154</v>
      </c>
      <c r="E54" s="202">
        <v>1971</v>
      </c>
      <c r="F54" s="203" t="s">
        <v>90</v>
      </c>
      <c r="G54" s="203">
        <v>5</v>
      </c>
      <c r="H54" s="204">
        <v>4</v>
      </c>
      <c r="I54" s="205">
        <v>3537.7</v>
      </c>
      <c r="J54" s="205">
        <v>3164.4</v>
      </c>
      <c r="K54" s="205">
        <v>164</v>
      </c>
      <c r="L54" s="205">
        <f>'Приложение 2 КСП 2018-2019 гг'!H55</f>
        <v>2783890</v>
      </c>
      <c r="M54" s="267">
        <v>0</v>
      </c>
      <c r="N54" s="267">
        <v>0</v>
      </c>
      <c r="O54" s="368">
        <v>0</v>
      </c>
      <c r="P54" s="368">
        <f t="shared" si="2"/>
        <v>2783890</v>
      </c>
      <c r="Q54" s="267">
        <v>0</v>
      </c>
      <c r="R54" s="267">
        <v>0</v>
      </c>
      <c r="S54" s="267" t="s">
        <v>589</v>
      </c>
      <c r="T54" s="126"/>
      <c r="U54" s="127"/>
    </row>
    <row r="55" spans="1:21" ht="9" customHeight="1">
      <c r="A55" s="366">
        <v>40</v>
      </c>
      <c r="B55" s="200" t="s">
        <v>516</v>
      </c>
      <c r="C55" s="347" t="s">
        <v>1155</v>
      </c>
      <c r="D55" s="201" t="s">
        <v>1154</v>
      </c>
      <c r="E55" s="202">
        <v>1977</v>
      </c>
      <c r="F55" s="203" t="s">
        <v>90</v>
      </c>
      <c r="G55" s="203">
        <v>5</v>
      </c>
      <c r="H55" s="204">
        <v>3</v>
      </c>
      <c r="I55" s="205">
        <v>2459.1</v>
      </c>
      <c r="J55" s="205">
        <v>2106.4</v>
      </c>
      <c r="K55" s="205">
        <v>98</v>
      </c>
      <c r="L55" s="205">
        <f>'Приложение 2 КСП 2018-2019 гг'!H56</f>
        <v>2167100</v>
      </c>
      <c r="M55" s="267">
        <v>0</v>
      </c>
      <c r="N55" s="267">
        <v>0</v>
      </c>
      <c r="O55" s="368">
        <v>0</v>
      </c>
      <c r="P55" s="368">
        <f t="shared" si="2"/>
        <v>2167100</v>
      </c>
      <c r="Q55" s="267">
        <v>0</v>
      </c>
      <c r="R55" s="267">
        <v>0</v>
      </c>
      <c r="S55" s="267" t="s">
        <v>589</v>
      </c>
      <c r="T55" s="126"/>
      <c r="U55" s="127"/>
    </row>
    <row r="56" spans="1:21" ht="9" customHeight="1">
      <c r="A56" s="366">
        <v>41</v>
      </c>
      <c r="B56" s="200" t="s">
        <v>517</v>
      </c>
      <c r="C56" s="347" t="s">
        <v>1155</v>
      </c>
      <c r="D56" s="201" t="s">
        <v>1154</v>
      </c>
      <c r="E56" s="202">
        <v>1989</v>
      </c>
      <c r="F56" s="203" t="s">
        <v>88</v>
      </c>
      <c r="G56" s="203">
        <v>9</v>
      </c>
      <c r="H56" s="204">
        <v>1</v>
      </c>
      <c r="I56" s="205">
        <v>6011.3</v>
      </c>
      <c r="J56" s="205">
        <v>4985</v>
      </c>
      <c r="K56" s="205">
        <v>186</v>
      </c>
      <c r="L56" s="205">
        <f>'Приложение 2 КСП 2018-2019 гг'!H57</f>
        <v>3167300</v>
      </c>
      <c r="M56" s="267">
        <v>0</v>
      </c>
      <c r="N56" s="267">
        <v>0</v>
      </c>
      <c r="O56" s="368">
        <v>0</v>
      </c>
      <c r="P56" s="368">
        <f t="shared" si="2"/>
        <v>3167300</v>
      </c>
      <c r="Q56" s="267">
        <v>0</v>
      </c>
      <c r="R56" s="267">
        <v>0</v>
      </c>
      <c r="S56" s="267" t="s">
        <v>589</v>
      </c>
      <c r="T56" s="126"/>
      <c r="U56" s="127"/>
    </row>
    <row r="57" spans="1:21" ht="9" customHeight="1">
      <c r="A57" s="366">
        <v>42</v>
      </c>
      <c r="B57" s="200" t="s">
        <v>518</v>
      </c>
      <c r="C57" s="347" t="s">
        <v>1155</v>
      </c>
      <c r="D57" s="201" t="s">
        <v>1154</v>
      </c>
      <c r="E57" s="202">
        <v>1989</v>
      </c>
      <c r="F57" s="203" t="s">
        <v>88</v>
      </c>
      <c r="G57" s="203">
        <v>9</v>
      </c>
      <c r="H57" s="204">
        <v>1</v>
      </c>
      <c r="I57" s="205">
        <v>5957.8</v>
      </c>
      <c r="J57" s="205">
        <v>4964.5</v>
      </c>
      <c r="K57" s="205">
        <v>228</v>
      </c>
      <c r="L57" s="205">
        <f>'Приложение 2 КСП 2018-2019 гг'!H58</f>
        <v>3200640</v>
      </c>
      <c r="M57" s="267">
        <v>0</v>
      </c>
      <c r="N57" s="267">
        <v>0</v>
      </c>
      <c r="O57" s="368">
        <v>0</v>
      </c>
      <c r="P57" s="368">
        <f t="shared" si="2"/>
        <v>3200640</v>
      </c>
      <c r="Q57" s="267">
        <v>0</v>
      </c>
      <c r="R57" s="267">
        <v>0</v>
      </c>
      <c r="S57" s="267" t="s">
        <v>589</v>
      </c>
      <c r="T57" s="126"/>
      <c r="U57" s="127"/>
    </row>
    <row r="58" spans="1:21" ht="9" customHeight="1">
      <c r="A58" s="366">
        <v>43</v>
      </c>
      <c r="B58" s="200" t="s">
        <v>519</v>
      </c>
      <c r="C58" s="347" t="s">
        <v>1155</v>
      </c>
      <c r="D58" s="201" t="s">
        <v>1154</v>
      </c>
      <c r="E58" s="202">
        <v>1966</v>
      </c>
      <c r="F58" s="203" t="s">
        <v>88</v>
      </c>
      <c r="G58" s="203">
        <v>2</v>
      </c>
      <c r="H58" s="204">
        <v>1</v>
      </c>
      <c r="I58" s="205">
        <v>987</v>
      </c>
      <c r="J58" s="205">
        <v>581.4</v>
      </c>
      <c r="K58" s="205">
        <v>78</v>
      </c>
      <c r="L58" s="205">
        <f>'Приложение 2 КСП 2018-2019 гг'!H59</f>
        <v>2296125.7999999998</v>
      </c>
      <c r="M58" s="267">
        <v>0</v>
      </c>
      <c r="N58" s="267">
        <v>0</v>
      </c>
      <c r="O58" s="368">
        <v>0</v>
      </c>
      <c r="P58" s="368">
        <f t="shared" si="2"/>
        <v>2296125.7999999998</v>
      </c>
      <c r="Q58" s="267">
        <v>0</v>
      </c>
      <c r="R58" s="267">
        <v>0</v>
      </c>
      <c r="S58" s="267" t="s">
        <v>589</v>
      </c>
      <c r="T58" s="126"/>
      <c r="U58" s="127"/>
    </row>
    <row r="59" spans="1:21" ht="9" customHeight="1">
      <c r="A59" s="366">
        <v>44</v>
      </c>
      <c r="B59" s="200" t="s">
        <v>520</v>
      </c>
      <c r="C59" s="347" t="s">
        <v>1155</v>
      </c>
      <c r="D59" s="201" t="s">
        <v>1154</v>
      </c>
      <c r="E59" s="202">
        <v>1986</v>
      </c>
      <c r="F59" s="203" t="s">
        <v>88</v>
      </c>
      <c r="G59" s="203">
        <v>5</v>
      </c>
      <c r="H59" s="204">
        <v>4</v>
      </c>
      <c r="I59" s="205">
        <v>3125</v>
      </c>
      <c r="J59" s="205">
        <v>2806</v>
      </c>
      <c r="K59" s="205">
        <v>135</v>
      </c>
      <c r="L59" s="205">
        <f>'Приложение 2 КСП 2018-2019 гг'!H60</f>
        <v>3200640</v>
      </c>
      <c r="M59" s="267">
        <v>0</v>
      </c>
      <c r="N59" s="267">
        <v>0</v>
      </c>
      <c r="O59" s="368">
        <v>0</v>
      </c>
      <c r="P59" s="368">
        <f t="shared" si="2"/>
        <v>3200640</v>
      </c>
      <c r="Q59" s="267">
        <v>0</v>
      </c>
      <c r="R59" s="267">
        <v>0</v>
      </c>
      <c r="S59" s="267" t="s">
        <v>589</v>
      </c>
      <c r="T59" s="126"/>
      <c r="U59" s="127"/>
    </row>
    <row r="60" spans="1:21" ht="9" customHeight="1">
      <c r="A60" s="366">
        <v>45</v>
      </c>
      <c r="B60" s="200" t="s">
        <v>521</v>
      </c>
      <c r="C60" s="347" t="s">
        <v>1155</v>
      </c>
      <c r="D60" s="201" t="s">
        <v>1154</v>
      </c>
      <c r="E60" s="202">
        <v>1989</v>
      </c>
      <c r="F60" s="203" t="s">
        <v>88</v>
      </c>
      <c r="G60" s="203">
        <v>9</v>
      </c>
      <c r="H60" s="204">
        <v>2</v>
      </c>
      <c r="I60" s="205">
        <v>10082.200000000001</v>
      </c>
      <c r="J60" s="205">
        <v>8152.1</v>
      </c>
      <c r="K60" s="205">
        <v>350</v>
      </c>
      <c r="L60" s="205">
        <f>'Приложение 2 КСП 2018-2019 гг'!H61</f>
        <v>12002400</v>
      </c>
      <c r="M60" s="368">
        <v>0</v>
      </c>
      <c r="N60" s="368">
        <v>0</v>
      </c>
      <c r="O60" s="368">
        <v>0</v>
      </c>
      <c r="P60" s="368">
        <f t="shared" si="2"/>
        <v>12002400</v>
      </c>
      <c r="Q60" s="368">
        <v>0</v>
      </c>
      <c r="R60" s="368">
        <v>0</v>
      </c>
      <c r="S60" s="368" t="s">
        <v>589</v>
      </c>
      <c r="T60" s="126"/>
      <c r="U60" s="127"/>
    </row>
    <row r="61" spans="1:21" ht="9" customHeight="1">
      <c r="A61" s="366">
        <v>46</v>
      </c>
      <c r="B61" s="200" t="s">
        <v>522</v>
      </c>
      <c r="C61" s="347" t="s">
        <v>1155</v>
      </c>
      <c r="D61" s="201" t="s">
        <v>1154</v>
      </c>
      <c r="E61" s="202">
        <v>1967</v>
      </c>
      <c r="F61" s="203" t="s">
        <v>88</v>
      </c>
      <c r="G61" s="203">
        <v>5</v>
      </c>
      <c r="H61" s="204">
        <v>4</v>
      </c>
      <c r="I61" s="205">
        <v>3890.6</v>
      </c>
      <c r="J61" s="205">
        <v>3508.6</v>
      </c>
      <c r="K61" s="205">
        <v>160</v>
      </c>
      <c r="L61" s="205">
        <f>'Приложение 2 КСП 2018-2019 гг'!H62</f>
        <v>2920584</v>
      </c>
      <c r="M61" s="368">
        <v>0</v>
      </c>
      <c r="N61" s="368">
        <v>0</v>
      </c>
      <c r="O61" s="368">
        <v>0</v>
      </c>
      <c r="P61" s="368">
        <f t="shared" si="2"/>
        <v>2920584</v>
      </c>
      <c r="Q61" s="368">
        <v>0</v>
      </c>
      <c r="R61" s="368">
        <v>0</v>
      </c>
      <c r="S61" s="368" t="s">
        <v>589</v>
      </c>
      <c r="T61" s="126"/>
      <c r="U61" s="127"/>
    </row>
    <row r="62" spans="1:21" ht="9" customHeight="1">
      <c r="A62" s="366">
        <v>47</v>
      </c>
      <c r="B62" s="200" t="s">
        <v>523</v>
      </c>
      <c r="C62" s="347" t="s">
        <v>1155</v>
      </c>
      <c r="D62" s="201" t="s">
        <v>1154</v>
      </c>
      <c r="E62" s="202">
        <v>1989</v>
      </c>
      <c r="F62" s="203" t="s">
        <v>88</v>
      </c>
      <c r="G62" s="203">
        <v>5</v>
      </c>
      <c r="H62" s="204">
        <v>3</v>
      </c>
      <c r="I62" s="205">
        <v>3414.9</v>
      </c>
      <c r="J62" s="205">
        <v>3100.9</v>
      </c>
      <c r="K62" s="205">
        <v>202</v>
      </c>
      <c r="L62" s="205">
        <f>'Приложение 2 КСП 2018-2019 гг'!H63</f>
        <v>2375289.4099999997</v>
      </c>
      <c r="M62" s="368">
        <v>0</v>
      </c>
      <c r="N62" s="368">
        <v>0</v>
      </c>
      <c r="O62" s="368">
        <v>0</v>
      </c>
      <c r="P62" s="368">
        <f t="shared" si="2"/>
        <v>2375289.4099999997</v>
      </c>
      <c r="Q62" s="368">
        <v>0</v>
      </c>
      <c r="R62" s="368">
        <v>0</v>
      </c>
      <c r="S62" s="368" t="s">
        <v>589</v>
      </c>
      <c r="T62" s="126"/>
      <c r="U62" s="127"/>
    </row>
    <row r="63" spans="1:21" ht="9" customHeight="1">
      <c r="A63" s="366">
        <v>48</v>
      </c>
      <c r="B63" s="200" t="s">
        <v>524</v>
      </c>
      <c r="C63" s="347" t="s">
        <v>1155</v>
      </c>
      <c r="D63" s="201" t="s">
        <v>1154</v>
      </c>
      <c r="E63" s="202">
        <v>1988</v>
      </c>
      <c r="F63" s="203" t="s">
        <v>90</v>
      </c>
      <c r="G63" s="203">
        <v>5</v>
      </c>
      <c r="H63" s="204">
        <v>5</v>
      </c>
      <c r="I63" s="205">
        <v>4146.2</v>
      </c>
      <c r="J63" s="205">
        <v>3458.6</v>
      </c>
      <c r="K63" s="205">
        <v>176</v>
      </c>
      <c r="L63" s="205">
        <f>'Приложение 2 КСП 2018-2019 гг'!H64</f>
        <v>3050610</v>
      </c>
      <c r="M63" s="368">
        <v>0</v>
      </c>
      <c r="N63" s="368">
        <v>0</v>
      </c>
      <c r="O63" s="368">
        <v>0</v>
      </c>
      <c r="P63" s="368">
        <f t="shared" si="2"/>
        <v>3050610</v>
      </c>
      <c r="Q63" s="368">
        <v>0</v>
      </c>
      <c r="R63" s="368">
        <v>0</v>
      </c>
      <c r="S63" s="368" t="s">
        <v>589</v>
      </c>
      <c r="T63" s="126"/>
      <c r="U63" s="127"/>
    </row>
    <row r="64" spans="1:21" ht="9" customHeight="1">
      <c r="A64" s="366">
        <v>49</v>
      </c>
      <c r="B64" s="200" t="s">
        <v>525</v>
      </c>
      <c r="C64" s="347" t="s">
        <v>1155</v>
      </c>
      <c r="D64" s="201" t="s">
        <v>1154</v>
      </c>
      <c r="E64" s="202">
        <v>1957</v>
      </c>
      <c r="F64" s="203" t="s">
        <v>88</v>
      </c>
      <c r="G64" s="203">
        <v>3</v>
      </c>
      <c r="H64" s="204">
        <v>3</v>
      </c>
      <c r="I64" s="205">
        <v>1443.3</v>
      </c>
      <c r="J64" s="205">
        <v>1329</v>
      </c>
      <c r="K64" s="205">
        <v>54</v>
      </c>
      <c r="L64" s="205">
        <f>'Приложение 2 КСП 2018-2019 гг'!H65</f>
        <v>2170014</v>
      </c>
      <c r="M64" s="368">
        <v>0</v>
      </c>
      <c r="N64" s="368">
        <v>0</v>
      </c>
      <c r="O64" s="368">
        <v>0</v>
      </c>
      <c r="P64" s="368">
        <f t="shared" si="2"/>
        <v>2170014</v>
      </c>
      <c r="Q64" s="368">
        <v>0</v>
      </c>
      <c r="R64" s="368">
        <v>0</v>
      </c>
      <c r="S64" s="368" t="s">
        <v>589</v>
      </c>
      <c r="T64" s="126"/>
      <c r="U64" s="127"/>
    </row>
    <row r="65" spans="1:21" ht="9" customHeight="1">
      <c r="A65" s="366">
        <v>50</v>
      </c>
      <c r="B65" s="200" t="s">
        <v>526</v>
      </c>
      <c r="C65" s="347" t="s">
        <v>1155</v>
      </c>
      <c r="D65" s="201" t="s">
        <v>1154</v>
      </c>
      <c r="E65" s="202">
        <v>1960</v>
      </c>
      <c r="F65" s="203" t="s">
        <v>88</v>
      </c>
      <c r="G65" s="203">
        <v>4</v>
      </c>
      <c r="H65" s="204">
        <v>4</v>
      </c>
      <c r="I65" s="205">
        <v>2701.5</v>
      </c>
      <c r="J65" s="205">
        <v>2510.5</v>
      </c>
      <c r="K65" s="205">
        <v>130</v>
      </c>
      <c r="L65" s="205">
        <f>'Приложение 2 КСП 2018-2019 гг'!H66</f>
        <v>2179716</v>
      </c>
      <c r="M65" s="368">
        <v>0</v>
      </c>
      <c r="N65" s="368">
        <v>0</v>
      </c>
      <c r="O65" s="368">
        <v>0</v>
      </c>
      <c r="P65" s="368">
        <f t="shared" si="2"/>
        <v>2179716</v>
      </c>
      <c r="Q65" s="368">
        <v>0</v>
      </c>
      <c r="R65" s="368">
        <v>0</v>
      </c>
      <c r="S65" s="368" t="s">
        <v>589</v>
      </c>
      <c r="T65" s="126"/>
      <c r="U65" s="127"/>
    </row>
    <row r="66" spans="1:21" ht="9" customHeight="1">
      <c r="A66" s="366">
        <v>51</v>
      </c>
      <c r="B66" s="200" t="s">
        <v>527</v>
      </c>
      <c r="C66" s="347" t="s">
        <v>1155</v>
      </c>
      <c r="D66" s="201" t="s">
        <v>1154</v>
      </c>
      <c r="E66" s="202">
        <v>1964</v>
      </c>
      <c r="F66" s="203" t="s">
        <v>88</v>
      </c>
      <c r="G66" s="203">
        <v>4</v>
      </c>
      <c r="H66" s="204">
        <v>2</v>
      </c>
      <c r="I66" s="205">
        <v>1458.1</v>
      </c>
      <c r="J66" s="205">
        <v>1289.3</v>
      </c>
      <c r="K66" s="205">
        <v>175</v>
      </c>
      <c r="L66" s="205">
        <f>'Приложение 2 КСП 2018-2019 гг'!H67</f>
        <v>1853082</v>
      </c>
      <c r="M66" s="368">
        <v>0</v>
      </c>
      <c r="N66" s="368">
        <v>0</v>
      </c>
      <c r="O66" s="368">
        <v>0</v>
      </c>
      <c r="P66" s="368">
        <f t="shared" si="2"/>
        <v>1853082</v>
      </c>
      <c r="Q66" s="368">
        <v>0</v>
      </c>
      <c r="R66" s="368">
        <v>0</v>
      </c>
      <c r="S66" s="368" t="s">
        <v>589</v>
      </c>
      <c r="T66" s="126"/>
      <c r="U66" s="127"/>
    </row>
    <row r="67" spans="1:21" ht="9" customHeight="1">
      <c r="A67" s="366">
        <v>52</v>
      </c>
      <c r="B67" s="200" t="s">
        <v>528</v>
      </c>
      <c r="C67" s="347" t="s">
        <v>1155</v>
      </c>
      <c r="D67" s="201" t="s">
        <v>1154</v>
      </c>
      <c r="E67" s="202">
        <v>1989</v>
      </c>
      <c r="F67" s="203" t="s">
        <v>88</v>
      </c>
      <c r="G67" s="203">
        <v>5</v>
      </c>
      <c r="H67" s="204">
        <v>4</v>
      </c>
      <c r="I67" s="205">
        <v>3816.6</v>
      </c>
      <c r="J67" s="205">
        <v>3491</v>
      </c>
      <c r="K67" s="205">
        <v>185</v>
      </c>
      <c r="L67" s="205">
        <f>'Приложение 2 КСП 2018-2019 гг'!H68</f>
        <v>3660732</v>
      </c>
      <c r="M67" s="368">
        <v>0</v>
      </c>
      <c r="N67" s="368">
        <v>0</v>
      </c>
      <c r="O67" s="368">
        <v>0</v>
      </c>
      <c r="P67" s="368">
        <f t="shared" si="2"/>
        <v>3660732</v>
      </c>
      <c r="Q67" s="368">
        <v>0</v>
      </c>
      <c r="R67" s="368">
        <v>0</v>
      </c>
      <c r="S67" s="368" t="s">
        <v>589</v>
      </c>
      <c r="T67" s="126"/>
      <c r="U67" s="127"/>
    </row>
    <row r="68" spans="1:21" ht="9" customHeight="1">
      <c r="A68" s="366">
        <v>53</v>
      </c>
      <c r="B68" s="200" t="s">
        <v>529</v>
      </c>
      <c r="C68" s="347" t="s">
        <v>1155</v>
      </c>
      <c r="D68" s="201" t="s">
        <v>1154</v>
      </c>
      <c r="E68" s="202">
        <v>1988</v>
      </c>
      <c r="F68" s="203" t="s">
        <v>88</v>
      </c>
      <c r="G68" s="203">
        <v>5</v>
      </c>
      <c r="H68" s="204">
        <v>6</v>
      </c>
      <c r="I68" s="205">
        <v>5695.3</v>
      </c>
      <c r="J68" s="205">
        <v>5053</v>
      </c>
      <c r="K68" s="205">
        <v>227</v>
      </c>
      <c r="L68" s="205">
        <f>'Приложение 2 КСП 2018-2019 гг'!H69</f>
        <v>4790958</v>
      </c>
      <c r="M68" s="368">
        <v>0</v>
      </c>
      <c r="N68" s="368">
        <v>0</v>
      </c>
      <c r="O68" s="368">
        <v>0</v>
      </c>
      <c r="P68" s="368">
        <f t="shared" si="2"/>
        <v>4790958</v>
      </c>
      <c r="Q68" s="368">
        <v>0</v>
      </c>
      <c r="R68" s="368">
        <v>0</v>
      </c>
      <c r="S68" s="368" t="s">
        <v>589</v>
      </c>
      <c r="T68" s="126"/>
      <c r="U68" s="127"/>
    </row>
    <row r="69" spans="1:21" ht="9" customHeight="1">
      <c r="A69" s="366">
        <v>54</v>
      </c>
      <c r="B69" s="200" t="s">
        <v>530</v>
      </c>
      <c r="C69" s="347" t="s">
        <v>1155</v>
      </c>
      <c r="D69" s="201" t="s">
        <v>1154</v>
      </c>
      <c r="E69" s="202">
        <v>1962</v>
      </c>
      <c r="F69" s="203" t="s">
        <v>90</v>
      </c>
      <c r="G69" s="203">
        <v>5</v>
      </c>
      <c r="H69" s="204">
        <v>3</v>
      </c>
      <c r="I69" s="205">
        <v>2757.6</v>
      </c>
      <c r="J69" s="205">
        <v>2528.1000000000004</v>
      </c>
      <c r="K69" s="205">
        <v>106</v>
      </c>
      <c r="L69" s="205">
        <f>'Приложение 2 КСП 2018-2019 гг'!H70</f>
        <v>2371474.2000000002</v>
      </c>
      <c r="M69" s="368">
        <v>0</v>
      </c>
      <c r="N69" s="368">
        <v>0</v>
      </c>
      <c r="O69" s="368">
        <v>0</v>
      </c>
      <c r="P69" s="368">
        <f t="shared" si="2"/>
        <v>2371474.2000000002</v>
      </c>
      <c r="Q69" s="368">
        <v>0</v>
      </c>
      <c r="R69" s="368">
        <v>0</v>
      </c>
      <c r="S69" s="368" t="s">
        <v>589</v>
      </c>
      <c r="T69" s="126"/>
      <c r="U69" s="127"/>
    </row>
    <row r="70" spans="1:21" ht="9" customHeight="1">
      <c r="A70" s="366">
        <v>55</v>
      </c>
      <c r="B70" s="200" t="s">
        <v>531</v>
      </c>
      <c r="C70" s="347" t="s">
        <v>1155</v>
      </c>
      <c r="D70" s="201" t="s">
        <v>1154</v>
      </c>
      <c r="E70" s="202">
        <v>1980</v>
      </c>
      <c r="F70" s="203" t="s">
        <v>90</v>
      </c>
      <c r="G70" s="203">
        <v>5</v>
      </c>
      <c r="H70" s="204">
        <v>6</v>
      </c>
      <c r="I70" s="205">
        <v>5270.3</v>
      </c>
      <c r="J70" s="205">
        <v>4736.3</v>
      </c>
      <c r="K70" s="205">
        <v>241</v>
      </c>
      <c r="L70" s="205">
        <f>'Приложение 2 КСП 2018-2019 гг'!H71</f>
        <v>4380876</v>
      </c>
      <c r="M70" s="368">
        <v>0</v>
      </c>
      <c r="N70" s="368">
        <v>0</v>
      </c>
      <c r="O70" s="368">
        <v>0</v>
      </c>
      <c r="P70" s="368">
        <f t="shared" si="2"/>
        <v>4380876</v>
      </c>
      <c r="Q70" s="368">
        <v>0</v>
      </c>
      <c r="R70" s="368">
        <v>0</v>
      </c>
      <c r="S70" s="368" t="s">
        <v>589</v>
      </c>
      <c r="T70" s="126"/>
      <c r="U70" s="127"/>
    </row>
    <row r="71" spans="1:21" ht="9" customHeight="1">
      <c r="A71" s="366">
        <v>56</v>
      </c>
      <c r="B71" s="200" t="s">
        <v>532</v>
      </c>
      <c r="C71" s="347" t="s">
        <v>1155</v>
      </c>
      <c r="D71" s="201" t="s">
        <v>1154</v>
      </c>
      <c r="E71" s="202">
        <v>1968</v>
      </c>
      <c r="F71" s="203" t="s">
        <v>88</v>
      </c>
      <c r="G71" s="203">
        <v>5</v>
      </c>
      <c r="H71" s="204">
        <v>1</v>
      </c>
      <c r="I71" s="205">
        <v>4393</v>
      </c>
      <c r="J71" s="205">
        <v>1897.7</v>
      </c>
      <c r="K71" s="205">
        <v>145</v>
      </c>
      <c r="L71" s="205">
        <f>'Приложение 2 КСП 2018-2019 гг'!H72</f>
        <v>5303760</v>
      </c>
      <c r="M71" s="368">
        <v>0</v>
      </c>
      <c r="N71" s="368">
        <v>0</v>
      </c>
      <c r="O71" s="368">
        <v>0</v>
      </c>
      <c r="P71" s="368">
        <f t="shared" si="2"/>
        <v>5303760</v>
      </c>
      <c r="Q71" s="368">
        <v>0</v>
      </c>
      <c r="R71" s="368">
        <v>0</v>
      </c>
      <c r="S71" s="368" t="s">
        <v>589</v>
      </c>
      <c r="T71" s="126"/>
      <c r="U71" s="127"/>
    </row>
    <row r="72" spans="1:21" ht="9" customHeight="1">
      <c r="A72" s="366">
        <v>57</v>
      </c>
      <c r="B72" s="200" t="s">
        <v>533</v>
      </c>
      <c r="C72" s="347" t="s">
        <v>1155</v>
      </c>
      <c r="D72" s="201" t="s">
        <v>1154</v>
      </c>
      <c r="E72" s="202">
        <v>1988</v>
      </c>
      <c r="F72" s="203" t="s">
        <v>90</v>
      </c>
      <c r="G72" s="203">
        <v>9</v>
      </c>
      <c r="H72" s="204">
        <v>14</v>
      </c>
      <c r="I72" s="205">
        <v>31511.8</v>
      </c>
      <c r="J72" s="205">
        <v>27311.7</v>
      </c>
      <c r="K72" s="205">
        <v>6</v>
      </c>
      <c r="L72" s="205">
        <f>'Приложение 2 КСП 2018-2019 гг'!H73</f>
        <v>15546442</v>
      </c>
      <c r="M72" s="368">
        <v>0</v>
      </c>
      <c r="N72" s="368">
        <v>0</v>
      </c>
      <c r="O72" s="368">
        <v>0</v>
      </c>
      <c r="P72" s="368">
        <f t="shared" si="2"/>
        <v>15546442</v>
      </c>
      <c r="Q72" s="368">
        <v>0</v>
      </c>
      <c r="R72" s="368">
        <v>0</v>
      </c>
      <c r="S72" s="368" t="s">
        <v>589</v>
      </c>
      <c r="T72" s="126"/>
      <c r="U72" s="127"/>
    </row>
    <row r="73" spans="1:21" ht="9" customHeight="1">
      <c r="A73" s="366">
        <v>58</v>
      </c>
      <c r="B73" s="200" t="s">
        <v>534</v>
      </c>
      <c r="C73" s="347" t="s">
        <v>1155</v>
      </c>
      <c r="D73" s="201" t="s">
        <v>1154</v>
      </c>
      <c r="E73" s="202">
        <v>1986</v>
      </c>
      <c r="F73" s="203" t="s">
        <v>88</v>
      </c>
      <c r="G73" s="203">
        <v>5</v>
      </c>
      <c r="H73" s="204">
        <v>4</v>
      </c>
      <c r="I73" s="205">
        <v>3057.7</v>
      </c>
      <c r="J73" s="205">
        <v>2768.4</v>
      </c>
      <c r="K73" s="205">
        <v>25</v>
      </c>
      <c r="L73" s="205">
        <f>'Приложение 2 КСП 2018-2019 гг'!H74</f>
        <v>3040608</v>
      </c>
      <c r="M73" s="368">
        <v>0</v>
      </c>
      <c r="N73" s="368">
        <v>0</v>
      </c>
      <c r="O73" s="368">
        <v>0</v>
      </c>
      <c r="P73" s="368">
        <f t="shared" si="2"/>
        <v>3040608</v>
      </c>
      <c r="Q73" s="368">
        <v>0</v>
      </c>
      <c r="R73" s="368">
        <v>0</v>
      </c>
      <c r="S73" s="368" t="s">
        <v>589</v>
      </c>
      <c r="T73" s="126"/>
      <c r="U73" s="127"/>
    </row>
    <row r="74" spans="1:21" ht="9" customHeight="1">
      <c r="A74" s="366">
        <v>59</v>
      </c>
      <c r="B74" s="200" t="s">
        <v>535</v>
      </c>
      <c r="C74" s="347" t="s">
        <v>1155</v>
      </c>
      <c r="D74" s="201" t="s">
        <v>1154</v>
      </c>
      <c r="E74" s="202">
        <v>1973</v>
      </c>
      <c r="F74" s="203" t="s">
        <v>88</v>
      </c>
      <c r="G74" s="203">
        <v>5</v>
      </c>
      <c r="H74" s="204">
        <v>1</v>
      </c>
      <c r="I74" s="205">
        <v>3992.7</v>
      </c>
      <c r="J74" s="205">
        <v>2680.2</v>
      </c>
      <c r="K74" s="205">
        <v>11</v>
      </c>
      <c r="L74" s="205">
        <f>'Приложение 2 КСП 2018-2019 гг'!H75</f>
        <v>3764086</v>
      </c>
      <c r="M74" s="368">
        <v>0</v>
      </c>
      <c r="N74" s="368">
        <v>0</v>
      </c>
      <c r="O74" s="368">
        <v>0</v>
      </c>
      <c r="P74" s="368">
        <f t="shared" si="2"/>
        <v>3764086</v>
      </c>
      <c r="Q74" s="368">
        <v>0</v>
      </c>
      <c r="R74" s="368">
        <v>0</v>
      </c>
      <c r="S74" s="368" t="s">
        <v>589</v>
      </c>
      <c r="T74" s="126"/>
      <c r="U74" s="127"/>
    </row>
    <row r="75" spans="1:21" ht="9" customHeight="1">
      <c r="A75" s="366">
        <v>60</v>
      </c>
      <c r="B75" s="200" t="s">
        <v>536</v>
      </c>
      <c r="C75" s="347" t="s">
        <v>1155</v>
      </c>
      <c r="D75" s="201" t="s">
        <v>1154</v>
      </c>
      <c r="E75" s="202">
        <v>1967</v>
      </c>
      <c r="F75" s="203" t="s">
        <v>88</v>
      </c>
      <c r="G75" s="203">
        <v>5</v>
      </c>
      <c r="H75" s="204">
        <v>2</v>
      </c>
      <c r="I75" s="205">
        <v>1902.2</v>
      </c>
      <c r="J75" s="205">
        <v>1751.2</v>
      </c>
      <c r="K75" s="205">
        <v>59</v>
      </c>
      <c r="L75" s="205">
        <f>'Приложение 2 КСП 2018-2019 гг'!H76</f>
        <v>2102100</v>
      </c>
      <c r="M75" s="368">
        <v>0</v>
      </c>
      <c r="N75" s="368">
        <v>0</v>
      </c>
      <c r="O75" s="368">
        <v>0</v>
      </c>
      <c r="P75" s="368">
        <f t="shared" si="2"/>
        <v>2102100</v>
      </c>
      <c r="Q75" s="368">
        <v>0</v>
      </c>
      <c r="R75" s="368">
        <v>0</v>
      </c>
      <c r="S75" s="368" t="s">
        <v>589</v>
      </c>
      <c r="T75" s="126"/>
      <c r="U75" s="127"/>
    </row>
    <row r="76" spans="1:21" ht="9" customHeight="1">
      <c r="A76" s="366">
        <v>61</v>
      </c>
      <c r="B76" s="200" t="s">
        <v>537</v>
      </c>
      <c r="C76" s="347" t="s">
        <v>1155</v>
      </c>
      <c r="D76" s="201" t="s">
        <v>1154</v>
      </c>
      <c r="E76" s="202">
        <v>1963</v>
      </c>
      <c r="F76" s="203" t="s">
        <v>88</v>
      </c>
      <c r="G76" s="203">
        <v>4</v>
      </c>
      <c r="H76" s="204">
        <v>2</v>
      </c>
      <c r="I76" s="205">
        <v>1342.5</v>
      </c>
      <c r="J76" s="205">
        <v>1207.5999999999999</v>
      </c>
      <c r="K76" s="205">
        <v>53</v>
      </c>
      <c r="L76" s="205">
        <f>'Приложение 2 КСП 2018-2019 гг'!H77</f>
        <v>1862784</v>
      </c>
      <c r="M76" s="368">
        <v>0</v>
      </c>
      <c r="N76" s="368">
        <v>0</v>
      </c>
      <c r="O76" s="368">
        <v>0</v>
      </c>
      <c r="P76" s="368">
        <f t="shared" si="2"/>
        <v>1862784</v>
      </c>
      <c r="Q76" s="368">
        <v>0</v>
      </c>
      <c r="R76" s="368">
        <v>0</v>
      </c>
      <c r="S76" s="368" t="s">
        <v>589</v>
      </c>
      <c r="T76" s="126"/>
      <c r="U76" s="127"/>
    </row>
    <row r="77" spans="1:21" ht="9" customHeight="1">
      <c r="A77" s="366">
        <v>62</v>
      </c>
      <c r="B77" s="200" t="s">
        <v>538</v>
      </c>
      <c r="C77" s="347" t="s">
        <v>1155</v>
      </c>
      <c r="D77" s="201" t="s">
        <v>1154</v>
      </c>
      <c r="E77" s="202">
        <v>1977</v>
      </c>
      <c r="F77" s="203" t="s">
        <v>621</v>
      </c>
      <c r="G77" s="203">
        <v>5</v>
      </c>
      <c r="H77" s="204">
        <v>5</v>
      </c>
      <c r="I77" s="205">
        <v>3703.1</v>
      </c>
      <c r="J77" s="205">
        <v>3071.7</v>
      </c>
      <c r="K77" s="205">
        <v>165</v>
      </c>
      <c r="L77" s="205">
        <f>'Приложение 2 КСП 2018-2019 гг'!H78</f>
        <v>2850570</v>
      </c>
      <c r="M77" s="368">
        <v>0</v>
      </c>
      <c r="N77" s="368">
        <v>0</v>
      </c>
      <c r="O77" s="368">
        <v>0</v>
      </c>
      <c r="P77" s="368">
        <f t="shared" si="2"/>
        <v>2850570</v>
      </c>
      <c r="Q77" s="368">
        <v>0</v>
      </c>
      <c r="R77" s="368">
        <v>0</v>
      </c>
      <c r="S77" s="368" t="s">
        <v>589</v>
      </c>
      <c r="T77" s="126"/>
      <c r="U77" s="127"/>
    </row>
    <row r="78" spans="1:21" ht="9" customHeight="1">
      <c r="A78" s="366">
        <v>63</v>
      </c>
      <c r="B78" s="200" t="s">
        <v>539</v>
      </c>
      <c r="C78" s="347" t="s">
        <v>1155</v>
      </c>
      <c r="D78" s="201" t="s">
        <v>1154</v>
      </c>
      <c r="E78" s="202">
        <v>1976</v>
      </c>
      <c r="F78" s="203" t="s">
        <v>90</v>
      </c>
      <c r="G78" s="203">
        <v>5</v>
      </c>
      <c r="H78" s="204">
        <v>8</v>
      </c>
      <c r="I78" s="205">
        <v>6173.8</v>
      </c>
      <c r="J78" s="205">
        <v>5535.8</v>
      </c>
      <c r="K78" s="205">
        <v>262</v>
      </c>
      <c r="L78" s="205">
        <f>'Приложение 2 КСП 2018-2019 гг'!H79</f>
        <v>4634260</v>
      </c>
      <c r="M78" s="368">
        <v>0</v>
      </c>
      <c r="N78" s="368">
        <v>0</v>
      </c>
      <c r="O78" s="368">
        <v>0</v>
      </c>
      <c r="P78" s="368">
        <f t="shared" si="2"/>
        <v>4634260</v>
      </c>
      <c r="Q78" s="368">
        <v>0</v>
      </c>
      <c r="R78" s="368">
        <v>0</v>
      </c>
      <c r="S78" s="368" t="s">
        <v>589</v>
      </c>
      <c r="T78" s="126"/>
      <c r="U78" s="127"/>
    </row>
    <row r="79" spans="1:21" ht="9" customHeight="1">
      <c r="A79" s="366">
        <v>64</v>
      </c>
      <c r="B79" s="200" t="s">
        <v>540</v>
      </c>
      <c r="C79" s="347" t="s">
        <v>1155</v>
      </c>
      <c r="D79" s="201" t="s">
        <v>1154</v>
      </c>
      <c r="E79" s="202">
        <v>1984</v>
      </c>
      <c r="F79" s="203" t="s">
        <v>90</v>
      </c>
      <c r="G79" s="203">
        <v>5</v>
      </c>
      <c r="H79" s="204">
        <v>5</v>
      </c>
      <c r="I79" s="205">
        <v>4206</v>
      </c>
      <c r="J79" s="205">
        <v>3791</v>
      </c>
      <c r="K79" s="205">
        <v>158</v>
      </c>
      <c r="L79" s="205">
        <f>'Приложение 2 КСП 2018-2019 гг'!H80</f>
        <v>3173968</v>
      </c>
      <c r="M79" s="368">
        <v>0</v>
      </c>
      <c r="N79" s="368">
        <v>0</v>
      </c>
      <c r="O79" s="368">
        <v>0</v>
      </c>
      <c r="P79" s="368">
        <f t="shared" si="2"/>
        <v>3173968</v>
      </c>
      <c r="Q79" s="368">
        <v>0</v>
      </c>
      <c r="R79" s="368">
        <v>0</v>
      </c>
      <c r="S79" s="368" t="s">
        <v>589</v>
      </c>
      <c r="T79" s="126"/>
      <c r="U79" s="127"/>
    </row>
    <row r="80" spans="1:21" ht="9" customHeight="1">
      <c r="A80" s="366">
        <v>65</v>
      </c>
      <c r="B80" s="200" t="s">
        <v>541</v>
      </c>
      <c r="C80" s="347" t="s">
        <v>1155</v>
      </c>
      <c r="D80" s="201" t="s">
        <v>1154</v>
      </c>
      <c r="E80" s="202">
        <v>1970</v>
      </c>
      <c r="F80" s="203" t="s">
        <v>90</v>
      </c>
      <c r="G80" s="203">
        <v>5</v>
      </c>
      <c r="H80" s="204">
        <v>4</v>
      </c>
      <c r="I80" s="205">
        <v>4282.7</v>
      </c>
      <c r="J80" s="205">
        <v>3980.7</v>
      </c>
      <c r="K80" s="205">
        <v>186</v>
      </c>
      <c r="L80" s="205">
        <f>'Приложение 2 КСП 2018-2019 гг'!H81</f>
        <v>7292642.3999999994</v>
      </c>
      <c r="M80" s="368">
        <v>0</v>
      </c>
      <c r="N80" s="368">
        <v>0</v>
      </c>
      <c r="O80" s="368">
        <v>0</v>
      </c>
      <c r="P80" s="368">
        <f t="shared" si="2"/>
        <v>7292642.3999999994</v>
      </c>
      <c r="Q80" s="368">
        <v>0</v>
      </c>
      <c r="R80" s="368">
        <v>0</v>
      </c>
      <c r="S80" s="368" t="s">
        <v>589</v>
      </c>
      <c r="T80" s="126"/>
      <c r="U80" s="127"/>
    </row>
    <row r="81" spans="1:21" ht="9" customHeight="1">
      <c r="A81" s="366">
        <v>66</v>
      </c>
      <c r="B81" s="200" t="s">
        <v>542</v>
      </c>
      <c r="C81" s="347" t="s">
        <v>1155</v>
      </c>
      <c r="D81" s="201" t="s">
        <v>1154</v>
      </c>
      <c r="E81" s="202">
        <v>1973</v>
      </c>
      <c r="F81" s="203" t="s">
        <v>88</v>
      </c>
      <c r="G81" s="203">
        <v>5</v>
      </c>
      <c r="H81" s="204">
        <v>2</v>
      </c>
      <c r="I81" s="205">
        <v>2089.1999999999998</v>
      </c>
      <c r="J81" s="205">
        <v>1781.2</v>
      </c>
      <c r="K81" s="205">
        <v>103</v>
      </c>
      <c r="L81" s="205">
        <f>'Приложение 2 КСП 2018-2019 гг'!H82</f>
        <v>2037420</v>
      </c>
      <c r="M81" s="368">
        <v>0</v>
      </c>
      <c r="N81" s="368">
        <v>0</v>
      </c>
      <c r="O81" s="368">
        <v>0</v>
      </c>
      <c r="P81" s="368">
        <f t="shared" si="2"/>
        <v>2037420</v>
      </c>
      <c r="Q81" s="368">
        <v>0</v>
      </c>
      <c r="R81" s="368">
        <v>0</v>
      </c>
      <c r="S81" s="368" t="s">
        <v>589</v>
      </c>
      <c r="T81" s="126"/>
      <c r="U81" s="127"/>
    </row>
    <row r="82" spans="1:21" ht="9" customHeight="1">
      <c r="A82" s="366">
        <v>67</v>
      </c>
      <c r="B82" s="200" t="s">
        <v>543</v>
      </c>
      <c r="C82" s="347" t="s">
        <v>1155</v>
      </c>
      <c r="D82" s="201" t="s">
        <v>1154</v>
      </c>
      <c r="E82" s="202">
        <v>1982</v>
      </c>
      <c r="F82" s="203" t="s">
        <v>88</v>
      </c>
      <c r="G82" s="203">
        <v>4</v>
      </c>
      <c r="H82" s="204">
        <v>1</v>
      </c>
      <c r="I82" s="205">
        <v>1872.85</v>
      </c>
      <c r="J82" s="205">
        <v>1653.8</v>
      </c>
      <c r="K82" s="205">
        <v>87</v>
      </c>
      <c r="L82" s="205">
        <f>'Приложение 2 КСП 2018-2019 гг'!H83</f>
        <v>5099686.4000000004</v>
      </c>
      <c r="M82" s="368">
        <v>0</v>
      </c>
      <c r="N82" s="368">
        <v>0</v>
      </c>
      <c r="O82" s="368">
        <v>0</v>
      </c>
      <c r="P82" s="368">
        <f t="shared" ref="P82:P145" si="3">L82</f>
        <v>5099686.4000000004</v>
      </c>
      <c r="Q82" s="368">
        <v>0</v>
      </c>
      <c r="R82" s="368">
        <v>0</v>
      </c>
      <c r="S82" s="368" t="s">
        <v>589</v>
      </c>
      <c r="T82" s="126"/>
      <c r="U82" s="127"/>
    </row>
    <row r="83" spans="1:21" ht="9" customHeight="1">
      <c r="A83" s="366">
        <v>68</v>
      </c>
      <c r="B83" s="200" t="s">
        <v>544</v>
      </c>
      <c r="C83" s="347" t="s">
        <v>1155</v>
      </c>
      <c r="D83" s="201" t="s">
        <v>1154</v>
      </c>
      <c r="E83" s="202">
        <v>1982</v>
      </c>
      <c r="F83" s="203" t="s">
        <v>90</v>
      </c>
      <c r="G83" s="203">
        <v>5</v>
      </c>
      <c r="H83" s="204">
        <v>5</v>
      </c>
      <c r="I83" s="205">
        <v>4060.2</v>
      </c>
      <c r="J83" s="205">
        <v>3742.7</v>
      </c>
      <c r="K83" s="205">
        <v>194</v>
      </c>
      <c r="L83" s="205">
        <f>'Приложение 2 КСП 2018-2019 гг'!H84</f>
        <v>3477362</v>
      </c>
      <c r="M83" s="267">
        <v>0</v>
      </c>
      <c r="N83" s="267">
        <v>0</v>
      </c>
      <c r="O83" s="368">
        <v>0</v>
      </c>
      <c r="P83" s="368">
        <f t="shared" si="3"/>
        <v>3477362</v>
      </c>
      <c r="Q83" s="267">
        <v>0</v>
      </c>
      <c r="R83" s="267">
        <v>0</v>
      </c>
      <c r="S83" s="267" t="s">
        <v>589</v>
      </c>
      <c r="T83" s="126"/>
      <c r="U83" s="127"/>
    </row>
    <row r="84" spans="1:21" ht="9" customHeight="1">
      <c r="A84" s="366">
        <v>69</v>
      </c>
      <c r="B84" s="200" t="s">
        <v>545</v>
      </c>
      <c r="C84" s="347" t="s">
        <v>1155</v>
      </c>
      <c r="D84" s="201" t="s">
        <v>1154</v>
      </c>
      <c r="E84" s="202">
        <v>1988</v>
      </c>
      <c r="F84" s="203" t="s">
        <v>90</v>
      </c>
      <c r="G84" s="203">
        <v>5</v>
      </c>
      <c r="H84" s="204">
        <v>4</v>
      </c>
      <c r="I84" s="205">
        <v>3096.1</v>
      </c>
      <c r="J84" s="205">
        <v>2779</v>
      </c>
      <c r="K84" s="205">
        <v>127</v>
      </c>
      <c r="L84" s="205">
        <f>'Приложение 2 КСП 2018-2019 гг'!H85</f>
        <v>2688871</v>
      </c>
      <c r="M84" s="267">
        <v>0</v>
      </c>
      <c r="N84" s="267">
        <v>0</v>
      </c>
      <c r="O84" s="368">
        <v>0</v>
      </c>
      <c r="P84" s="368">
        <f t="shared" si="3"/>
        <v>2688871</v>
      </c>
      <c r="Q84" s="267">
        <v>0</v>
      </c>
      <c r="R84" s="267">
        <v>0</v>
      </c>
      <c r="S84" s="267" t="s">
        <v>589</v>
      </c>
      <c r="T84" s="126"/>
      <c r="U84" s="127"/>
    </row>
    <row r="85" spans="1:21" ht="9" customHeight="1">
      <c r="A85" s="366">
        <v>70</v>
      </c>
      <c r="B85" s="200" t="s">
        <v>546</v>
      </c>
      <c r="C85" s="347" t="s">
        <v>1155</v>
      </c>
      <c r="D85" s="201" t="s">
        <v>1154</v>
      </c>
      <c r="E85" s="202">
        <v>1974</v>
      </c>
      <c r="F85" s="203" t="s">
        <v>90</v>
      </c>
      <c r="G85" s="203">
        <v>5</v>
      </c>
      <c r="H85" s="204">
        <v>4</v>
      </c>
      <c r="I85" s="205">
        <v>3632.9</v>
      </c>
      <c r="J85" s="205">
        <v>3248</v>
      </c>
      <c r="K85" s="205">
        <v>148</v>
      </c>
      <c r="L85" s="205">
        <f>'Приложение 2 КСП 2018-2019 гг'!H86</f>
        <v>3060612</v>
      </c>
      <c r="M85" s="267">
        <v>0</v>
      </c>
      <c r="N85" s="267">
        <v>0</v>
      </c>
      <c r="O85" s="368">
        <v>0</v>
      </c>
      <c r="P85" s="368">
        <f t="shared" si="3"/>
        <v>3060612</v>
      </c>
      <c r="Q85" s="267">
        <v>0</v>
      </c>
      <c r="R85" s="267">
        <v>0</v>
      </c>
      <c r="S85" s="267" t="s">
        <v>589</v>
      </c>
      <c r="T85" s="126"/>
      <c r="U85" s="127"/>
    </row>
    <row r="86" spans="1:21" ht="9" customHeight="1">
      <c r="A86" s="366">
        <v>71</v>
      </c>
      <c r="B86" s="200" t="s">
        <v>547</v>
      </c>
      <c r="C86" s="347" t="s">
        <v>1155</v>
      </c>
      <c r="D86" s="201" t="s">
        <v>1154</v>
      </c>
      <c r="E86" s="202">
        <v>1975</v>
      </c>
      <c r="F86" s="203" t="s">
        <v>88</v>
      </c>
      <c r="G86" s="203">
        <v>9</v>
      </c>
      <c r="H86" s="204">
        <v>1</v>
      </c>
      <c r="I86" s="205">
        <v>2257.6</v>
      </c>
      <c r="J86" s="205">
        <v>2005.6</v>
      </c>
      <c r="K86" s="205">
        <v>102</v>
      </c>
      <c r="L86" s="205">
        <f>'Приложение 2 КСП 2018-2019 гг'!H87</f>
        <v>1348936.4</v>
      </c>
      <c r="M86" s="267">
        <v>0</v>
      </c>
      <c r="N86" s="267">
        <v>0</v>
      </c>
      <c r="O86" s="368">
        <v>0</v>
      </c>
      <c r="P86" s="368">
        <f t="shared" si="3"/>
        <v>1348936.4</v>
      </c>
      <c r="Q86" s="267">
        <v>0</v>
      </c>
      <c r="R86" s="267">
        <v>0</v>
      </c>
      <c r="S86" s="267" t="s">
        <v>589</v>
      </c>
      <c r="T86" s="126"/>
      <c r="U86" s="127"/>
    </row>
    <row r="87" spans="1:21" ht="9" customHeight="1">
      <c r="A87" s="366">
        <v>72</v>
      </c>
      <c r="B87" s="200" t="s">
        <v>548</v>
      </c>
      <c r="C87" s="347" t="s">
        <v>1155</v>
      </c>
      <c r="D87" s="201" t="s">
        <v>1154</v>
      </c>
      <c r="E87" s="202">
        <v>1975</v>
      </c>
      <c r="F87" s="203" t="s">
        <v>88</v>
      </c>
      <c r="G87" s="203">
        <v>9</v>
      </c>
      <c r="H87" s="204">
        <v>1</v>
      </c>
      <c r="I87" s="205">
        <v>2248.1</v>
      </c>
      <c r="J87" s="205">
        <v>1995.1</v>
      </c>
      <c r="K87" s="205">
        <v>100</v>
      </c>
      <c r="L87" s="205">
        <f>'Приложение 2 КСП 2018-2019 гг'!H88</f>
        <v>1963596.7999999998</v>
      </c>
      <c r="M87" s="267">
        <v>0</v>
      </c>
      <c r="N87" s="267">
        <v>0</v>
      </c>
      <c r="O87" s="368">
        <v>0</v>
      </c>
      <c r="P87" s="368">
        <f t="shared" si="3"/>
        <v>1963596.7999999998</v>
      </c>
      <c r="Q87" s="267">
        <v>0</v>
      </c>
      <c r="R87" s="267">
        <v>0</v>
      </c>
      <c r="S87" s="267" t="s">
        <v>589</v>
      </c>
      <c r="T87" s="126"/>
      <c r="U87" s="127"/>
    </row>
    <row r="88" spans="1:21" ht="9" customHeight="1">
      <c r="A88" s="366">
        <v>73</v>
      </c>
      <c r="B88" s="200" t="s">
        <v>549</v>
      </c>
      <c r="C88" s="347" t="s">
        <v>1155</v>
      </c>
      <c r="D88" s="201" t="s">
        <v>1154</v>
      </c>
      <c r="E88" s="202">
        <v>1975</v>
      </c>
      <c r="F88" s="203" t="s">
        <v>88</v>
      </c>
      <c r="G88" s="203">
        <v>9</v>
      </c>
      <c r="H88" s="204">
        <v>1</v>
      </c>
      <c r="I88" s="205">
        <v>2265.6</v>
      </c>
      <c r="J88" s="205">
        <v>2012.6</v>
      </c>
      <c r="K88" s="205">
        <v>96</v>
      </c>
      <c r="L88" s="205">
        <f>'Приложение 2 КСП 2018-2019 гг'!H89</f>
        <v>1332599.8</v>
      </c>
      <c r="M88" s="267">
        <v>0</v>
      </c>
      <c r="N88" s="267">
        <v>0</v>
      </c>
      <c r="O88" s="368">
        <v>0</v>
      </c>
      <c r="P88" s="368">
        <f t="shared" si="3"/>
        <v>1332599.8</v>
      </c>
      <c r="Q88" s="267">
        <v>0</v>
      </c>
      <c r="R88" s="267">
        <v>0</v>
      </c>
      <c r="S88" s="267" t="s">
        <v>589</v>
      </c>
      <c r="T88" s="126"/>
      <c r="U88" s="127"/>
    </row>
    <row r="89" spans="1:21" ht="9" customHeight="1">
      <c r="A89" s="366">
        <v>74</v>
      </c>
      <c r="B89" s="200" t="s">
        <v>550</v>
      </c>
      <c r="C89" s="347" t="s">
        <v>1155</v>
      </c>
      <c r="D89" s="201" t="s">
        <v>1154</v>
      </c>
      <c r="E89" s="202">
        <v>1967</v>
      </c>
      <c r="F89" s="203" t="s">
        <v>88</v>
      </c>
      <c r="G89" s="203">
        <v>5</v>
      </c>
      <c r="H89" s="204">
        <v>4</v>
      </c>
      <c r="I89" s="205">
        <v>2914.2</v>
      </c>
      <c r="J89" s="205">
        <v>2576.9</v>
      </c>
      <c r="K89" s="205">
        <v>121</v>
      </c>
      <c r="L89" s="205">
        <f>'Приложение 2 КСП 2018-2019 гг'!H90</f>
        <v>2800560</v>
      </c>
      <c r="M89" s="267">
        <v>0</v>
      </c>
      <c r="N89" s="267">
        <v>0</v>
      </c>
      <c r="O89" s="368">
        <v>0</v>
      </c>
      <c r="P89" s="368">
        <f t="shared" si="3"/>
        <v>2800560</v>
      </c>
      <c r="Q89" s="267">
        <v>0</v>
      </c>
      <c r="R89" s="267">
        <v>0</v>
      </c>
      <c r="S89" s="267" t="s">
        <v>589</v>
      </c>
      <c r="T89" s="126"/>
      <c r="U89" s="127"/>
    </row>
    <row r="90" spans="1:21" ht="9" customHeight="1">
      <c r="A90" s="366">
        <v>75</v>
      </c>
      <c r="B90" s="200" t="s">
        <v>551</v>
      </c>
      <c r="C90" s="347" t="s">
        <v>1155</v>
      </c>
      <c r="D90" s="201" t="s">
        <v>1154</v>
      </c>
      <c r="E90" s="202">
        <v>1965</v>
      </c>
      <c r="F90" s="203" t="s">
        <v>90</v>
      </c>
      <c r="G90" s="203">
        <v>5</v>
      </c>
      <c r="H90" s="204">
        <v>4</v>
      </c>
      <c r="I90" s="205">
        <v>3871.3</v>
      </c>
      <c r="J90" s="205">
        <v>3568.3</v>
      </c>
      <c r="K90" s="205">
        <v>177</v>
      </c>
      <c r="L90" s="205">
        <f>'Приложение 2 КСП 2018-2019 гг'!H91</f>
        <v>3253984</v>
      </c>
      <c r="M90" s="267">
        <v>0</v>
      </c>
      <c r="N90" s="267">
        <v>0</v>
      </c>
      <c r="O90" s="368">
        <v>0</v>
      </c>
      <c r="P90" s="368">
        <f t="shared" si="3"/>
        <v>3253984</v>
      </c>
      <c r="Q90" s="267">
        <v>0</v>
      </c>
      <c r="R90" s="267">
        <v>0</v>
      </c>
      <c r="S90" s="267" t="s">
        <v>589</v>
      </c>
      <c r="T90" s="126"/>
      <c r="U90" s="127"/>
    </row>
    <row r="91" spans="1:21" ht="9" customHeight="1">
      <c r="A91" s="366">
        <v>76</v>
      </c>
      <c r="B91" s="200" t="s">
        <v>552</v>
      </c>
      <c r="C91" s="347" t="s">
        <v>1156</v>
      </c>
      <c r="D91" s="201" t="s">
        <v>1154</v>
      </c>
      <c r="E91" s="202">
        <v>1954</v>
      </c>
      <c r="F91" s="203" t="s">
        <v>88</v>
      </c>
      <c r="G91" s="203">
        <v>4</v>
      </c>
      <c r="H91" s="204">
        <v>4</v>
      </c>
      <c r="I91" s="205">
        <v>4353.3</v>
      </c>
      <c r="J91" s="205">
        <v>3946.7</v>
      </c>
      <c r="K91" s="205">
        <v>81</v>
      </c>
      <c r="L91" s="205">
        <f>'Приложение 2 КСП 2018-2019 гг'!H92</f>
        <v>4598748</v>
      </c>
      <c r="M91" s="267">
        <v>0</v>
      </c>
      <c r="N91" s="267">
        <v>0</v>
      </c>
      <c r="O91" s="368">
        <v>0</v>
      </c>
      <c r="P91" s="368">
        <f t="shared" si="3"/>
        <v>4598748</v>
      </c>
      <c r="Q91" s="267">
        <v>0</v>
      </c>
      <c r="R91" s="267">
        <v>0</v>
      </c>
      <c r="S91" s="267" t="s">
        <v>589</v>
      </c>
      <c r="T91" s="126"/>
      <c r="U91" s="127"/>
    </row>
    <row r="92" spans="1:21" ht="9" customHeight="1">
      <c r="A92" s="366">
        <v>77</v>
      </c>
      <c r="B92" s="200" t="s">
        <v>553</v>
      </c>
      <c r="C92" s="347" t="s">
        <v>1155</v>
      </c>
      <c r="D92" s="201" t="s">
        <v>1154</v>
      </c>
      <c r="E92" s="202">
        <v>1968</v>
      </c>
      <c r="F92" s="203" t="s">
        <v>88</v>
      </c>
      <c r="G92" s="203">
        <v>5</v>
      </c>
      <c r="H92" s="204">
        <v>1</v>
      </c>
      <c r="I92" s="205">
        <v>3852.3</v>
      </c>
      <c r="J92" s="205">
        <v>2555</v>
      </c>
      <c r="K92" s="205">
        <v>10</v>
      </c>
      <c r="L92" s="205">
        <f>'Приложение 2 КСП 2018-2019 гг'!H93</f>
        <v>3690738</v>
      </c>
      <c r="M92" s="267">
        <v>0</v>
      </c>
      <c r="N92" s="267">
        <v>0</v>
      </c>
      <c r="O92" s="368">
        <v>0</v>
      </c>
      <c r="P92" s="368">
        <f t="shared" si="3"/>
        <v>3690738</v>
      </c>
      <c r="Q92" s="267">
        <v>0</v>
      </c>
      <c r="R92" s="267">
        <v>0</v>
      </c>
      <c r="S92" s="267" t="s">
        <v>589</v>
      </c>
      <c r="T92" s="126"/>
      <c r="U92" s="127"/>
    </row>
    <row r="93" spans="1:21" ht="9" customHeight="1">
      <c r="A93" s="366">
        <v>78</v>
      </c>
      <c r="B93" s="200" t="s">
        <v>554</v>
      </c>
      <c r="C93" s="347" t="s">
        <v>1155</v>
      </c>
      <c r="D93" s="201" t="s">
        <v>1154</v>
      </c>
      <c r="E93" s="202">
        <v>1976</v>
      </c>
      <c r="F93" s="203" t="s">
        <v>90</v>
      </c>
      <c r="G93" s="203">
        <v>5</v>
      </c>
      <c r="H93" s="204">
        <v>4</v>
      </c>
      <c r="I93" s="205">
        <v>4195.7</v>
      </c>
      <c r="J93" s="205">
        <v>3905.7</v>
      </c>
      <c r="K93" s="205">
        <v>146</v>
      </c>
      <c r="L93" s="205">
        <f>'Приложение 2 КСП 2018-2019 гг'!H94</f>
        <v>2890578</v>
      </c>
      <c r="M93" s="267">
        <v>0</v>
      </c>
      <c r="N93" s="267">
        <v>0</v>
      </c>
      <c r="O93" s="368">
        <v>0</v>
      </c>
      <c r="P93" s="368">
        <f t="shared" si="3"/>
        <v>2890578</v>
      </c>
      <c r="Q93" s="267">
        <v>0</v>
      </c>
      <c r="R93" s="267">
        <v>0</v>
      </c>
      <c r="S93" s="267" t="s">
        <v>589</v>
      </c>
      <c r="T93" s="126"/>
      <c r="U93" s="127"/>
    </row>
    <row r="94" spans="1:21" ht="9" customHeight="1">
      <c r="A94" s="366">
        <v>79</v>
      </c>
      <c r="B94" s="200" t="s">
        <v>555</v>
      </c>
      <c r="C94" s="347" t="s">
        <v>1155</v>
      </c>
      <c r="D94" s="201" t="s">
        <v>1154</v>
      </c>
      <c r="E94" s="202">
        <v>1971</v>
      </c>
      <c r="F94" s="203" t="s">
        <v>90</v>
      </c>
      <c r="G94" s="203">
        <v>5</v>
      </c>
      <c r="H94" s="204">
        <v>2</v>
      </c>
      <c r="I94" s="205">
        <v>2423.1</v>
      </c>
      <c r="J94" s="205">
        <v>1413.7</v>
      </c>
      <c r="K94" s="205">
        <v>157</v>
      </c>
      <c r="L94" s="205">
        <f>'Приложение 2 КСП 2018-2019 гг'!H95</f>
        <v>2077082</v>
      </c>
      <c r="M94" s="267">
        <v>0</v>
      </c>
      <c r="N94" s="267">
        <v>0</v>
      </c>
      <c r="O94" s="368">
        <v>0</v>
      </c>
      <c r="P94" s="368">
        <f t="shared" si="3"/>
        <v>2077082</v>
      </c>
      <c r="Q94" s="267">
        <v>0</v>
      </c>
      <c r="R94" s="267">
        <v>0</v>
      </c>
      <c r="S94" s="267" t="s">
        <v>589</v>
      </c>
      <c r="T94" s="126"/>
      <c r="U94" s="127"/>
    </row>
    <row r="95" spans="1:21" ht="9" customHeight="1">
      <c r="A95" s="366">
        <v>80</v>
      </c>
      <c r="B95" s="200" t="s">
        <v>556</v>
      </c>
      <c r="C95" s="347" t="s">
        <v>1155</v>
      </c>
      <c r="D95" s="201" t="s">
        <v>1154</v>
      </c>
      <c r="E95" s="202">
        <v>1972</v>
      </c>
      <c r="F95" s="203" t="s">
        <v>88</v>
      </c>
      <c r="G95" s="203">
        <v>5</v>
      </c>
      <c r="H95" s="204">
        <v>8</v>
      </c>
      <c r="I95" s="205">
        <v>6335.34</v>
      </c>
      <c r="J95" s="205">
        <v>5665.74</v>
      </c>
      <c r="K95" s="205">
        <v>236</v>
      </c>
      <c r="L95" s="205">
        <f>'Приложение 2 КСП 2018-2019 гг'!H96</f>
        <v>6001200</v>
      </c>
      <c r="M95" s="267">
        <v>0</v>
      </c>
      <c r="N95" s="267">
        <v>0</v>
      </c>
      <c r="O95" s="368">
        <v>0</v>
      </c>
      <c r="P95" s="368">
        <f t="shared" si="3"/>
        <v>6001200</v>
      </c>
      <c r="Q95" s="267">
        <v>0</v>
      </c>
      <c r="R95" s="267">
        <v>0</v>
      </c>
      <c r="S95" s="267" t="s">
        <v>589</v>
      </c>
      <c r="T95" s="126"/>
      <c r="U95" s="127"/>
    </row>
    <row r="96" spans="1:21" ht="9" customHeight="1">
      <c r="A96" s="366">
        <v>81</v>
      </c>
      <c r="B96" s="200" t="s">
        <v>557</v>
      </c>
      <c r="C96" s="347" t="s">
        <v>1155</v>
      </c>
      <c r="D96" s="201" t="s">
        <v>1154</v>
      </c>
      <c r="E96" s="202">
        <v>1985</v>
      </c>
      <c r="F96" s="203" t="s">
        <v>88</v>
      </c>
      <c r="G96" s="203">
        <v>5</v>
      </c>
      <c r="H96" s="204">
        <v>2</v>
      </c>
      <c r="I96" s="205">
        <v>1609.2</v>
      </c>
      <c r="J96" s="205">
        <v>1494.3</v>
      </c>
      <c r="K96" s="205">
        <v>68</v>
      </c>
      <c r="L96" s="205">
        <f>'Приложение 2 КСП 2018-2019 гг'!H97</f>
        <v>1500300</v>
      </c>
      <c r="M96" s="267">
        <v>0</v>
      </c>
      <c r="N96" s="267">
        <v>0</v>
      </c>
      <c r="O96" s="368">
        <v>0</v>
      </c>
      <c r="P96" s="368">
        <f t="shared" si="3"/>
        <v>1500300</v>
      </c>
      <c r="Q96" s="267">
        <v>0</v>
      </c>
      <c r="R96" s="267">
        <v>0</v>
      </c>
      <c r="S96" s="267" t="s">
        <v>589</v>
      </c>
      <c r="T96" s="126"/>
      <c r="U96" s="127"/>
    </row>
    <row r="97" spans="1:21" ht="9" customHeight="1">
      <c r="A97" s="366">
        <v>82</v>
      </c>
      <c r="B97" s="200" t="s">
        <v>558</v>
      </c>
      <c r="C97" s="347" t="s">
        <v>1155</v>
      </c>
      <c r="D97" s="201" t="s">
        <v>1154</v>
      </c>
      <c r="E97" s="202">
        <v>1972</v>
      </c>
      <c r="F97" s="203" t="s">
        <v>90</v>
      </c>
      <c r="G97" s="203">
        <v>5</v>
      </c>
      <c r="H97" s="204">
        <v>8</v>
      </c>
      <c r="I97" s="205">
        <v>6103.9</v>
      </c>
      <c r="J97" s="205">
        <v>5585.9</v>
      </c>
      <c r="K97" s="205">
        <v>246</v>
      </c>
      <c r="L97" s="205">
        <f>'Приложение 2 КСП 2018-2019 гг'!H98</f>
        <v>5084350</v>
      </c>
      <c r="M97" s="267">
        <v>0</v>
      </c>
      <c r="N97" s="267">
        <v>0</v>
      </c>
      <c r="O97" s="368">
        <v>0</v>
      </c>
      <c r="P97" s="368">
        <f t="shared" si="3"/>
        <v>5084350</v>
      </c>
      <c r="Q97" s="267">
        <v>0</v>
      </c>
      <c r="R97" s="267">
        <v>0</v>
      </c>
      <c r="S97" s="267" t="s">
        <v>589</v>
      </c>
      <c r="T97" s="126"/>
      <c r="U97" s="127"/>
    </row>
    <row r="98" spans="1:21" ht="9" customHeight="1">
      <c r="A98" s="366">
        <v>83</v>
      </c>
      <c r="B98" s="200" t="s">
        <v>559</v>
      </c>
      <c r="C98" s="347" t="s">
        <v>1155</v>
      </c>
      <c r="D98" s="201" t="s">
        <v>1154</v>
      </c>
      <c r="E98" s="202">
        <v>1972</v>
      </c>
      <c r="F98" s="203" t="s">
        <v>90</v>
      </c>
      <c r="G98" s="203">
        <v>5</v>
      </c>
      <c r="H98" s="204">
        <v>8</v>
      </c>
      <c r="I98" s="205">
        <v>5972.3</v>
      </c>
      <c r="J98" s="205">
        <v>5312.7</v>
      </c>
      <c r="K98" s="205">
        <v>239</v>
      </c>
      <c r="L98" s="205">
        <f>'Приложение 2 КСП 2018-2019 гг'!H99</f>
        <v>5961192</v>
      </c>
      <c r="M98" s="267">
        <v>0</v>
      </c>
      <c r="N98" s="267">
        <v>0</v>
      </c>
      <c r="O98" s="368">
        <v>0</v>
      </c>
      <c r="P98" s="368">
        <f t="shared" si="3"/>
        <v>5961192</v>
      </c>
      <c r="Q98" s="267">
        <v>0</v>
      </c>
      <c r="R98" s="267">
        <v>0</v>
      </c>
      <c r="S98" s="267" t="s">
        <v>589</v>
      </c>
      <c r="T98" s="126"/>
      <c r="U98" s="127"/>
    </row>
    <row r="99" spans="1:21" ht="9" customHeight="1">
      <c r="A99" s="366">
        <v>84</v>
      </c>
      <c r="B99" s="200" t="s">
        <v>560</v>
      </c>
      <c r="C99" s="347" t="s">
        <v>1155</v>
      </c>
      <c r="D99" s="201" t="s">
        <v>1154</v>
      </c>
      <c r="E99" s="202">
        <v>1959</v>
      </c>
      <c r="F99" s="203" t="s">
        <v>88</v>
      </c>
      <c r="G99" s="203">
        <v>4</v>
      </c>
      <c r="H99" s="204">
        <v>3</v>
      </c>
      <c r="I99" s="205">
        <v>2176.9</v>
      </c>
      <c r="J99" s="205">
        <v>1983.3</v>
      </c>
      <c r="K99" s="205">
        <v>76</v>
      </c>
      <c r="L99" s="205">
        <f>'Приложение 2 КСП 2018-2019 гг'!H100</f>
        <v>2891196</v>
      </c>
      <c r="M99" s="267">
        <v>0</v>
      </c>
      <c r="N99" s="267">
        <v>0</v>
      </c>
      <c r="O99" s="368">
        <v>0</v>
      </c>
      <c r="P99" s="368">
        <f t="shared" si="3"/>
        <v>2891196</v>
      </c>
      <c r="Q99" s="267">
        <v>0</v>
      </c>
      <c r="R99" s="267">
        <v>0</v>
      </c>
      <c r="S99" s="267" t="s">
        <v>589</v>
      </c>
      <c r="T99" s="126"/>
      <c r="U99" s="127"/>
    </row>
    <row r="100" spans="1:21" ht="9" customHeight="1">
      <c r="A100" s="366">
        <v>85</v>
      </c>
      <c r="B100" s="200" t="s">
        <v>561</v>
      </c>
      <c r="C100" s="347" t="s">
        <v>1156</v>
      </c>
      <c r="D100" s="201" t="s">
        <v>1154</v>
      </c>
      <c r="E100" s="202">
        <v>1959</v>
      </c>
      <c r="F100" s="203" t="s">
        <v>88</v>
      </c>
      <c r="G100" s="203">
        <v>4</v>
      </c>
      <c r="H100" s="204">
        <v>6</v>
      </c>
      <c r="I100" s="205">
        <v>7390.3</v>
      </c>
      <c r="J100" s="205">
        <v>6737.3</v>
      </c>
      <c r="K100" s="205">
        <v>171</v>
      </c>
      <c r="L100" s="205">
        <f>'Приложение 2 КСП 2018-2019 гг'!H101</f>
        <v>21150360</v>
      </c>
      <c r="M100" s="267">
        <v>0</v>
      </c>
      <c r="N100" s="267">
        <v>0</v>
      </c>
      <c r="O100" s="368">
        <v>0</v>
      </c>
      <c r="P100" s="368">
        <f t="shared" si="3"/>
        <v>21150360</v>
      </c>
      <c r="Q100" s="267">
        <v>0</v>
      </c>
      <c r="R100" s="267">
        <v>0</v>
      </c>
      <c r="S100" s="267" t="s">
        <v>589</v>
      </c>
      <c r="T100" s="126"/>
      <c r="U100" s="127"/>
    </row>
    <row r="101" spans="1:21" ht="9" customHeight="1">
      <c r="A101" s="366">
        <v>86</v>
      </c>
      <c r="B101" s="200" t="s">
        <v>562</v>
      </c>
      <c r="C101" s="347" t="s">
        <v>1155</v>
      </c>
      <c r="D101" s="201" t="s">
        <v>1154</v>
      </c>
      <c r="E101" s="202">
        <v>1965</v>
      </c>
      <c r="F101" s="203" t="s">
        <v>88</v>
      </c>
      <c r="G101" s="203">
        <v>5</v>
      </c>
      <c r="H101" s="204">
        <v>4</v>
      </c>
      <c r="I101" s="205">
        <v>3418.3</v>
      </c>
      <c r="J101" s="205">
        <v>3090.2</v>
      </c>
      <c r="K101" s="205">
        <v>20</v>
      </c>
      <c r="L101" s="205">
        <f>'Приложение 2 КСП 2018-2019 гг'!H102</f>
        <v>3000600</v>
      </c>
      <c r="M101" s="267">
        <v>0</v>
      </c>
      <c r="N101" s="267">
        <v>0</v>
      </c>
      <c r="O101" s="368">
        <v>0</v>
      </c>
      <c r="P101" s="368">
        <f t="shared" si="3"/>
        <v>3000600</v>
      </c>
      <c r="Q101" s="267">
        <v>0</v>
      </c>
      <c r="R101" s="267">
        <v>0</v>
      </c>
      <c r="S101" s="267" t="s">
        <v>589</v>
      </c>
      <c r="T101" s="126"/>
      <c r="U101" s="127"/>
    </row>
    <row r="102" spans="1:21" ht="9" customHeight="1">
      <c r="A102" s="366">
        <v>87</v>
      </c>
      <c r="B102" s="200" t="s">
        <v>563</v>
      </c>
      <c r="C102" s="347" t="s">
        <v>1155</v>
      </c>
      <c r="D102" s="201" t="s">
        <v>1154</v>
      </c>
      <c r="E102" s="202">
        <v>1981</v>
      </c>
      <c r="F102" s="203" t="s">
        <v>90</v>
      </c>
      <c r="G102" s="203">
        <v>5</v>
      </c>
      <c r="H102" s="204">
        <v>8</v>
      </c>
      <c r="I102" s="205">
        <v>6303.1</v>
      </c>
      <c r="J102" s="205">
        <v>5550.1</v>
      </c>
      <c r="K102" s="205">
        <v>82</v>
      </c>
      <c r="L102" s="205">
        <f>'Приложение 2 КСП 2018-2019 гг'!H103</f>
        <v>2080416</v>
      </c>
      <c r="M102" s="267">
        <v>0</v>
      </c>
      <c r="N102" s="267">
        <v>0</v>
      </c>
      <c r="O102" s="368">
        <v>0</v>
      </c>
      <c r="P102" s="368">
        <f t="shared" si="3"/>
        <v>2080416</v>
      </c>
      <c r="Q102" s="267">
        <v>0</v>
      </c>
      <c r="R102" s="267">
        <v>0</v>
      </c>
      <c r="S102" s="267" t="s">
        <v>589</v>
      </c>
      <c r="T102" s="126"/>
      <c r="U102" s="127"/>
    </row>
    <row r="103" spans="1:21" ht="9" customHeight="1">
      <c r="A103" s="366">
        <v>88</v>
      </c>
      <c r="B103" s="200" t="s">
        <v>564</v>
      </c>
      <c r="C103" s="347" t="s">
        <v>1155</v>
      </c>
      <c r="D103" s="201" t="s">
        <v>1154</v>
      </c>
      <c r="E103" s="202">
        <v>1980</v>
      </c>
      <c r="F103" s="203" t="s">
        <v>90</v>
      </c>
      <c r="G103" s="203">
        <v>5</v>
      </c>
      <c r="H103" s="204">
        <v>5</v>
      </c>
      <c r="I103" s="205">
        <v>4044.3</v>
      </c>
      <c r="J103" s="205">
        <v>3647.4</v>
      </c>
      <c r="K103" s="205">
        <v>96</v>
      </c>
      <c r="L103" s="205">
        <f>'Приложение 2 КСП 2018-2019 гг'!H104</f>
        <v>3323998</v>
      </c>
      <c r="M103" s="267">
        <v>0</v>
      </c>
      <c r="N103" s="267">
        <v>0</v>
      </c>
      <c r="O103" s="368">
        <v>0</v>
      </c>
      <c r="P103" s="368">
        <f t="shared" si="3"/>
        <v>3323998</v>
      </c>
      <c r="Q103" s="267">
        <v>0</v>
      </c>
      <c r="R103" s="267">
        <v>0</v>
      </c>
      <c r="S103" s="267" t="s">
        <v>589</v>
      </c>
      <c r="T103" s="126"/>
      <c r="U103" s="127"/>
    </row>
    <row r="104" spans="1:21" ht="9" customHeight="1">
      <c r="A104" s="366">
        <v>89</v>
      </c>
      <c r="B104" s="200" t="s">
        <v>565</v>
      </c>
      <c r="C104" s="347" t="s">
        <v>1155</v>
      </c>
      <c r="D104" s="201" t="s">
        <v>1154</v>
      </c>
      <c r="E104" s="202">
        <v>1984</v>
      </c>
      <c r="F104" s="203" t="s">
        <v>90</v>
      </c>
      <c r="G104" s="203">
        <v>5</v>
      </c>
      <c r="H104" s="204">
        <v>10</v>
      </c>
      <c r="I104" s="205">
        <v>8455.9</v>
      </c>
      <c r="J104" s="205">
        <v>7184.9</v>
      </c>
      <c r="K104" s="205">
        <v>102</v>
      </c>
      <c r="L104" s="205">
        <f>'Приложение 2 КСП 2018-2019 гг'!H105</f>
        <v>7068080</v>
      </c>
      <c r="M104" s="267">
        <v>0</v>
      </c>
      <c r="N104" s="267">
        <v>0</v>
      </c>
      <c r="O104" s="368">
        <v>0</v>
      </c>
      <c r="P104" s="368">
        <f t="shared" si="3"/>
        <v>7068080</v>
      </c>
      <c r="Q104" s="267">
        <v>0</v>
      </c>
      <c r="R104" s="267">
        <v>0</v>
      </c>
      <c r="S104" s="267" t="s">
        <v>589</v>
      </c>
      <c r="T104" s="126"/>
      <c r="U104" s="127"/>
    </row>
    <row r="105" spans="1:21" ht="9" customHeight="1">
      <c r="A105" s="366">
        <v>90</v>
      </c>
      <c r="B105" s="200" t="s">
        <v>566</v>
      </c>
      <c r="C105" s="347" t="s">
        <v>1155</v>
      </c>
      <c r="D105" s="201" t="s">
        <v>1154</v>
      </c>
      <c r="E105" s="202">
        <v>1983</v>
      </c>
      <c r="F105" s="203" t="s">
        <v>90</v>
      </c>
      <c r="G105" s="203">
        <v>5</v>
      </c>
      <c r="H105" s="204">
        <v>5</v>
      </c>
      <c r="I105" s="205">
        <v>3934.9</v>
      </c>
      <c r="J105" s="205">
        <v>3562.4</v>
      </c>
      <c r="K105" s="205">
        <v>183</v>
      </c>
      <c r="L105" s="205">
        <f>'Приложение 2 КСП 2018-2019 гг'!H106</f>
        <v>4247516</v>
      </c>
      <c r="M105" s="267">
        <v>0</v>
      </c>
      <c r="N105" s="267">
        <v>0</v>
      </c>
      <c r="O105" s="368">
        <v>0</v>
      </c>
      <c r="P105" s="368">
        <f t="shared" si="3"/>
        <v>4247516</v>
      </c>
      <c r="Q105" s="267">
        <v>0</v>
      </c>
      <c r="R105" s="267">
        <v>0</v>
      </c>
      <c r="S105" s="267" t="s">
        <v>589</v>
      </c>
      <c r="T105" s="126"/>
      <c r="U105" s="127"/>
    </row>
    <row r="106" spans="1:21" ht="9" customHeight="1">
      <c r="A106" s="366">
        <v>91</v>
      </c>
      <c r="B106" s="200" t="s">
        <v>567</v>
      </c>
      <c r="C106" s="347" t="s">
        <v>1155</v>
      </c>
      <c r="D106" s="201" t="s">
        <v>1154</v>
      </c>
      <c r="E106" s="202">
        <v>1977</v>
      </c>
      <c r="F106" s="203" t="s">
        <v>90</v>
      </c>
      <c r="G106" s="203">
        <v>5</v>
      </c>
      <c r="H106" s="204">
        <v>4</v>
      </c>
      <c r="I106" s="205">
        <v>3684.9</v>
      </c>
      <c r="J106" s="205">
        <v>3043.3</v>
      </c>
      <c r="K106" s="205">
        <v>19</v>
      </c>
      <c r="L106" s="205">
        <f>'Приложение 2 КСП 2018-2019 гг'!H107</f>
        <v>3040608</v>
      </c>
      <c r="M106" s="267">
        <v>0</v>
      </c>
      <c r="N106" s="267">
        <v>0</v>
      </c>
      <c r="O106" s="368">
        <v>0</v>
      </c>
      <c r="P106" s="368">
        <f t="shared" si="3"/>
        <v>3040608</v>
      </c>
      <c r="Q106" s="267">
        <v>0</v>
      </c>
      <c r="R106" s="267">
        <v>0</v>
      </c>
      <c r="S106" s="267" t="s">
        <v>589</v>
      </c>
      <c r="T106" s="126"/>
      <c r="U106" s="127"/>
    </row>
    <row r="107" spans="1:21" ht="9" customHeight="1">
      <c r="A107" s="366">
        <v>92</v>
      </c>
      <c r="B107" s="200" t="s">
        <v>568</v>
      </c>
      <c r="C107" s="347" t="s">
        <v>1155</v>
      </c>
      <c r="D107" s="201" t="s">
        <v>1154</v>
      </c>
      <c r="E107" s="202">
        <v>1978</v>
      </c>
      <c r="F107" s="203" t="s">
        <v>90</v>
      </c>
      <c r="G107" s="203">
        <v>5</v>
      </c>
      <c r="H107" s="204">
        <v>4</v>
      </c>
      <c r="I107" s="205">
        <v>3610.8</v>
      </c>
      <c r="J107" s="205">
        <v>3239.8</v>
      </c>
      <c r="K107" s="205">
        <v>163</v>
      </c>
      <c r="L107" s="205">
        <f>'Приложение 2 КСП 2018-2019 гг'!H108</f>
        <v>3073948</v>
      </c>
      <c r="M107" s="267">
        <v>0</v>
      </c>
      <c r="N107" s="267">
        <v>0</v>
      </c>
      <c r="O107" s="368">
        <v>0</v>
      </c>
      <c r="P107" s="368">
        <f t="shared" si="3"/>
        <v>3073948</v>
      </c>
      <c r="Q107" s="267">
        <v>0</v>
      </c>
      <c r="R107" s="267">
        <v>0</v>
      </c>
      <c r="S107" s="267" t="s">
        <v>589</v>
      </c>
      <c r="T107" s="126"/>
      <c r="U107" s="127"/>
    </row>
    <row r="108" spans="1:21" ht="9" customHeight="1">
      <c r="A108" s="366">
        <v>93</v>
      </c>
      <c r="B108" s="200" t="s">
        <v>569</v>
      </c>
      <c r="C108" s="347" t="s">
        <v>1155</v>
      </c>
      <c r="D108" s="201" t="s">
        <v>1154</v>
      </c>
      <c r="E108" s="202">
        <v>1964</v>
      </c>
      <c r="F108" s="203" t="s">
        <v>88</v>
      </c>
      <c r="G108" s="203">
        <v>4</v>
      </c>
      <c r="H108" s="204">
        <v>2</v>
      </c>
      <c r="I108" s="205">
        <v>1399.76</v>
      </c>
      <c r="J108" s="205">
        <v>1307.76</v>
      </c>
      <c r="K108" s="205">
        <v>37</v>
      </c>
      <c r="L108" s="205">
        <f>'Приложение 2 КСП 2018-2019 гг'!H109</f>
        <v>3434125.4499999997</v>
      </c>
      <c r="M108" s="267">
        <v>0</v>
      </c>
      <c r="N108" s="267">
        <v>0</v>
      </c>
      <c r="O108" s="368">
        <v>0</v>
      </c>
      <c r="P108" s="368">
        <f t="shared" si="3"/>
        <v>3434125.4499999997</v>
      </c>
      <c r="Q108" s="267">
        <v>0</v>
      </c>
      <c r="R108" s="267">
        <v>0</v>
      </c>
      <c r="S108" s="267" t="s">
        <v>589</v>
      </c>
      <c r="T108" s="126"/>
      <c r="U108" s="127"/>
    </row>
    <row r="109" spans="1:21" ht="9" customHeight="1">
      <c r="A109" s="366">
        <v>94</v>
      </c>
      <c r="B109" s="200" t="s">
        <v>570</v>
      </c>
      <c r="C109" s="347" t="s">
        <v>1155</v>
      </c>
      <c r="D109" s="201" t="s">
        <v>1154</v>
      </c>
      <c r="E109" s="202">
        <v>1980</v>
      </c>
      <c r="F109" s="203" t="s">
        <v>90</v>
      </c>
      <c r="G109" s="203">
        <v>5</v>
      </c>
      <c r="H109" s="204">
        <v>4</v>
      </c>
      <c r="I109" s="205">
        <v>3173.4</v>
      </c>
      <c r="J109" s="205">
        <v>2918</v>
      </c>
      <c r="K109" s="205">
        <v>31</v>
      </c>
      <c r="L109" s="205">
        <f>'Приложение 2 КСП 2018-2019 гг'!H110</f>
        <v>2697206</v>
      </c>
      <c r="M109" s="267">
        <v>0</v>
      </c>
      <c r="N109" s="267">
        <v>0</v>
      </c>
      <c r="O109" s="368">
        <v>0</v>
      </c>
      <c r="P109" s="368">
        <f t="shared" si="3"/>
        <v>2697206</v>
      </c>
      <c r="Q109" s="267">
        <v>0</v>
      </c>
      <c r="R109" s="267">
        <v>0</v>
      </c>
      <c r="S109" s="267" t="s">
        <v>589</v>
      </c>
      <c r="T109" s="126"/>
      <c r="U109" s="127"/>
    </row>
    <row r="110" spans="1:21" ht="9" customHeight="1">
      <c r="A110" s="366">
        <v>95</v>
      </c>
      <c r="B110" s="200" t="s">
        <v>571</v>
      </c>
      <c r="C110" s="347" t="s">
        <v>1155</v>
      </c>
      <c r="D110" s="201" t="s">
        <v>1154</v>
      </c>
      <c r="E110" s="202">
        <v>1962</v>
      </c>
      <c r="F110" s="203" t="s">
        <v>88</v>
      </c>
      <c r="G110" s="203">
        <v>5</v>
      </c>
      <c r="H110" s="204">
        <v>3</v>
      </c>
      <c r="I110" s="205">
        <v>2708</v>
      </c>
      <c r="J110" s="205">
        <v>2457.8000000000002</v>
      </c>
      <c r="K110" s="205">
        <v>113</v>
      </c>
      <c r="L110" s="205">
        <f>'Приложение 2 КСП 2018-2019 гг'!H111</f>
        <v>2813580</v>
      </c>
      <c r="M110" s="267">
        <v>0</v>
      </c>
      <c r="N110" s="267">
        <v>0</v>
      </c>
      <c r="O110" s="368">
        <v>0</v>
      </c>
      <c r="P110" s="368">
        <f t="shared" si="3"/>
        <v>2813580</v>
      </c>
      <c r="Q110" s="267">
        <v>0</v>
      </c>
      <c r="R110" s="267">
        <v>0</v>
      </c>
      <c r="S110" s="267" t="s">
        <v>589</v>
      </c>
      <c r="T110" s="126"/>
      <c r="U110" s="127"/>
    </row>
    <row r="111" spans="1:21" ht="9" customHeight="1">
      <c r="A111" s="366">
        <v>96</v>
      </c>
      <c r="B111" s="200" t="s">
        <v>572</v>
      </c>
      <c r="C111" s="347" t="s">
        <v>1155</v>
      </c>
      <c r="D111" s="201" t="s">
        <v>1154</v>
      </c>
      <c r="E111" s="202">
        <v>1967</v>
      </c>
      <c r="F111" s="203" t="s">
        <v>88</v>
      </c>
      <c r="G111" s="203">
        <v>5</v>
      </c>
      <c r="H111" s="204">
        <v>4</v>
      </c>
      <c r="I111" s="205">
        <v>3420</v>
      </c>
      <c r="J111" s="205">
        <v>3033.4</v>
      </c>
      <c r="K111" s="205">
        <v>161</v>
      </c>
      <c r="L111" s="205">
        <f>'Приложение 2 КСП 2018-2019 гг'!H112</f>
        <v>3719100</v>
      </c>
      <c r="M111" s="267">
        <v>0</v>
      </c>
      <c r="N111" s="267">
        <v>0</v>
      </c>
      <c r="O111" s="368">
        <v>0</v>
      </c>
      <c r="P111" s="368">
        <f t="shared" si="3"/>
        <v>3719100</v>
      </c>
      <c r="Q111" s="267">
        <v>0</v>
      </c>
      <c r="R111" s="267">
        <v>0</v>
      </c>
      <c r="S111" s="267" t="s">
        <v>589</v>
      </c>
      <c r="T111" s="126"/>
      <c r="U111" s="127"/>
    </row>
    <row r="112" spans="1:21" ht="9" customHeight="1">
      <c r="A112" s="366">
        <v>97</v>
      </c>
      <c r="B112" s="200" t="s">
        <v>573</v>
      </c>
      <c r="C112" s="347" t="s">
        <v>1155</v>
      </c>
      <c r="D112" s="201" t="s">
        <v>1154</v>
      </c>
      <c r="E112" s="202">
        <v>1977</v>
      </c>
      <c r="F112" s="203" t="s">
        <v>88</v>
      </c>
      <c r="G112" s="203">
        <v>5</v>
      </c>
      <c r="H112" s="204">
        <v>1</v>
      </c>
      <c r="I112" s="205">
        <v>5391.3</v>
      </c>
      <c r="J112" s="205">
        <v>2174.4</v>
      </c>
      <c r="K112" s="205">
        <v>261</v>
      </c>
      <c r="L112" s="205">
        <f>'Приложение 2 КСП 2018-2019 гг'!H113</f>
        <v>3844102</v>
      </c>
      <c r="M112" s="267">
        <v>0</v>
      </c>
      <c r="N112" s="267">
        <v>0</v>
      </c>
      <c r="O112" s="368">
        <v>0</v>
      </c>
      <c r="P112" s="368">
        <f t="shared" si="3"/>
        <v>3844102</v>
      </c>
      <c r="Q112" s="267">
        <v>0</v>
      </c>
      <c r="R112" s="267">
        <v>0</v>
      </c>
      <c r="S112" s="267" t="s">
        <v>589</v>
      </c>
      <c r="T112" s="126"/>
      <c r="U112" s="127"/>
    </row>
    <row r="113" spans="1:21" ht="9" customHeight="1">
      <c r="A113" s="366">
        <v>98</v>
      </c>
      <c r="B113" s="200" t="s">
        <v>574</v>
      </c>
      <c r="C113" s="347" t="s">
        <v>1155</v>
      </c>
      <c r="D113" s="201" t="s">
        <v>1154</v>
      </c>
      <c r="E113" s="202">
        <v>1971</v>
      </c>
      <c r="F113" s="203" t="s">
        <v>90</v>
      </c>
      <c r="G113" s="203">
        <v>5</v>
      </c>
      <c r="H113" s="204">
        <v>6</v>
      </c>
      <c r="I113" s="205">
        <v>6272.1</v>
      </c>
      <c r="J113" s="205">
        <v>5672.1</v>
      </c>
      <c r="K113" s="205">
        <v>27</v>
      </c>
      <c r="L113" s="205">
        <f>'Приложение 2 КСП 2018-2019 гг'!H114</f>
        <v>5764486</v>
      </c>
      <c r="M113" s="267">
        <v>0</v>
      </c>
      <c r="N113" s="267">
        <v>0</v>
      </c>
      <c r="O113" s="368">
        <v>0</v>
      </c>
      <c r="P113" s="368">
        <f t="shared" si="3"/>
        <v>5764486</v>
      </c>
      <c r="Q113" s="267">
        <v>0</v>
      </c>
      <c r="R113" s="267">
        <v>0</v>
      </c>
      <c r="S113" s="267" t="s">
        <v>589</v>
      </c>
      <c r="T113" s="126"/>
      <c r="U113" s="127"/>
    </row>
    <row r="114" spans="1:21" ht="9" customHeight="1">
      <c r="A114" s="366">
        <v>99</v>
      </c>
      <c r="B114" s="200" t="s">
        <v>575</v>
      </c>
      <c r="C114" s="347" t="s">
        <v>1155</v>
      </c>
      <c r="D114" s="201" t="s">
        <v>1154</v>
      </c>
      <c r="E114" s="202">
        <v>1974</v>
      </c>
      <c r="F114" s="203" t="s">
        <v>90</v>
      </c>
      <c r="G114" s="203">
        <v>5</v>
      </c>
      <c r="H114" s="204">
        <v>8</v>
      </c>
      <c r="I114" s="205">
        <v>6099.5</v>
      </c>
      <c r="J114" s="205">
        <v>5603.5</v>
      </c>
      <c r="K114" s="205">
        <v>41</v>
      </c>
      <c r="L114" s="205">
        <f>'Приложение 2 КСП 2018-2019 гг'!H115</f>
        <v>5157698</v>
      </c>
      <c r="M114" s="267">
        <v>0</v>
      </c>
      <c r="N114" s="267">
        <v>0</v>
      </c>
      <c r="O114" s="368">
        <v>0</v>
      </c>
      <c r="P114" s="368">
        <f t="shared" si="3"/>
        <v>5157698</v>
      </c>
      <c r="Q114" s="267">
        <v>0</v>
      </c>
      <c r="R114" s="267">
        <v>0</v>
      </c>
      <c r="S114" s="267" t="s">
        <v>589</v>
      </c>
      <c r="T114" s="126"/>
      <c r="U114" s="127"/>
    </row>
    <row r="115" spans="1:21" ht="9" customHeight="1">
      <c r="A115" s="366">
        <v>100</v>
      </c>
      <c r="B115" s="200" t="s">
        <v>576</v>
      </c>
      <c r="C115" s="347" t="s">
        <v>1155</v>
      </c>
      <c r="D115" s="201" t="s">
        <v>1154</v>
      </c>
      <c r="E115" s="202">
        <v>1975</v>
      </c>
      <c r="F115" s="203" t="s">
        <v>90</v>
      </c>
      <c r="G115" s="203">
        <v>5</v>
      </c>
      <c r="H115" s="204">
        <v>8</v>
      </c>
      <c r="I115" s="205">
        <v>5968.3</v>
      </c>
      <c r="J115" s="205">
        <v>5464.8</v>
      </c>
      <c r="K115" s="205">
        <v>29</v>
      </c>
      <c r="L115" s="205">
        <f>'Приложение 2 КСП 2018-2019 гг'!H116</f>
        <v>5104354</v>
      </c>
      <c r="M115" s="267">
        <v>0</v>
      </c>
      <c r="N115" s="267">
        <v>0</v>
      </c>
      <c r="O115" s="368">
        <v>0</v>
      </c>
      <c r="P115" s="368">
        <f t="shared" si="3"/>
        <v>5104354</v>
      </c>
      <c r="Q115" s="267">
        <v>0</v>
      </c>
      <c r="R115" s="267">
        <v>0</v>
      </c>
      <c r="S115" s="267" t="s">
        <v>589</v>
      </c>
      <c r="T115" s="126"/>
      <c r="U115" s="127"/>
    </row>
    <row r="116" spans="1:21" ht="9" customHeight="1">
      <c r="A116" s="366">
        <v>101</v>
      </c>
      <c r="B116" s="200" t="s">
        <v>577</v>
      </c>
      <c r="C116" s="347" t="s">
        <v>1155</v>
      </c>
      <c r="D116" s="201" t="s">
        <v>1154</v>
      </c>
      <c r="E116" s="202">
        <v>1977</v>
      </c>
      <c r="F116" s="203" t="s">
        <v>88</v>
      </c>
      <c r="G116" s="203">
        <v>9</v>
      </c>
      <c r="H116" s="204">
        <v>1</v>
      </c>
      <c r="I116" s="205">
        <v>2143.6999999999998</v>
      </c>
      <c r="J116" s="205">
        <v>2024.9</v>
      </c>
      <c r="K116" s="205">
        <v>32</v>
      </c>
      <c r="L116" s="205">
        <f>'Приложение 2 КСП 2018-2019 гг'!H117</f>
        <v>1220244</v>
      </c>
      <c r="M116" s="267">
        <v>0</v>
      </c>
      <c r="N116" s="267">
        <v>0</v>
      </c>
      <c r="O116" s="368">
        <v>0</v>
      </c>
      <c r="P116" s="368">
        <f t="shared" si="3"/>
        <v>1220244</v>
      </c>
      <c r="Q116" s="267">
        <v>0</v>
      </c>
      <c r="R116" s="267">
        <v>0</v>
      </c>
      <c r="S116" s="267" t="s">
        <v>589</v>
      </c>
      <c r="T116" s="126"/>
      <c r="U116" s="127"/>
    </row>
    <row r="117" spans="1:21" ht="9" customHeight="1">
      <c r="A117" s="366">
        <v>102</v>
      </c>
      <c r="B117" s="200" t="s">
        <v>578</v>
      </c>
      <c r="C117" s="347" t="s">
        <v>1155</v>
      </c>
      <c r="D117" s="201" t="s">
        <v>1154</v>
      </c>
      <c r="E117" s="202">
        <v>1979</v>
      </c>
      <c r="F117" s="203" t="s">
        <v>88</v>
      </c>
      <c r="G117" s="203">
        <v>5</v>
      </c>
      <c r="H117" s="204">
        <v>14</v>
      </c>
      <c r="I117" s="205">
        <v>11645.3</v>
      </c>
      <c r="J117" s="205">
        <v>10031.799999999999</v>
      </c>
      <c r="K117" s="205">
        <v>23</v>
      </c>
      <c r="L117" s="205">
        <f>'Приложение 2 КСП 2018-2019 гг'!H118</f>
        <v>10129025.4</v>
      </c>
      <c r="M117" s="267">
        <v>0</v>
      </c>
      <c r="N117" s="267">
        <v>0</v>
      </c>
      <c r="O117" s="368">
        <v>0</v>
      </c>
      <c r="P117" s="368">
        <f t="shared" si="3"/>
        <v>10129025.4</v>
      </c>
      <c r="Q117" s="267">
        <v>0</v>
      </c>
      <c r="R117" s="267">
        <v>0</v>
      </c>
      <c r="S117" s="267" t="s">
        <v>589</v>
      </c>
      <c r="T117" s="126"/>
      <c r="U117" s="127"/>
    </row>
    <row r="118" spans="1:21" ht="9" customHeight="1">
      <c r="A118" s="366">
        <v>103</v>
      </c>
      <c r="B118" s="200" t="s">
        <v>579</v>
      </c>
      <c r="C118" s="347" t="s">
        <v>1155</v>
      </c>
      <c r="D118" s="201" t="s">
        <v>1154</v>
      </c>
      <c r="E118" s="202">
        <v>1975</v>
      </c>
      <c r="F118" s="203" t="s">
        <v>90</v>
      </c>
      <c r="G118" s="203">
        <v>5</v>
      </c>
      <c r="H118" s="204">
        <v>8</v>
      </c>
      <c r="I118" s="205">
        <v>6030.6</v>
      </c>
      <c r="J118" s="205">
        <v>5535.1</v>
      </c>
      <c r="K118" s="205">
        <v>20</v>
      </c>
      <c r="L118" s="205">
        <f>'Приложение 2 КСП 2018-2019 гг'!H119</f>
        <v>5144362</v>
      </c>
      <c r="M118" s="267">
        <v>0</v>
      </c>
      <c r="N118" s="267">
        <v>0</v>
      </c>
      <c r="O118" s="368">
        <v>0</v>
      </c>
      <c r="P118" s="368">
        <f t="shared" si="3"/>
        <v>5144362</v>
      </c>
      <c r="Q118" s="267">
        <v>0</v>
      </c>
      <c r="R118" s="267">
        <v>0</v>
      </c>
      <c r="S118" s="267" t="s">
        <v>589</v>
      </c>
      <c r="T118" s="126"/>
      <c r="U118" s="127"/>
    </row>
    <row r="119" spans="1:21" ht="9" customHeight="1">
      <c r="A119" s="366">
        <v>104</v>
      </c>
      <c r="B119" s="200" t="s">
        <v>580</v>
      </c>
      <c r="C119" s="347" t="s">
        <v>1155</v>
      </c>
      <c r="D119" s="201" t="s">
        <v>1154</v>
      </c>
      <c r="E119" s="202">
        <v>1976</v>
      </c>
      <c r="F119" s="203" t="s">
        <v>90</v>
      </c>
      <c r="G119" s="203">
        <v>5</v>
      </c>
      <c r="H119" s="204">
        <v>4</v>
      </c>
      <c r="I119" s="205">
        <v>3633.3</v>
      </c>
      <c r="J119" s="205">
        <v>3217.9</v>
      </c>
      <c r="K119" s="205">
        <v>23</v>
      </c>
      <c r="L119" s="205">
        <f>'Приложение 2 КСП 2018-2019 гг'!H120</f>
        <v>3090618</v>
      </c>
      <c r="M119" s="267">
        <v>0</v>
      </c>
      <c r="N119" s="267">
        <v>0</v>
      </c>
      <c r="O119" s="368">
        <v>0</v>
      </c>
      <c r="P119" s="368">
        <f t="shared" si="3"/>
        <v>3090618</v>
      </c>
      <c r="Q119" s="267">
        <v>0</v>
      </c>
      <c r="R119" s="267">
        <v>0</v>
      </c>
      <c r="S119" s="267" t="s">
        <v>589</v>
      </c>
      <c r="T119" s="126"/>
      <c r="U119" s="127"/>
    </row>
    <row r="120" spans="1:21" ht="9" customHeight="1">
      <c r="A120" s="366">
        <v>105</v>
      </c>
      <c r="B120" s="200" t="s">
        <v>581</v>
      </c>
      <c r="C120" s="347" t="s">
        <v>1155</v>
      </c>
      <c r="D120" s="201" t="s">
        <v>1154</v>
      </c>
      <c r="E120" s="202">
        <v>1981</v>
      </c>
      <c r="F120" s="203" t="s">
        <v>90</v>
      </c>
      <c r="G120" s="203">
        <v>5</v>
      </c>
      <c r="H120" s="204">
        <v>8</v>
      </c>
      <c r="I120" s="205">
        <v>6870.9</v>
      </c>
      <c r="J120" s="205">
        <v>5718.1</v>
      </c>
      <c r="K120" s="205">
        <v>107</v>
      </c>
      <c r="L120" s="205">
        <f>'Приложение 2 КСП 2018-2019 гг'!H121</f>
        <v>4884310</v>
      </c>
      <c r="M120" s="267">
        <v>0</v>
      </c>
      <c r="N120" s="267">
        <v>0</v>
      </c>
      <c r="O120" s="368">
        <v>0</v>
      </c>
      <c r="P120" s="368">
        <f t="shared" si="3"/>
        <v>4884310</v>
      </c>
      <c r="Q120" s="267">
        <v>0</v>
      </c>
      <c r="R120" s="267">
        <v>0</v>
      </c>
      <c r="S120" s="267" t="s">
        <v>589</v>
      </c>
      <c r="T120" s="126"/>
      <c r="U120" s="127"/>
    </row>
    <row r="121" spans="1:21" ht="9" customHeight="1">
      <c r="A121" s="366">
        <v>106</v>
      </c>
      <c r="B121" s="200" t="s">
        <v>582</v>
      </c>
      <c r="C121" s="347" t="s">
        <v>1156</v>
      </c>
      <c r="D121" s="201" t="s">
        <v>1154</v>
      </c>
      <c r="E121" s="202">
        <v>1912</v>
      </c>
      <c r="F121" s="203" t="s">
        <v>88</v>
      </c>
      <c r="G121" s="203">
        <v>1</v>
      </c>
      <c r="H121" s="204">
        <v>3</v>
      </c>
      <c r="I121" s="205">
        <v>840</v>
      </c>
      <c r="J121" s="205">
        <v>811.3</v>
      </c>
      <c r="K121" s="205">
        <v>37</v>
      </c>
      <c r="L121" s="205">
        <f>'Приложение 2 КСП 2018-2019 гг'!H122</f>
        <v>1502687.34</v>
      </c>
      <c r="M121" s="267">
        <v>0</v>
      </c>
      <c r="N121" s="267">
        <v>0</v>
      </c>
      <c r="O121" s="368">
        <v>0</v>
      </c>
      <c r="P121" s="368">
        <f t="shared" si="3"/>
        <v>1502687.34</v>
      </c>
      <c r="Q121" s="267">
        <v>0</v>
      </c>
      <c r="R121" s="267">
        <v>0</v>
      </c>
      <c r="S121" s="267" t="s">
        <v>589</v>
      </c>
      <c r="T121" s="126"/>
      <c r="U121" s="127"/>
    </row>
    <row r="122" spans="1:21" ht="9" customHeight="1">
      <c r="A122" s="366">
        <v>107</v>
      </c>
      <c r="B122" s="200" t="s">
        <v>583</v>
      </c>
      <c r="C122" s="347" t="s">
        <v>1155</v>
      </c>
      <c r="D122" s="201" t="s">
        <v>1154</v>
      </c>
      <c r="E122" s="202">
        <v>1985</v>
      </c>
      <c r="F122" s="203" t="s">
        <v>88</v>
      </c>
      <c r="G122" s="203">
        <v>5</v>
      </c>
      <c r="H122" s="204">
        <v>3</v>
      </c>
      <c r="I122" s="205">
        <v>2841.7</v>
      </c>
      <c r="J122" s="205">
        <v>2638.9</v>
      </c>
      <c r="K122" s="205">
        <v>79</v>
      </c>
      <c r="L122" s="205">
        <f>'Приложение 2 КСП 2018-2019 гг'!H123</f>
        <v>2513836</v>
      </c>
      <c r="M122" s="267">
        <v>0</v>
      </c>
      <c r="N122" s="267">
        <v>0</v>
      </c>
      <c r="O122" s="368">
        <v>0</v>
      </c>
      <c r="P122" s="368">
        <f t="shared" si="3"/>
        <v>2513836</v>
      </c>
      <c r="Q122" s="267">
        <v>0</v>
      </c>
      <c r="R122" s="267">
        <v>0</v>
      </c>
      <c r="S122" s="267" t="s">
        <v>589</v>
      </c>
      <c r="T122" s="126"/>
      <c r="U122" s="127"/>
    </row>
    <row r="123" spans="1:21" ht="9" customHeight="1">
      <c r="A123" s="366">
        <v>108</v>
      </c>
      <c r="B123" s="200" t="s">
        <v>584</v>
      </c>
      <c r="C123" s="347" t="s">
        <v>1155</v>
      </c>
      <c r="D123" s="201" t="s">
        <v>1154</v>
      </c>
      <c r="E123" s="202">
        <v>1982</v>
      </c>
      <c r="F123" s="203" t="s">
        <v>88</v>
      </c>
      <c r="G123" s="203">
        <v>5</v>
      </c>
      <c r="H123" s="204">
        <v>8</v>
      </c>
      <c r="I123" s="205">
        <v>6253.4</v>
      </c>
      <c r="J123" s="205">
        <v>5639.6</v>
      </c>
      <c r="K123" s="205">
        <v>245</v>
      </c>
      <c r="L123" s="205">
        <f>'Приложение 2 КСП 2018-2019 гг'!H124</f>
        <v>5541108</v>
      </c>
      <c r="M123" s="267">
        <v>0</v>
      </c>
      <c r="N123" s="267">
        <v>0</v>
      </c>
      <c r="O123" s="368">
        <v>0</v>
      </c>
      <c r="P123" s="368">
        <f t="shared" si="3"/>
        <v>5541108</v>
      </c>
      <c r="Q123" s="267">
        <v>0</v>
      </c>
      <c r="R123" s="267">
        <v>0</v>
      </c>
      <c r="S123" s="267" t="s">
        <v>589</v>
      </c>
      <c r="T123" s="126"/>
      <c r="U123" s="127"/>
    </row>
    <row r="124" spans="1:21" ht="9" customHeight="1">
      <c r="A124" s="366">
        <v>109</v>
      </c>
      <c r="B124" s="200" t="s">
        <v>585</v>
      </c>
      <c r="C124" s="347" t="s">
        <v>1155</v>
      </c>
      <c r="D124" s="201" t="s">
        <v>1154</v>
      </c>
      <c r="E124" s="202">
        <v>1960</v>
      </c>
      <c r="F124" s="203" t="s">
        <v>88</v>
      </c>
      <c r="G124" s="203">
        <v>2</v>
      </c>
      <c r="H124" s="204">
        <v>2</v>
      </c>
      <c r="I124" s="205">
        <v>664.4</v>
      </c>
      <c r="J124" s="205">
        <v>616</v>
      </c>
      <c r="K124" s="205">
        <v>35</v>
      </c>
      <c r="L124" s="205">
        <f>'Приложение 2 КСП 2018-2019 гг'!H125</f>
        <v>1617591.36</v>
      </c>
      <c r="M124" s="267">
        <v>0</v>
      </c>
      <c r="N124" s="267">
        <v>0</v>
      </c>
      <c r="O124" s="368">
        <v>0</v>
      </c>
      <c r="P124" s="368">
        <f t="shared" si="3"/>
        <v>1617591.36</v>
      </c>
      <c r="Q124" s="267">
        <v>0</v>
      </c>
      <c r="R124" s="267">
        <v>0</v>
      </c>
      <c r="S124" s="267" t="s">
        <v>589</v>
      </c>
      <c r="T124" s="126"/>
      <c r="U124" s="127"/>
    </row>
    <row r="125" spans="1:21" ht="9" customHeight="1">
      <c r="A125" s="366">
        <v>110</v>
      </c>
      <c r="B125" s="200" t="s">
        <v>586</v>
      </c>
      <c r="C125" s="347" t="s">
        <v>1155</v>
      </c>
      <c r="D125" s="201" t="s">
        <v>1154</v>
      </c>
      <c r="E125" s="202">
        <v>1983</v>
      </c>
      <c r="F125" s="203" t="s">
        <v>90</v>
      </c>
      <c r="G125" s="203">
        <v>5</v>
      </c>
      <c r="H125" s="204">
        <v>5</v>
      </c>
      <c r="I125" s="205">
        <v>3969.5</v>
      </c>
      <c r="J125" s="205">
        <v>3661</v>
      </c>
      <c r="K125" s="205">
        <v>35</v>
      </c>
      <c r="L125" s="205">
        <f>'Приложение 2 КСП 2018-2019 гг'!H126</f>
        <v>9613639.5599999987</v>
      </c>
      <c r="M125" s="267">
        <v>0</v>
      </c>
      <c r="N125" s="267">
        <v>0</v>
      </c>
      <c r="O125" s="368">
        <v>0</v>
      </c>
      <c r="P125" s="368">
        <f t="shared" si="3"/>
        <v>9613639.5599999987</v>
      </c>
      <c r="Q125" s="267">
        <v>0</v>
      </c>
      <c r="R125" s="267">
        <v>0</v>
      </c>
      <c r="S125" s="267" t="s">
        <v>589</v>
      </c>
      <c r="T125" s="126"/>
      <c r="U125" s="127"/>
    </row>
    <row r="126" spans="1:21" ht="9" customHeight="1">
      <c r="A126" s="366">
        <v>111</v>
      </c>
      <c r="B126" s="200" t="s">
        <v>587</v>
      </c>
      <c r="C126" s="347" t="s">
        <v>1155</v>
      </c>
      <c r="D126" s="201" t="s">
        <v>1154</v>
      </c>
      <c r="E126" s="202">
        <v>1965</v>
      </c>
      <c r="F126" s="203" t="s">
        <v>88</v>
      </c>
      <c r="G126" s="203">
        <v>5</v>
      </c>
      <c r="H126" s="204">
        <v>4</v>
      </c>
      <c r="I126" s="205">
        <v>1754.5</v>
      </c>
      <c r="J126" s="205">
        <v>1621.5</v>
      </c>
      <c r="K126" s="205">
        <v>144</v>
      </c>
      <c r="L126" s="205">
        <f>'Приложение 2 КСП 2018-2019 гг'!H127</f>
        <v>3712632</v>
      </c>
      <c r="M126" s="267">
        <v>0</v>
      </c>
      <c r="N126" s="267">
        <v>0</v>
      </c>
      <c r="O126" s="368">
        <v>0</v>
      </c>
      <c r="P126" s="368">
        <f t="shared" si="3"/>
        <v>3712632</v>
      </c>
      <c r="Q126" s="267">
        <v>0</v>
      </c>
      <c r="R126" s="267">
        <v>0</v>
      </c>
      <c r="S126" s="267" t="s">
        <v>589</v>
      </c>
      <c r="T126" s="126"/>
      <c r="U126" s="127"/>
    </row>
    <row r="127" spans="1:21" ht="9" customHeight="1">
      <c r="A127" s="366">
        <v>112</v>
      </c>
      <c r="B127" s="200" t="s">
        <v>588</v>
      </c>
      <c r="C127" s="347" t="s">
        <v>1155</v>
      </c>
      <c r="D127" s="201" t="s">
        <v>1154</v>
      </c>
      <c r="E127" s="202">
        <v>1968</v>
      </c>
      <c r="F127" s="203" t="s">
        <v>90</v>
      </c>
      <c r="G127" s="203">
        <v>5</v>
      </c>
      <c r="H127" s="204">
        <v>4</v>
      </c>
      <c r="I127" s="205">
        <v>3839.3</v>
      </c>
      <c r="J127" s="205">
        <v>3465</v>
      </c>
      <c r="K127" s="205">
        <v>186</v>
      </c>
      <c r="L127" s="205">
        <f>'Приложение 2 КСП 2018-2019 гг'!H128</f>
        <v>3300660</v>
      </c>
      <c r="M127" s="368">
        <v>0</v>
      </c>
      <c r="N127" s="368">
        <v>0</v>
      </c>
      <c r="O127" s="368">
        <v>0</v>
      </c>
      <c r="P127" s="368">
        <f t="shared" si="3"/>
        <v>3300660</v>
      </c>
      <c r="Q127" s="368">
        <v>0</v>
      </c>
      <c r="R127" s="368">
        <v>0</v>
      </c>
      <c r="S127" s="368" t="s">
        <v>589</v>
      </c>
      <c r="T127" s="126"/>
      <c r="U127" s="127"/>
    </row>
    <row r="128" spans="1:21" ht="9" customHeight="1">
      <c r="A128" s="366">
        <v>113</v>
      </c>
      <c r="B128" s="206" t="s">
        <v>638</v>
      </c>
      <c r="C128" s="350" t="s">
        <v>1155</v>
      </c>
      <c r="D128" s="207" t="s">
        <v>1154</v>
      </c>
      <c r="E128" s="208">
        <v>1971</v>
      </c>
      <c r="F128" s="209" t="s">
        <v>88</v>
      </c>
      <c r="G128" s="209">
        <v>9</v>
      </c>
      <c r="H128" s="210">
        <v>1</v>
      </c>
      <c r="I128" s="211">
        <v>2560.8000000000002</v>
      </c>
      <c r="J128" s="211">
        <v>2311.8000000000002</v>
      </c>
      <c r="K128" s="211">
        <v>112</v>
      </c>
      <c r="L128" s="205">
        <f>'Приложение 2 КСП 2018-2019 гг'!H129</f>
        <v>1963596.7999999998</v>
      </c>
      <c r="M128" s="368">
        <v>0</v>
      </c>
      <c r="N128" s="368">
        <v>0</v>
      </c>
      <c r="O128" s="368">
        <v>0</v>
      </c>
      <c r="P128" s="368">
        <f t="shared" si="3"/>
        <v>1963596.7999999998</v>
      </c>
      <c r="Q128" s="368">
        <v>0</v>
      </c>
      <c r="R128" s="368">
        <v>0</v>
      </c>
      <c r="S128" s="368" t="s">
        <v>589</v>
      </c>
      <c r="T128" s="126"/>
      <c r="U128" s="127"/>
    </row>
    <row r="129" spans="1:21" ht="9" customHeight="1">
      <c r="A129" s="366">
        <v>114</v>
      </c>
      <c r="B129" s="206" t="s">
        <v>1036</v>
      </c>
      <c r="C129" s="350" t="s">
        <v>1155</v>
      </c>
      <c r="D129" s="207" t="s">
        <v>1154</v>
      </c>
      <c r="E129" s="212">
        <v>1966</v>
      </c>
      <c r="F129" s="203" t="s">
        <v>90</v>
      </c>
      <c r="G129" s="203">
        <v>5</v>
      </c>
      <c r="H129" s="209">
        <v>4</v>
      </c>
      <c r="I129" s="211">
        <v>3864.6</v>
      </c>
      <c r="J129" s="211">
        <v>3544.6</v>
      </c>
      <c r="K129" s="211">
        <v>227</v>
      </c>
      <c r="L129" s="205">
        <f>'Приложение 2 КСП 2018-2019 гг'!H130</f>
        <v>4220844</v>
      </c>
      <c r="M129" s="368">
        <v>0</v>
      </c>
      <c r="N129" s="368">
        <v>0</v>
      </c>
      <c r="O129" s="368">
        <v>0</v>
      </c>
      <c r="P129" s="368">
        <f t="shared" si="3"/>
        <v>4220844</v>
      </c>
      <c r="Q129" s="368">
        <v>0</v>
      </c>
      <c r="R129" s="368">
        <v>0</v>
      </c>
      <c r="S129" s="368" t="s">
        <v>589</v>
      </c>
      <c r="T129" s="126"/>
      <c r="U129" s="127"/>
    </row>
    <row r="130" spans="1:21" ht="9" customHeight="1">
      <c r="A130" s="366">
        <v>115</v>
      </c>
      <c r="B130" s="206" t="s">
        <v>203</v>
      </c>
      <c r="C130" s="350" t="s">
        <v>1155</v>
      </c>
      <c r="D130" s="207" t="s">
        <v>1154</v>
      </c>
      <c r="E130" s="212">
        <v>1917</v>
      </c>
      <c r="F130" s="203" t="s">
        <v>88</v>
      </c>
      <c r="G130" s="203">
        <v>2</v>
      </c>
      <c r="H130" s="209">
        <v>1</v>
      </c>
      <c r="I130" s="211">
        <v>2765.1</v>
      </c>
      <c r="J130" s="211">
        <v>2024.8</v>
      </c>
      <c r="K130" s="211">
        <v>108</v>
      </c>
      <c r="L130" s="205">
        <f>'Приложение 2 КСП 2018-2019 гг'!H131</f>
        <v>5250124.1700000009</v>
      </c>
      <c r="M130" s="368">
        <v>0</v>
      </c>
      <c r="N130" s="368">
        <v>0</v>
      </c>
      <c r="O130" s="368">
        <v>0</v>
      </c>
      <c r="P130" s="368">
        <f t="shared" si="3"/>
        <v>5250124.1700000009</v>
      </c>
      <c r="Q130" s="368">
        <v>0</v>
      </c>
      <c r="R130" s="368">
        <v>0</v>
      </c>
      <c r="S130" s="368" t="s">
        <v>589</v>
      </c>
      <c r="T130" s="126"/>
      <c r="U130" s="127"/>
    </row>
    <row r="131" spans="1:21" ht="9" customHeight="1">
      <c r="A131" s="366">
        <v>116</v>
      </c>
      <c r="B131" s="206" t="s">
        <v>1044</v>
      </c>
      <c r="C131" s="350" t="s">
        <v>1155</v>
      </c>
      <c r="D131" s="207" t="s">
        <v>1154</v>
      </c>
      <c r="E131" s="212">
        <v>1972</v>
      </c>
      <c r="F131" s="203" t="s">
        <v>90</v>
      </c>
      <c r="G131" s="203">
        <v>5</v>
      </c>
      <c r="H131" s="209">
        <v>8</v>
      </c>
      <c r="I131" s="211">
        <v>6431.6</v>
      </c>
      <c r="J131" s="211">
        <v>5532.6</v>
      </c>
      <c r="K131" s="211">
        <v>232</v>
      </c>
      <c r="L131" s="205">
        <f>'Приложение 2 КСП 2018-2019 гг'!H132</f>
        <v>5177702</v>
      </c>
      <c r="M131" s="368">
        <v>0</v>
      </c>
      <c r="N131" s="368">
        <v>0</v>
      </c>
      <c r="O131" s="368">
        <v>0</v>
      </c>
      <c r="P131" s="368">
        <f t="shared" si="3"/>
        <v>5177702</v>
      </c>
      <c r="Q131" s="368">
        <v>0</v>
      </c>
      <c r="R131" s="368">
        <v>0</v>
      </c>
      <c r="S131" s="368" t="s">
        <v>589</v>
      </c>
      <c r="T131" s="126"/>
      <c r="U131" s="127"/>
    </row>
    <row r="132" spans="1:21" ht="9" customHeight="1">
      <c r="A132" s="366">
        <v>117</v>
      </c>
      <c r="B132" s="150" t="s">
        <v>1052</v>
      </c>
      <c r="C132" s="350" t="s">
        <v>1155</v>
      </c>
      <c r="D132" s="207" t="s">
        <v>1154</v>
      </c>
      <c r="E132" s="212">
        <v>1986</v>
      </c>
      <c r="F132" s="203" t="s">
        <v>90</v>
      </c>
      <c r="G132" s="203">
        <v>5</v>
      </c>
      <c r="H132" s="209">
        <v>4</v>
      </c>
      <c r="I132" s="211">
        <v>3108</v>
      </c>
      <c r="J132" s="211">
        <v>2856</v>
      </c>
      <c r="K132" s="211">
        <v>140</v>
      </c>
      <c r="L132" s="205">
        <f>'Приложение 2 КСП 2018-2019 гг'!H133</f>
        <v>1685040</v>
      </c>
      <c r="M132" s="368">
        <v>0</v>
      </c>
      <c r="N132" s="368">
        <v>0</v>
      </c>
      <c r="O132" s="368">
        <v>0</v>
      </c>
      <c r="P132" s="368">
        <f t="shared" si="3"/>
        <v>1685040</v>
      </c>
      <c r="Q132" s="368">
        <v>0</v>
      </c>
      <c r="R132" s="368">
        <v>0</v>
      </c>
      <c r="S132" s="368" t="s">
        <v>589</v>
      </c>
      <c r="T132" s="126"/>
      <c r="U132" s="127"/>
    </row>
    <row r="133" spans="1:21" ht="9" customHeight="1">
      <c r="A133" s="366">
        <v>118</v>
      </c>
      <c r="B133" s="150" t="s">
        <v>1053</v>
      </c>
      <c r="C133" s="350" t="s">
        <v>1155</v>
      </c>
      <c r="D133" s="207" t="s">
        <v>1154</v>
      </c>
      <c r="E133" s="212">
        <v>1948</v>
      </c>
      <c r="F133" s="203" t="s">
        <v>88</v>
      </c>
      <c r="G133" s="203">
        <v>4</v>
      </c>
      <c r="H133" s="209">
        <v>1</v>
      </c>
      <c r="I133" s="211">
        <v>1333.3</v>
      </c>
      <c r="J133" s="211">
        <v>1259.0999999999999</v>
      </c>
      <c r="K133" s="211">
        <v>86</v>
      </c>
      <c r="L133" s="205">
        <f>'Приложение 2 КСП 2018-2019 гг'!H134</f>
        <v>3646303.2399999998</v>
      </c>
      <c r="M133" s="368">
        <v>0</v>
      </c>
      <c r="N133" s="368">
        <v>0</v>
      </c>
      <c r="O133" s="368">
        <v>0</v>
      </c>
      <c r="P133" s="368">
        <f t="shared" si="3"/>
        <v>3646303.2399999998</v>
      </c>
      <c r="Q133" s="368">
        <v>0</v>
      </c>
      <c r="R133" s="368">
        <v>0</v>
      </c>
      <c r="S133" s="368" t="s">
        <v>589</v>
      </c>
      <c r="T133" s="126"/>
      <c r="U133" s="127"/>
    </row>
    <row r="134" spans="1:21" ht="9" customHeight="1">
      <c r="A134" s="366">
        <v>119</v>
      </c>
      <c r="B134" s="150" t="s">
        <v>1078</v>
      </c>
      <c r="C134" s="350" t="s">
        <v>1155</v>
      </c>
      <c r="D134" s="207" t="s">
        <v>1154</v>
      </c>
      <c r="E134" s="212">
        <v>1983</v>
      </c>
      <c r="F134" s="203" t="s">
        <v>90</v>
      </c>
      <c r="G134" s="203">
        <v>9</v>
      </c>
      <c r="H134" s="209">
        <v>6</v>
      </c>
      <c r="I134" s="211">
        <v>12924.2</v>
      </c>
      <c r="J134" s="211">
        <v>11532.2</v>
      </c>
      <c r="K134" s="211">
        <v>493</v>
      </c>
      <c r="L134" s="205">
        <f>'Приложение 2 КСП 2018-2019 гг'!H135</f>
        <v>11781580.800000001</v>
      </c>
      <c r="M134" s="368">
        <v>0</v>
      </c>
      <c r="N134" s="368">
        <v>0</v>
      </c>
      <c r="O134" s="368">
        <v>0</v>
      </c>
      <c r="P134" s="368">
        <f t="shared" si="3"/>
        <v>11781580.800000001</v>
      </c>
      <c r="Q134" s="368">
        <v>0</v>
      </c>
      <c r="R134" s="368">
        <v>0</v>
      </c>
      <c r="S134" s="368" t="s">
        <v>589</v>
      </c>
      <c r="T134" s="126"/>
      <c r="U134" s="127"/>
    </row>
    <row r="135" spans="1:21" ht="9" customHeight="1">
      <c r="A135" s="366">
        <v>120</v>
      </c>
      <c r="B135" s="200" t="s">
        <v>510</v>
      </c>
      <c r="C135" s="350" t="s">
        <v>1155</v>
      </c>
      <c r="D135" s="207" t="s">
        <v>1154</v>
      </c>
      <c r="E135" s="212">
        <v>1982</v>
      </c>
      <c r="F135" s="203" t="s">
        <v>88</v>
      </c>
      <c r="G135" s="203">
        <v>12</v>
      </c>
      <c r="H135" s="209">
        <v>1</v>
      </c>
      <c r="I135" s="211">
        <v>4595.8</v>
      </c>
      <c r="J135" s="211">
        <v>3981.4</v>
      </c>
      <c r="K135" s="211">
        <v>188</v>
      </c>
      <c r="L135" s="205">
        <f>'Приложение 2 КСП 2018-2019 гг'!H136</f>
        <v>3927193.6000000001</v>
      </c>
      <c r="M135" s="368">
        <v>0</v>
      </c>
      <c r="N135" s="368">
        <v>0</v>
      </c>
      <c r="O135" s="368">
        <v>0</v>
      </c>
      <c r="P135" s="368">
        <f t="shared" si="3"/>
        <v>3927193.6000000001</v>
      </c>
      <c r="Q135" s="368">
        <v>0</v>
      </c>
      <c r="R135" s="368">
        <v>0</v>
      </c>
      <c r="S135" s="368" t="s">
        <v>589</v>
      </c>
      <c r="T135" s="126"/>
      <c r="U135" s="127"/>
    </row>
    <row r="136" spans="1:21" ht="9" customHeight="1">
      <c r="A136" s="366">
        <v>121</v>
      </c>
      <c r="B136" s="200" t="s">
        <v>1079</v>
      </c>
      <c r="C136" s="350" t="s">
        <v>1155</v>
      </c>
      <c r="D136" s="207" t="s">
        <v>1154</v>
      </c>
      <c r="E136" s="212">
        <v>1975</v>
      </c>
      <c r="F136" s="203" t="s">
        <v>88</v>
      </c>
      <c r="G136" s="203">
        <v>9</v>
      </c>
      <c r="H136" s="209">
        <v>4</v>
      </c>
      <c r="I136" s="211">
        <v>8133.82</v>
      </c>
      <c r="J136" s="211">
        <v>7353.82</v>
      </c>
      <c r="K136" s="211">
        <v>310</v>
      </c>
      <c r="L136" s="205">
        <f>'Приложение 2 КСП 2018-2019 гг'!H137</f>
        <v>7854387.1999999993</v>
      </c>
      <c r="M136" s="368">
        <v>0</v>
      </c>
      <c r="N136" s="368">
        <v>0</v>
      </c>
      <c r="O136" s="368">
        <v>0</v>
      </c>
      <c r="P136" s="368">
        <f t="shared" si="3"/>
        <v>7854387.1999999993</v>
      </c>
      <c r="Q136" s="368">
        <v>0</v>
      </c>
      <c r="R136" s="368">
        <v>0</v>
      </c>
      <c r="S136" s="368" t="s">
        <v>589</v>
      </c>
      <c r="T136" s="126"/>
      <c r="U136" s="127"/>
    </row>
    <row r="137" spans="1:21" ht="9" customHeight="1">
      <c r="A137" s="366">
        <v>122</v>
      </c>
      <c r="B137" s="200" t="s">
        <v>1080</v>
      </c>
      <c r="C137" s="350" t="s">
        <v>1155</v>
      </c>
      <c r="D137" s="207" t="s">
        <v>1154</v>
      </c>
      <c r="E137" s="212">
        <v>1988</v>
      </c>
      <c r="F137" s="203" t="s">
        <v>88</v>
      </c>
      <c r="G137" s="203">
        <v>9</v>
      </c>
      <c r="H137" s="209">
        <v>1</v>
      </c>
      <c r="I137" s="211">
        <v>3776.1</v>
      </c>
      <c r="J137" s="211">
        <v>3288.1</v>
      </c>
      <c r="K137" s="211">
        <v>162</v>
      </c>
      <c r="L137" s="205">
        <f>'Приложение 2 КСП 2018-2019 гг'!H138</f>
        <v>1963596.7999999998</v>
      </c>
      <c r="M137" s="368">
        <v>0</v>
      </c>
      <c r="N137" s="368">
        <v>0</v>
      </c>
      <c r="O137" s="368">
        <v>0</v>
      </c>
      <c r="P137" s="368">
        <f t="shared" si="3"/>
        <v>1963596.7999999998</v>
      </c>
      <c r="Q137" s="368">
        <v>0</v>
      </c>
      <c r="R137" s="368">
        <v>0</v>
      </c>
      <c r="S137" s="368" t="s">
        <v>589</v>
      </c>
      <c r="T137" s="126"/>
      <c r="U137" s="127"/>
    </row>
    <row r="138" spans="1:21" ht="9" customHeight="1">
      <c r="A138" s="366">
        <v>123</v>
      </c>
      <c r="B138" s="136" t="s">
        <v>457</v>
      </c>
      <c r="C138" s="154" t="s">
        <v>1156</v>
      </c>
      <c r="D138" s="141" t="s">
        <v>1154</v>
      </c>
      <c r="E138" s="139">
        <v>1947</v>
      </c>
      <c r="F138" s="146" t="s">
        <v>88</v>
      </c>
      <c r="G138" s="146">
        <v>4</v>
      </c>
      <c r="H138" s="141">
        <v>4</v>
      </c>
      <c r="I138" s="362">
        <v>2588</v>
      </c>
      <c r="J138" s="362">
        <v>2285</v>
      </c>
      <c r="K138" s="142">
        <v>72</v>
      </c>
      <c r="L138" s="205">
        <f>'Приложение 2 КСП 2018-2019 гг'!H139</f>
        <v>9017368.7271500006</v>
      </c>
      <c r="M138" s="368">
        <v>0</v>
      </c>
      <c r="N138" s="368">
        <v>0</v>
      </c>
      <c r="O138" s="368">
        <v>0</v>
      </c>
      <c r="P138" s="368">
        <f t="shared" si="3"/>
        <v>9017368.7271500006</v>
      </c>
      <c r="Q138" s="368">
        <v>0</v>
      </c>
      <c r="R138" s="368">
        <v>0</v>
      </c>
      <c r="S138" s="368" t="s">
        <v>589</v>
      </c>
      <c r="T138" s="126"/>
      <c r="U138" s="127"/>
    </row>
    <row r="139" spans="1:21" ht="9" customHeight="1">
      <c r="A139" s="366">
        <v>124</v>
      </c>
      <c r="B139" s="156" t="s">
        <v>204</v>
      </c>
      <c r="C139" s="132" t="s">
        <v>1155</v>
      </c>
      <c r="D139" s="366" t="s">
        <v>1154</v>
      </c>
      <c r="E139" s="141">
        <v>1958</v>
      </c>
      <c r="F139" s="141" t="s">
        <v>88</v>
      </c>
      <c r="G139" s="141">
        <v>2</v>
      </c>
      <c r="H139" s="141">
        <v>1</v>
      </c>
      <c r="I139" s="362">
        <v>485.69</v>
      </c>
      <c r="J139" s="362">
        <v>455.29</v>
      </c>
      <c r="K139" s="142">
        <v>22</v>
      </c>
      <c r="L139" s="205">
        <f>'Приложение 2 КСП 2018-2019 гг'!H140</f>
        <v>834091.27999999991</v>
      </c>
      <c r="M139" s="368">
        <v>0</v>
      </c>
      <c r="N139" s="368">
        <v>0</v>
      </c>
      <c r="O139" s="368">
        <v>0</v>
      </c>
      <c r="P139" s="368">
        <f t="shared" si="3"/>
        <v>834091.27999999991</v>
      </c>
      <c r="Q139" s="368">
        <v>0</v>
      </c>
      <c r="R139" s="368">
        <v>0</v>
      </c>
      <c r="S139" s="368" t="s">
        <v>589</v>
      </c>
      <c r="T139" s="126"/>
      <c r="U139" s="127"/>
    </row>
    <row r="140" spans="1:21" ht="9" customHeight="1">
      <c r="A140" s="366">
        <v>125</v>
      </c>
      <c r="B140" s="39" t="s">
        <v>1095</v>
      </c>
      <c r="C140" s="132" t="s">
        <v>1155</v>
      </c>
      <c r="D140" s="366" t="s">
        <v>1154</v>
      </c>
      <c r="E140" s="141">
        <v>1966</v>
      </c>
      <c r="F140" s="141" t="s">
        <v>90</v>
      </c>
      <c r="G140" s="141">
        <v>5</v>
      </c>
      <c r="H140" s="141">
        <v>4</v>
      </c>
      <c r="I140" s="362">
        <v>3858.4</v>
      </c>
      <c r="J140" s="362">
        <v>3536.4</v>
      </c>
      <c r="K140" s="142">
        <v>178</v>
      </c>
      <c r="L140" s="205">
        <f>'Приложение 2 КСП 2018-2019 гг'!H141</f>
        <v>3293992</v>
      </c>
      <c r="M140" s="368">
        <v>0</v>
      </c>
      <c r="N140" s="368">
        <v>0</v>
      </c>
      <c r="O140" s="368">
        <v>0</v>
      </c>
      <c r="P140" s="368">
        <f t="shared" si="3"/>
        <v>3293992</v>
      </c>
      <c r="Q140" s="368">
        <v>0</v>
      </c>
      <c r="R140" s="368">
        <v>0</v>
      </c>
      <c r="S140" s="368" t="s">
        <v>589</v>
      </c>
      <c r="T140" s="126"/>
      <c r="U140" s="127"/>
    </row>
    <row r="141" spans="1:21" ht="9" customHeight="1">
      <c r="A141" s="366">
        <v>126</v>
      </c>
      <c r="B141" s="39" t="s">
        <v>1096</v>
      </c>
      <c r="C141" s="132" t="s">
        <v>1155</v>
      </c>
      <c r="D141" s="366" t="s">
        <v>1154</v>
      </c>
      <c r="E141" s="141">
        <v>1979</v>
      </c>
      <c r="F141" s="141" t="s">
        <v>88</v>
      </c>
      <c r="G141" s="141">
        <v>5</v>
      </c>
      <c r="H141" s="141">
        <v>3</v>
      </c>
      <c r="I141" s="362">
        <v>3039</v>
      </c>
      <c r="J141" s="362">
        <v>2612.1</v>
      </c>
      <c r="K141" s="142">
        <v>99</v>
      </c>
      <c r="L141" s="205">
        <f>'Приложение 2 КСП 2018-2019 гг'!H142</f>
        <v>3600720</v>
      </c>
      <c r="M141" s="368">
        <v>0</v>
      </c>
      <c r="N141" s="368">
        <v>0</v>
      </c>
      <c r="O141" s="368">
        <v>0</v>
      </c>
      <c r="P141" s="368">
        <f t="shared" si="3"/>
        <v>3600720</v>
      </c>
      <c r="Q141" s="368">
        <v>0</v>
      </c>
      <c r="R141" s="368">
        <v>0</v>
      </c>
      <c r="S141" s="368" t="s">
        <v>589</v>
      </c>
      <c r="T141" s="126"/>
      <c r="U141" s="127"/>
    </row>
    <row r="142" spans="1:21" ht="9" customHeight="1">
      <c r="A142" s="366">
        <v>127</v>
      </c>
      <c r="B142" s="39" t="s">
        <v>1097</v>
      </c>
      <c r="C142" s="132" t="s">
        <v>1155</v>
      </c>
      <c r="D142" s="366" t="s">
        <v>1154</v>
      </c>
      <c r="E142" s="141">
        <v>1979</v>
      </c>
      <c r="F142" s="141" t="s">
        <v>88</v>
      </c>
      <c r="G142" s="141">
        <v>9</v>
      </c>
      <c r="H142" s="141">
        <v>1</v>
      </c>
      <c r="I142" s="362">
        <v>2519.5</v>
      </c>
      <c r="J142" s="362">
        <v>2076.5</v>
      </c>
      <c r="K142" s="142">
        <v>93</v>
      </c>
      <c r="L142" s="205">
        <f>'Приложение 2 КСП 2018-2019 гг'!H143</f>
        <v>5105351.16</v>
      </c>
      <c r="M142" s="368">
        <v>0</v>
      </c>
      <c r="N142" s="368">
        <v>0</v>
      </c>
      <c r="O142" s="368">
        <v>0</v>
      </c>
      <c r="P142" s="368">
        <f t="shared" si="3"/>
        <v>5105351.16</v>
      </c>
      <c r="Q142" s="368">
        <v>0</v>
      </c>
      <c r="R142" s="368">
        <v>0</v>
      </c>
      <c r="S142" s="368" t="s">
        <v>589</v>
      </c>
      <c r="T142" s="126"/>
      <c r="U142" s="127"/>
    </row>
    <row r="143" spans="1:21" ht="9" customHeight="1">
      <c r="A143" s="366">
        <v>128</v>
      </c>
      <c r="B143" s="136" t="s">
        <v>458</v>
      </c>
      <c r="C143" s="154" t="s">
        <v>1156</v>
      </c>
      <c r="D143" s="141" t="s">
        <v>1154</v>
      </c>
      <c r="E143" s="139">
        <v>1960</v>
      </c>
      <c r="F143" s="146" t="s">
        <v>88</v>
      </c>
      <c r="G143" s="146">
        <v>4</v>
      </c>
      <c r="H143" s="141">
        <v>2</v>
      </c>
      <c r="I143" s="362">
        <v>2262.9</v>
      </c>
      <c r="J143" s="362">
        <v>2029.8999999999999</v>
      </c>
      <c r="K143" s="142">
        <v>47</v>
      </c>
      <c r="L143" s="205">
        <f>'Приложение 2 КСП 2018-2019 гг'!H144</f>
        <v>5877765.0499999998</v>
      </c>
      <c r="M143" s="368">
        <v>0</v>
      </c>
      <c r="N143" s="368">
        <v>0</v>
      </c>
      <c r="O143" s="368">
        <v>0</v>
      </c>
      <c r="P143" s="368">
        <f t="shared" si="3"/>
        <v>5877765.0499999998</v>
      </c>
      <c r="Q143" s="368">
        <v>0</v>
      </c>
      <c r="R143" s="368">
        <v>0</v>
      </c>
      <c r="S143" s="368" t="s">
        <v>589</v>
      </c>
      <c r="T143" s="126"/>
      <c r="U143" s="127"/>
    </row>
    <row r="144" spans="1:21" ht="9" customHeight="1">
      <c r="A144" s="366">
        <v>129</v>
      </c>
      <c r="B144" s="136" t="s">
        <v>459</v>
      </c>
      <c r="C144" s="154" t="s">
        <v>1156</v>
      </c>
      <c r="D144" s="141" t="s">
        <v>1154</v>
      </c>
      <c r="E144" s="139">
        <v>1947</v>
      </c>
      <c r="F144" s="146" t="s">
        <v>88</v>
      </c>
      <c r="G144" s="146">
        <v>4</v>
      </c>
      <c r="H144" s="141">
        <v>3</v>
      </c>
      <c r="I144" s="362">
        <v>2998</v>
      </c>
      <c r="J144" s="362">
        <v>2722.1</v>
      </c>
      <c r="K144" s="142">
        <v>85</v>
      </c>
      <c r="L144" s="205">
        <f>'Приложение 2 КСП 2018-2019 гг'!H145</f>
        <v>8216885.7199999997</v>
      </c>
      <c r="M144" s="368">
        <v>0</v>
      </c>
      <c r="N144" s="368">
        <v>0</v>
      </c>
      <c r="O144" s="368">
        <v>0</v>
      </c>
      <c r="P144" s="368">
        <f t="shared" si="3"/>
        <v>8216885.7199999997</v>
      </c>
      <c r="Q144" s="368">
        <v>0</v>
      </c>
      <c r="R144" s="368">
        <v>0</v>
      </c>
      <c r="S144" s="368" t="s">
        <v>589</v>
      </c>
      <c r="T144" s="126"/>
      <c r="U144" s="127"/>
    </row>
    <row r="145" spans="1:21" ht="9" customHeight="1">
      <c r="A145" s="366">
        <v>130</v>
      </c>
      <c r="B145" s="136" t="s">
        <v>121</v>
      </c>
      <c r="C145" s="154" t="s">
        <v>1155</v>
      </c>
      <c r="D145" s="141" t="s">
        <v>1154</v>
      </c>
      <c r="E145" s="139">
        <v>1980</v>
      </c>
      <c r="F145" s="146" t="s">
        <v>88</v>
      </c>
      <c r="G145" s="146">
        <v>5</v>
      </c>
      <c r="H145" s="141">
        <v>5</v>
      </c>
      <c r="I145" s="362">
        <v>4893.7</v>
      </c>
      <c r="J145" s="362">
        <v>4311.7</v>
      </c>
      <c r="K145" s="142">
        <v>178</v>
      </c>
      <c r="L145" s="205">
        <f>'Приложение 2 КСП 2018-2019 гг'!H146</f>
        <v>1392291.05</v>
      </c>
      <c r="M145" s="368">
        <v>0</v>
      </c>
      <c r="N145" s="368">
        <v>0</v>
      </c>
      <c r="O145" s="368">
        <v>0</v>
      </c>
      <c r="P145" s="368">
        <f t="shared" si="3"/>
        <v>1392291.05</v>
      </c>
      <c r="Q145" s="368">
        <v>0</v>
      </c>
      <c r="R145" s="368">
        <v>0</v>
      </c>
      <c r="S145" s="368" t="s">
        <v>589</v>
      </c>
      <c r="T145" s="126"/>
      <c r="U145" s="127"/>
    </row>
    <row r="146" spans="1:21" ht="9" customHeight="1">
      <c r="A146" s="366">
        <v>131</v>
      </c>
      <c r="B146" s="136" t="s">
        <v>163</v>
      </c>
      <c r="C146" s="154" t="s">
        <v>1155</v>
      </c>
      <c r="D146" s="141" t="s">
        <v>1154</v>
      </c>
      <c r="E146" s="139">
        <v>1959</v>
      </c>
      <c r="F146" s="146" t="s">
        <v>88</v>
      </c>
      <c r="G146" s="146">
        <v>4</v>
      </c>
      <c r="H146" s="141">
        <v>2</v>
      </c>
      <c r="I146" s="362">
        <v>1358.1</v>
      </c>
      <c r="J146" s="362">
        <v>1261</v>
      </c>
      <c r="K146" s="142">
        <v>64</v>
      </c>
      <c r="L146" s="205">
        <f>'Приложение 2 КСП 2018-2019 гг'!H147</f>
        <v>407189.51</v>
      </c>
      <c r="M146" s="368">
        <v>0</v>
      </c>
      <c r="N146" s="368">
        <v>0</v>
      </c>
      <c r="O146" s="368">
        <v>0</v>
      </c>
      <c r="P146" s="368">
        <f t="shared" ref="P146:P156" si="4">L146</f>
        <v>407189.51</v>
      </c>
      <c r="Q146" s="368">
        <v>0</v>
      </c>
      <c r="R146" s="368">
        <v>0</v>
      </c>
      <c r="S146" s="368" t="s">
        <v>589</v>
      </c>
      <c r="T146" s="126"/>
      <c r="U146" s="127"/>
    </row>
    <row r="147" spans="1:21" ht="9" customHeight="1">
      <c r="A147" s="366">
        <v>132</v>
      </c>
      <c r="B147" s="136" t="s">
        <v>162</v>
      </c>
      <c r="C147" s="154" t="s">
        <v>1155</v>
      </c>
      <c r="D147" s="141" t="s">
        <v>1154</v>
      </c>
      <c r="E147" s="139">
        <v>1984</v>
      </c>
      <c r="F147" s="146" t="s">
        <v>88</v>
      </c>
      <c r="G147" s="146">
        <v>5</v>
      </c>
      <c r="H147" s="141">
        <v>1</v>
      </c>
      <c r="I147" s="362">
        <v>2815.9</v>
      </c>
      <c r="J147" s="362">
        <v>2530.6999999999998</v>
      </c>
      <c r="K147" s="142">
        <v>126</v>
      </c>
      <c r="L147" s="205">
        <f>'Приложение 2 КСП 2018-2019 гг'!H148</f>
        <v>817188.34</v>
      </c>
      <c r="M147" s="368">
        <v>0</v>
      </c>
      <c r="N147" s="368">
        <v>0</v>
      </c>
      <c r="O147" s="368">
        <v>0</v>
      </c>
      <c r="P147" s="368">
        <f t="shared" si="4"/>
        <v>817188.34</v>
      </c>
      <c r="Q147" s="368">
        <v>0</v>
      </c>
      <c r="R147" s="368">
        <v>0</v>
      </c>
      <c r="S147" s="368" t="s">
        <v>589</v>
      </c>
      <c r="T147" s="126"/>
      <c r="U147" s="127"/>
    </row>
    <row r="148" spans="1:21" ht="9" customHeight="1">
      <c r="A148" s="366">
        <v>133</v>
      </c>
      <c r="B148" s="136" t="s">
        <v>1098</v>
      </c>
      <c r="C148" s="154" t="s">
        <v>1155</v>
      </c>
      <c r="D148" s="141" t="s">
        <v>1154</v>
      </c>
      <c r="E148" s="377">
        <v>1977</v>
      </c>
      <c r="F148" s="146" t="s">
        <v>90</v>
      </c>
      <c r="G148" s="146">
        <v>5</v>
      </c>
      <c r="H148" s="259">
        <v>4</v>
      </c>
      <c r="I148" s="362">
        <v>3686.9</v>
      </c>
      <c r="J148" s="362">
        <v>3357.9</v>
      </c>
      <c r="K148" s="142">
        <v>98</v>
      </c>
      <c r="L148" s="205">
        <f>'Приложение 2 КСП 2018-2019 гг'!H149</f>
        <v>1084299.49</v>
      </c>
      <c r="M148" s="368">
        <v>0</v>
      </c>
      <c r="N148" s="368">
        <v>0</v>
      </c>
      <c r="O148" s="368">
        <v>0</v>
      </c>
      <c r="P148" s="368">
        <f t="shared" si="4"/>
        <v>1084299.49</v>
      </c>
      <c r="Q148" s="368">
        <v>0</v>
      </c>
      <c r="R148" s="368">
        <v>0</v>
      </c>
      <c r="S148" s="368" t="s">
        <v>589</v>
      </c>
      <c r="T148" s="126"/>
      <c r="U148" s="127"/>
    </row>
    <row r="149" spans="1:21" ht="9" customHeight="1">
      <c r="A149" s="366">
        <v>134</v>
      </c>
      <c r="B149" s="136" t="s">
        <v>1099</v>
      </c>
      <c r="C149" s="154" t="s">
        <v>1155</v>
      </c>
      <c r="D149" s="141" t="s">
        <v>1154</v>
      </c>
      <c r="E149" s="139">
        <v>1970</v>
      </c>
      <c r="F149" s="146" t="s">
        <v>90</v>
      </c>
      <c r="G149" s="146">
        <v>5</v>
      </c>
      <c r="H149" s="259">
        <v>3</v>
      </c>
      <c r="I149" s="362">
        <v>2813</v>
      </c>
      <c r="J149" s="362">
        <v>2512</v>
      </c>
      <c r="K149" s="142">
        <v>138</v>
      </c>
      <c r="L149" s="205">
        <f>'Приложение 2 КСП 2018-2019 гг'!H150</f>
        <v>811149.92</v>
      </c>
      <c r="M149" s="368">
        <v>0</v>
      </c>
      <c r="N149" s="368">
        <v>0</v>
      </c>
      <c r="O149" s="368">
        <v>0</v>
      </c>
      <c r="P149" s="368">
        <f t="shared" si="4"/>
        <v>811149.92</v>
      </c>
      <c r="Q149" s="368">
        <v>0</v>
      </c>
      <c r="R149" s="368">
        <v>0</v>
      </c>
      <c r="S149" s="368" t="s">
        <v>589</v>
      </c>
      <c r="T149" s="126"/>
      <c r="U149" s="127"/>
    </row>
    <row r="150" spans="1:21" ht="9" customHeight="1">
      <c r="A150" s="366">
        <v>135</v>
      </c>
      <c r="B150" s="136" t="s">
        <v>1100</v>
      </c>
      <c r="C150" s="154" t="s">
        <v>1155</v>
      </c>
      <c r="D150" s="141" t="s">
        <v>1154</v>
      </c>
      <c r="E150" s="139">
        <v>1973</v>
      </c>
      <c r="F150" s="146" t="s">
        <v>88</v>
      </c>
      <c r="G150" s="146">
        <v>5</v>
      </c>
      <c r="H150" s="259">
        <v>2</v>
      </c>
      <c r="I150" s="362">
        <v>1906.1</v>
      </c>
      <c r="J150" s="362">
        <v>1754.1</v>
      </c>
      <c r="K150" s="142">
        <v>86</v>
      </c>
      <c r="L150" s="205">
        <f>'Приложение 2 КСП 2018-2019 гг'!H151</f>
        <v>566416.42999999993</v>
      </c>
      <c r="M150" s="368">
        <v>0</v>
      </c>
      <c r="N150" s="368">
        <v>0</v>
      </c>
      <c r="O150" s="368">
        <v>0</v>
      </c>
      <c r="P150" s="368">
        <f t="shared" si="4"/>
        <v>566416.42999999993</v>
      </c>
      <c r="Q150" s="368">
        <v>0</v>
      </c>
      <c r="R150" s="368">
        <v>0</v>
      </c>
      <c r="S150" s="368" t="s">
        <v>589</v>
      </c>
      <c r="T150" s="126"/>
      <c r="U150" s="127"/>
    </row>
    <row r="151" spans="1:21" ht="9" customHeight="1">
      <c r="A151" s="366">
        <v>136</v>
      </c>
      <c r="B151" s="136" t="s">
        <v>1101</v>
      </c>
      <c r="C151" s="154" t="s">
        <v>1155</v>
      </c>
      <c r="D151" s="141" t="s">
        <v>1154</v>
      </c>
      <c r="E151" s="139">
        <v>1970</v>
      </c>
      <c r="F151" s="146" t="s">
        <v>90</v>
      </c>
      <c r="G151" s="146">
        <v>5</v>
      </c>
      <c r="H151" s="259">
        <v>4</v>
      </c>
      <c r="I151" s="362">
        <v>4132.3</v>
      </c>
      <c r="J151" s="362">
        <v>3862.3</v>
      </c>
      <c r="K151" s="142">
        <v>208</v>
      </c>
      <c r="L151" s="205">
        <f>'Приложение 2 КСП 2018-2019 гг'!H152</f>
        <v>1247175.2899999998</v>
      </c>
      <c r="M151" s="368">
        <v>0</v>
      </c>
      <c r="N151" s="368">
        <v>0</v>
      </c>
      <c r="O151" s="368">
        <v>0</v>
      </c>
      <c r="P151" s="368">
        <f t="shared" si="4"/>
        <v>1247175.2899999998</v>
      </c>
      <c r="Q151" s="368">
        <v>0</v>
      </c>
      <c r="R151" s="368">
        <v>0</v>
      </c>
      <c r="S151" s="368" t="s">
        <v>589</v>
      </c>
      <c r="T151" s="126"/>
      <c r="U151" s="127"/>
    </row>
    <row r="152" spans="1:21" ht="9" customHeight="1">
      <c r="A152" s="366">
        <v>137</v>
      </c>
      <c r="B152" s="136" t="s">
        <v>1102</v>
      </c>
      <c r="C152" s="154" t="s">
        <v>1155</v>
      </c>
      <c r="D152" s="141" t="s">
        <v>1154</v>
      </c>
      <c r="E152" s="139">
        <v>1976</v>
      </c>
      <c r="F152" s="146" t="s">
        <v>88</v>
      </c>
      <c r="G152" s="146">
        <v>5</v>
      </c>
      <c r="H152" s="141">
        <v>1</v>
      </c>
      <c r="I152" s="362">
        <v>1649.7</v>
      </c>
      <c r="J152" s="362">
        <v>1540.7</v>
      </c>
      <c r="K152" s="142">
        <v>105</v>
      </c>
      <c r="L152" s="205">
        <f>'Приложение 2 КСП 2018-2019 гг'!H153</f>
        <v>497507.43999999994</v>
      </c>
      <c r="M152" s="368">
        <v>0</v>
      </c>
      <c r="N152" s="368">
        <v>0</v>
      </c>
      <c r="O152" s="368">
        <v>0</v>
      </c>
      <c r="P152" s="368">
        <f t="shared" si="4"/>
        <v>497507.43999999994</v>
      </c>
      <c r="Q152" s="368">
        <v>0</v>
      </c>
      <c r="R152" s="368">
        <v>0</v>
      </c>
      <c r="S152" s="368" t="s">
        <v>589</v>
      </c>
      <c r="T152" s="126"/>
      <c r="U152" s="127"/>
    </row>
    <row r="153" spans="1:21" ht="9" customHeight="1">
      <c r="A153" s="366">
        <v>138</v>
      </c>
      <c r="B153" s="136" t="s">
        <v>1103</v>
      </c>
      <c r="C153" s="154" t="s">
        <v>1155</v>
      </c>
      <c r="D153" s="141" t="s">
        <v>1154</v>
      </c>
      <c r="E153" s="139">
        <v>1974</v>
      </c>
      <c r="F153" s="146" t="s">
        <v>88</v>
      </c>
      <c r="G153" s="146">
        <v>9</v>
      </c>
      <c r="H153" s="141">
        <v>1</v>
      </c>
      <c r="I153" s="362">
        <v>6272.2</v>
      </c>
      <c r="J153" s="362">
        <v>3295.6</v>
      </c>
      <c r="K153" s="142">
        <v>383</v>
      </c>
      <c r="L153" s="205">
        <f>'Приложение 2 КСП 2018-2019 гг'!H154</f>
        <v>1400280</v>
      </c>
      <c r="M153" s="368">
        <v>0</v>
      </c>
      <c r="N153" s="368">
        <v>0</v>
      </c>
      <c r="O153" s="368">
        <v>0</v>
      </c>
      <c r="P153" s="368">
        <f t="shared" si="4"/>
        <v>1400280</v>
      </c>
      <c r="Q153" s="368">
        <v>0</v>
      </c>
      <c r="R153" s="368">
        <v>0</v>
      </c>
      <c r="S153" s="368" t="s">
        <v>589</v>
      </c>
      <c r="T153" s="126"/>
      <c r="U153" s="127"/>
    </row>
    <row r="154" spans="1:21" ht="9" customHeight="1">
      <c r="A154" s="366">
        <v>139</v>
      </c>
      <c r="B154" s="136" t="s">
        <v>126</v>
      </c>
      <c r="C154" s="154" t="s">
        <v>1155</v>
      </c>
      <c r="D154" s="141" t="s">
        <v>1154</v>
      </c>
      <c r="E154" s="139">
        <v>1997</v>
      </c>
      <c r="F154" s="146" t="s">
        <v>88</v>
      </c>
      <c r="G154" s="146">
        <v>5</v>
      </c>
      <c r="H154" s="141">
        <v>2</v>
      </c>
      <c r="I154" s="362">
        <v>6092.7</v>
      </c>
      <c r="J154" s="362">
        <v>5601</v>
      </c>
      <c r="K154" s="142">
        <v>253</v>
      </c>
      <c r="L154" s="205">
        <f>'Приложение 2 КСП 2018-2019 гг'!H155</f>
        <v>4290366.0000000009</v>
      </c>
      <c r="M154" s="368">
        <v>0</v>
      </c>
      <c r="N154" s="368">
        <v>0</v>
      </c>
      <c r="O154" s="368">
        <v>0</v>
      </c>
      <c r="P154" s="368">
        <f t="shared" si="4"/>
        <v>4290366.0000000009</v>
      </c>
      <c r="Q154" s="368">
        <v>0</v>
      </c>
      <c r="R154" s="368">
        <v>0</v>
      </c>
      <c r="S154" s="368" t="s">
        <v>589</v>
      </c>
      <c r="T154" s="126"/>
      <c r="U154" s="127"/>
    </row>
    <row r="155" spans="1:21" ht="9" customHeight="1">
      <c r="A155" s="366">
        <v>140</v>
      </c>
      <c r="B155" s="136" t="s">
        <v>1108</v>
      </c>
      <c r="C155" s="154" t="s">
        <v>1155</v>
      </c>
      <c r="D155" s="141" t="s">
        <v>1154</v>
      </c>
      <c r="E155" s="139">
        <v>1982</v>
      </c>
      <c r="F155" s="146" t="s">
        <v>90</v>
      </c>
      <c r="G155" s="146">
        <v>5</v>
      </c>
      <c r="H155" s="141">
        <v>5</v>
      </c>
      <c r="I155" s="362">
        <v>7905.3</v>
      </c>
      <c r="J155" s="362">
        <v>6517.9</v>
      </c>
      <c r="K155" s="142">
        <v>312</v>
      </c>
      <c r="L155" s="205">
        <f>'Приложение 2 КСП 2018-2019 гг'!H156</f>
        <v>6094552</v>
      </c>
      <c r="M155" s="368">
        <v>0</v>
      </c>
      <c r="N155" s="368">
        <v>0</v>
      </c>
      <c r="O155" s="368">
        <v>0</v>
      </c>
      <c r="P155" s="368">
        <f t="shared" si="4"/>
        <v>6094552</v>
      </c>
      <c r="Q155" s="368">
        <v>0</v>
      </c>
      <c r="R155" s="368">
        <v>0</v>
      </c>
      <c r="S155" s="368" t="s">
        <v>589</v>
      </c>
      <c r="T155" s="126"/>
      <c r="U155" s="127"/>
    </row>
    <row r="156" spans="1:21" ht="9" customHeight="1">
      <c r="A156" s="366">
        <v>141</v>
      </c>
      <c r="B156" s="136" t="s">
        <v>1109</v>
      </c>
      <c r="C156" s="154" t="s">
        <v>1155</v>
      </c>
      <c r="D156" s="141" t="s">
        <v>1154</v>
      </c>
      <c r="E156" s="139">
        <v>1989</v>
      </c>
      <c r="F156" s="146" t="s">
        <v>90</v>
      </c>
      <c r="G156" s="146">
        <v>5</v>
      </c>
      <c r="H156" s="141">
        <v>8</v>
      </c>
      <c r="I156" s="362">
        <v>5877.3</v>
      </c>
      <c r="J156" s="362">
        <v>5200.7</v>
      </c>
      <c r="K156" s="142">
        <v>310</v>
      </c>
      <c r="L156" s="205">
        <f>'Приложение 2 КСП 2018-2019 гг'!H157</f>
        <v>4090818</v>
      </c>
      <c r="M156" s="368">
        <v>0</v>
      </c>
      <c r="N156" s="368">
        <v>0</v>
      </c>
      <c r="O156" s="368">
        <v>0</v>
      </c>
      <c r="P156" s="368">
        <f t="shared" si="4"/>
        <v>4090818</v>
      </c>
      <c r="Q156" s="368">
        <v>0</v>
      </c>
      <c r="R156" s="368">
        <v>0</v>
      </c>
      <c r="S156" s="368" t="s">
        <v>589</v>
      </c>
      <c r="T156" s="126"/>
      <c r="U156" s="127"/>
    </row>
    <row r="157" spans="1:21" ht="9" customHeight="1">
      <c r="A157" s="366">
        <v>142</v>
      </c>
      <c r="B157" s="136" t="s">
        <v>1160</v>
      </c>
      <c r="C157" s="154" t="s">
        <v>1161</v>
      </c>
      <c r="D157" s="141" t="s">
        <v>1154</v>
      </c>
      <c r="E157" s="139">
        <v>1966</v>
      </c>
      <c r="F157" s="146" t="s">
        <v>90</v>
      </c>
      <c r="G157" s="146">
        <v>5</v>
      </c>
      <c r="H157" s="141">
        <v>4</v>
      </c>
      <c r="I157" s="362">
        <v>3821.6</v>
      </c>
      <c r="J157" s="362">
        <v>3520.6</v>
      </c>
      <c r="K157" s="142">
        <v>154</v>
      </c>
      <c r="L157" s="205">
        <f>'Приложение 2 КСП 2018-2019 гг'!H158</f>
        <v>6608166.21</v>
      </c>
      <c r="M157" s="371">
        <v>0</v>
      </c>
      <c r="N157" s="371">
        <v>0</v>
      </c>
      <c r="O157" s="371">
        <v>0</v>
      </c>
      <c r="P157" s="371">
        <f t="shared" ref="P157" si="5">L157</f>
        <v>6608166.21</v>
      </c>
      <c r="Q157" s="371">
        <v>0</v>
      </c>
      <c r="R157" s="371">
        <v>0</v>
      </c>
      <c r="S157" s="371" t="s">
        <v>589</v>
      </c>
      <c r="T157" s="126"/>
      <c r="U157" s="127"/>
    </row>
    <row r="158" spans="1:21" ht="26.25" customHeight="1">
      <c r="A158" s="946" t="s">
        <v>109</v>
      </c>
      <c r="B158" s="946"/>
      <c r="C158" s="132"/>
      <c r="D158" s="366" t="s">
        <v>391</v>
      </c>
      <c r="E158" s="366" t="s">
        <v>391</v>
      </c>
      <c r="F158" s="366" t="s">
        <v>391</v>
      </c>
      <c r="G158" s="366" t="s">
        <v>391</v>
      </c>
      <c r="H158" s="366" t="s">
        <v>391</v>
      </c>
      <c r="I158" s="211">
        <f>SUM(I16:I157)</f>
        <v>580080.45999999985</v>
      </c>
      <c r="J158" s="211">
        <f t="shared" ref="J158:R158" si="6">SUM(J16:J157)</f>
        <v>499881.70999999996</v>
      </c>
      <c r="K158" s="211">
        <f t="shared" si="6"/>
        <v>19339</v>
      </c>
      <c r="L158" s="211">
        <f t="shared" si="6"/>
        <v>549275227.74715018</v>
      </c>
      <c r="M158" s="211">
        <f t="shared" si="6"/>
        <v>0</v>
      </c>
      <c r="N158" s="211">
        <f t="shared" si="6"/>
        <v>0</v>
      </c>
      <c r="O158" s="211">
        <f t="shared" si="6"/>
        <v>0</v>
      </c>
      <c r="P158" s="211">
        <f t="shared" si="6"/>
        <v>549275227.74715018</v>
      </c>
      <c r="Q158" s="211">
        <f t="shared" si="6"/>
        <v>0</v>
      </c>
      <c r="R158" s="211">
        <f t="shared" si="6"/>
        <v>0</v>
      </c>
      <c r="S158" s="368"/>
      <c r="T158" s="295"/>
      <c r="U158" s="127"/>
    </row>
    <row r="159" spans="1:21" ht="9" customHeight="1">
      <c r="A159" s="821" t="s">
        <v>221</v>
      </c>
      <c r="B159" s="821"/>
      <c r="C159" s="821"/>
      <c r="D159" s="821"/>
      <c r="E159" s="821"/>
      <c r="F159" s="821"/>
      <c r="G159" s="821"/>
      <c r="H159" s="821"/>
      <c r="I159" s="821"/>
      <c r="J159" s="821"/>
      <c r="K159" s="821"/>
      <c r="L159" s="821"/>
      <c r="M159" s="821"/>
      <c r="N159" s="821"/>
      <c r="O159" s="821"/>
      <c r="P159" s="821"/>
      <c r="Q159" s="821"/>
      <c r="R159" s="821"/>
      <c r="S159" s="821"/>
      <c r="T159" s="297"/>
      <c r="U159" s="297"/>
    </row>
    <row r="160" spans="1:21" ht="9" customHeight="1">
      <c r="A160" s="366">
        <v>143</v>
      </c>
      <c r="B160" s="309" t="s">
        <v>750</v>
      </c>
      <c r="C160" s="351" t="s">
        <v>1155</v>
      </c>
      <c r="D160" s="207" t="s">
        <v>1154</v>
      </c>
      <c r="E160" s="310" t="s">
        <v>598</v>
      </c>
      <c r="F160" s="311" t="s">
        <v>88</v>
      </c>
      <c r="G160" s="311">
        <v>5</v>
      </c>
      <c r="H160" s="312">
        <v>4</v>
      </c>
      <c r="I160" s="313">
        <v>3443.4</v>
      </c>
      <c r="J160" s="313">
        <v>2530.3000000000002</v>
      </c>
      <c r="K160" s="313">
        <v>121</v>
      </c>
      <c r="L160" s="205">
        <f>'Приложение 2 КСП 2018-2019 гг'!H161</f>
        <v>3833260.2</v>
      </c>
      <c r="M160" s="368">
        <v>0</v>
      </c>
      <c r="N160" s="368">
        <v>0</v>
      </c>
      <c r="O160" s="368">
        <v>0</v>
      </c>
      <c r="P160" s="368">
        <f t="shared" ref="P160:P166" si="7">L160</f>
        <v>3833260.2</v>
      </c>
      <c r="Q160" s="368">
        <v>0</v>
      </c>
      <c r="R160" s="368">
        <v>0</v>
      </c>
      <c r="S160" s="368" t="s">
        <v>589</v>
      </c>
      <c r="T160" s="126"/>
      <c r="U160" s="127"/>
    </row>
    <row r="161" spans="1:21" ht="9" customHeight="1">
      <c r="A161" s="366">
        <v>144</v>
      </c>
      <c r="B161" s="309" t="s">
        <v>751</v>
      </c>
      <c r="C161" s="351" t="s">
        <v>1155</v>
      </c>
      <c r="D161" s="207" t="s">
        <v>1154</v>
      </c>
      <c r="E161" s="310" t="s">
        <v>753</v>
      </c>
      <c r="F161" s="311" t="s">
        <v>88</v>
      </c>
      <c r="G161" s="311">
        <v>4</v>
      </c>
      <c r="H161" s="312">
        <v>2</v>
      </c>
      <c r="I161" s="313">
        <v>1841.5</v>
      </c>
      <c r="J161" s="313">
        <v>1510.5</v>
      </c>
      <c r="K161" s="313">
        <v>70</v>
      </c>
      <c r="L161" s="205">
        <f>'Приложение 2 КСП 2018-2019 гг'!H162</f>
        <v>2075139.66</v>
      </c>
      <c r="M161" s="368">
        <v>0</v>
      </c>
      <c r="N161" s="368">
        <v>0</v>
      </c>
      <c r="O161" s="368">
        <v>0</v>
      </c>
      <c r="P161" s="368">
        <f t="shared" si="7"/>
        <v>2075139.66</v>
      </c>
      <c r="Q161" s="368">
        <v>0</v>
      </c>
      <c r="R161" s="368">
        <v>0</v>
      </c>
      <c r="S161" s="368" t="s">
        <v>589</v>
      </c>
      <c r="T161" s="126"/>
      <c r="U161" s="127"/>
    </row>
    <row r="162" spans="1:21" ht="9" customHeight="1">
      <c r="A162" s="366">
        <v>145</v>
      </c>
      <c r="B162" s="309" t="s">
        <v>752</v>
      </c>
      <c r="C162" s="351" t="s">
        <v>1155</v>
      </c>
      <c r="D162" s="207" t="s">
        <v>1154</v>
      </c>
      <c r="E162" s="310" t="s">
        <v>606</v>
      </c>
      <c r="F162" s="311" t="s">
        <v>88</v>
      </c>
      <c r="G162" s="311">
        <v>4</v>
      </c>
      <c r="H162" s="312">
        <v>3</v>
      </c>
      <c r="I162" s="313">
        <v>2582.9</v>
      </c>
      <c r="J162" s="313">
        <v>1684.6</v>
      </c>
      <c r="K162" s="313">
        <v>70</v>
      </c>
      <c r="L162" s="205">
        <f>'Приложение 2 КСП 2018-2019 гг'!H163</f>
        <v>3858162</v>
      </c>
      <c r="M162" s="368">
        <v>0</v>
      </c>
      <c r="N162" s="368">
        <v>0</v>
      </c>
      <c r="O162" s="368">
        <v>0</v>
      </c>
      <c r="P162" s="368">
        <f t="shared" si="7"/>
        <v>3858162</v>
      </c>
      <c r="Q162" s="368">
        <v>0</v>
      </c>
      <c r="R162" s="368">
        <v>0</v>
      </c>
      <c r="S162" s="368" t="s">
        <v>589</v>
      </c>
      <c r="T162" s="126"/>
      <c r="U162" s="127"/>
    </row>
    <row r="163" spans="1:21" ht="9" customHeight="1">
      <c r="A163" s="366">
        <v>146</v>
      </c>
      <c r="B163" s="309" t="s">
        <v>1064</v>
      </c>
      <c r="C163" s="351" t="s">
        <v>1155</v>
      </c>
      <c r="D163" s="207" t="s">
        <v>1154</v>
      </c>
      <c r="E163" s="310" t="s">
        <v>607</v>
      </c>
      <c r="F163" s="311" t="s">
        <v>88</v>
      </c>
      <c r="G163" s="311">
        <v>5</v>
      </c>
      <c r="H163" s="312">
        <v>4</v>
      </c>
      <c r="I163" s="313">
        <v>3813.8</v>
      </c>
      <c r="J163" s="313">
        <v>3523.8</v>
      </c>
      <c r="K163" s="313">
        <v>131</v>
      </c>
      <c r="L163" s="205">
        <f>'Приложение 2 КСП 2018-2019 гг'!H164</f>
        <v>3848460</v>
      </c>
      <c r="M163" s="368">
        <v>0</v>
      </c>
      <c r="N163" s="368">
        <v>0</v>
      </c>
      <c r="O163" s="368">
        <v>0</v>
      </c>
      <c r="P163" s="368">
        <f t="shared" si="7"/>
        <v>3848460</v>
      </c>
      <c r="Q163" s="368">
        <v>0</v>
      </c>
      <c r="R163" s="368">
        <v>0</v>
      </c>
      <c r="S163" s="368" t="s">
        <v>589</v>
      </c>
      <c r="T163" s="126"/>
      <c r="U163" s="127"/>
    </row>
    <row r="164" spans="1:21" ht="9" customHeight="1">
      <c r="A164" s="366">
        <v>147</v>
      </c>
      <c r="B164" s="309" t="s">
        <v>1065</v>
      </c>
      <c r="C164" s="351" t="s">
        <v>1155</v>
      </c>
      <c r="D164" s="207" t="s">
        <v>1154</v>
      </c>
      <c r="E164" s="310" t="s">
        <v>299</v>
      </c>
      <c r="F164" s="311" t="s">
        <v>90</v>
      </c>
      <c r="G164" s="311">
        <v>5</v>
      </c>
      <c r="H164" s="312">
        <v>8</v>
      </c>
      <c r="I164" s="313">
        <v>6928</v>
      </c>
      <c r="J164" s="313">
        <v>5924.7</v>
      </c>
      <c r="K164" s="313">
        <v>282</v>
      </c>
      <c r="L164" s="205">
        <f>'Приложение 2 КСП 2018-2019 гг'!H165</f>
        <v>15092739.390000001</v>
      </c>
      <c r="M164" s="368">
        <v>0</v>
      </c>
      <c r="N164" s="368">
        <v>0</v>
      </c>
      <c r="O164" s="368">
        <v>0</v>
      </c>
      <c r="P164" s="368">
        <f t="shared" si="7"/>
        <v>15092739.390000001</v>
      </c>
      <c r="Q164" s="368">
        <v>0</v>
      </c>
      <c r="R164" s="368">
        <v>0</v>
      </c>
      <c r="S164" s="368" t="s">
        <v>589</v>
      </c>
      <c r="T164" s="126"/>
      <c r="U164" s="127"/>
    </row>
    <row r="165" spans="1:21" ht="9" customHeight="1">
      <c r="A165" s="366">
        <v>148</v>
      </c>
      <c r="B165" s="309" t="s">
        <v>230</v>
      </c>
      <c r="C165" s="351" t="s">
        <v>1156</v>
      </c>
      <c r="D165" s="386" t="s">
        <v>1154</v>
      </c>
      <c r="E165" s="310">
        <v>1917</v>
      </c>
      <c r="F165" s="311" t="s">
        <v>88</v>
      </c>
      <c r="G165" s="311">
        <v>3</v>
      </c>
      <c r="H165" s="312">
        <v>1</v>
      </c>
      <c r="I165" s="313">
        <v>703.1</v>
      </c>
      <c r="J165" s="313">
        <v>634.79999999999995</v>
      </c>
      <c r="K165" s="313">
        <v>19</v>
      </c>
      <c r="L165" s="205">
        <f>'Приложение 2 КСП 2018-2019 гг'!H166</f>
        <v>1106278.29</v>
      </c>
      <c r="M165" s="378">
        <v>0</v>
      </c>
      <c r="N165" s="368">
        <v>0</v>
      </c>
      <c r="O165" s="368">
        <v>0</v>
      </c>
      <c r="P165" s="368">
        <f t="shared" si="7"/>
        <v>1106278.29</v>
      </c>
      <c r="Q165" s="368">
        <v>0</v>
      </c>
      <c r="R165" s="368">
        <v>0</v>
      </c>
      <c r="S165" s="368" t="s">
        <v>589</v>
      </c>
      <c r="T165" s="126"/>
      <c r="U165" s="127"/>
    </row>
    <row r="166" spans="1:21" ht="9" customHeight="1">
      <c r="A166" s="366">
        <v>149</v>
      </c>
      <c r="B166" s="309" t="s">
        <v>1037</v>
      </c>
      <c r="C166" s="351" t="s">
        <v>1155</v>
      </c>
      <c r="D166" s="386" t="s">
        <v>1154</v>
      </c>
      <c r="E166" s="310">
        <v>1966</v>
      </c>
      <c r="F166" s="311" t="s">
        <v>90</v>
      </c>
      <c r="G166" s="311">
        <v>4</v>
      </c>
      <c r="H166" s="312">
        <v>4</v>
      </c>
      <c r="I166" s="313">
        <v>3064</v>
      </c>
      <c r="J166" s="313">
        <v>2829.6</v>
      </c>
      <c r="K166" s="313">
        <v>132</v>
      </c>
      <c r="L166" s="205">
        <f>'Приложение 2 КСП 2018-2019 гг'!H167</f>
        <v>857510.28</v>
      </c>
      <c r="M166" s="378">
        <v>0</v>
      </c>
      <c r="N166" s="368">
        <v>0</v>
      </c>
      <c r="O166" s="368">
        <v>0</v>
      </c>
      <c r="P166" s="368">
        <f t="shared" si="7"/>
        <v>857510.28</v>
      </c>
      <c r="Q166" s="368">
        <v>0</v>
      </c>
      <c r="R166" s="368">
        <v>0</v>
      </c>
      <c r="S166" s="368" t="s">
        <v>589</v>
      </c>
      <c r="T166" s="126"/>
      <c r="U166" s="127"/>
    </row>
    <row r="167" spans="1:21" ht="24.75" customHeight="1">
      <c r="A167" s="946" t="s">
        <v>222</v>
      </c>
      <c r="B167" s="946"/>
      <c r="C167" s="132"/>
      <c r="D167" s="365"/>
      <c r="E167" s="141" t="s">
        <v>391</v>
      </c>
      <c r="F167" s="141" t="s">
        <v>391</v>
      </c>
      <c r="G167" s="141" t="s">
        <v>391</v>
      </c>
      <c r="H167" s="141" t="s">
        <v>391</v>
      </c>
      <c r="I167" s="362">
        <f>SUM(I160:I166)</f>
        <v>22376.699999999997</v>
      </c>
      <c r="J167" s="362">
        <f t="shared" ref="J167:R167" si="8">SUM(J160:J166)</f>
        <v>18638.3</v>
      </c>
      <c r="K167" s="362">
        <f t="shared" si="8"/>
        <v>825</v>
      </c>
      <c r="L167" s="362">
        <f t="shared" si="8"/>
        <v>30671549.82</v>
      </c>
      <c r="M167" s="362">
        <f t="shared" si="8"/>
        <v>0</v>
      </c>
      <c r="N167" s="362">
        <f t="shared" si="8"/>
        <v>0</v>
      </c>
      <c r="O167" s="362">
        <f t="shared" si="8"/>
        <v>0</v>
      </c>
      <c r="P167" s="362">
        <f t="shared" si="8"/>
        <v>30671549.82</v>
      </c>
      <c r="Q167" s="362">
        <f t="shared" si="8"/>
        <v>0</v>
      </c>
      <c r="R167" s="362">
        <f t="shared" si="8"/>
        <v>0</v>
      </c>
      <c r="S167" s="368"/>
      <c r="T167" s="126"/>
      <c r="U167" s="127"/>
    </row>
    <row r="168" spans="1:21" ht="9" customHeight="1">
      <c r="A168" s="821" t="s">
        <v>232</v>
      </c>
      <c r="B168" s="821"/>
      <c r="C168" s="821"/>
      <c r="D168" s="821"/>
      <c r="E168" s="821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21"/>
      <c r="Q168" s="821"/>
      <c r="R168" s="821"/>
      <c r="S168" s="821"/>
      <c r="T168" s="297"/>
      <c r="U168" s="297"/>
    </row>
    <row r="169" spans="1:21" ht="9" customHeight="1">
      <c r="A169" s="366">
        <v>150</v>
      </c>
      <c r="B169" s="213" t="s">
        <v>763</v>
      </c>
      <c r="C169" s="352" t="s">
        <v>1155</v>
      </c>
      <c r="D169" s="214" t="s">
        <v>1154</v>
      </c>
      <c r="E169" s="215" t="s">
        <v>617</v>
      </c>
      <c r="F169" s="216" t="s">
        <v>90</v>
      </c>
      <c r="G169" s="216">
        <v>5</v>
      </c>
      <c r="H169" s="314">
        <v>6</v>
      </c>
      <c r="I169" s="217">
        <v>4378.8999999999996</v>
      </c>
      <c r="J169" s="217">
        <v>3936.1</v>
      </c>
      <c r="K169" s="314">
        <v>18</v>
      </c>
      <c r="L169" s="205">
        <f>'Приложение 2 КСП 2018-2019 гг'!H170</f>
        <v>3770754</v>
      </c>
      <c r="M169" s="368">
        <v>0</v>
      </c>
      <c r="N169" s="368">
        <v>0</v>
      </c>
      <c r="O169" s="368">
        <v>0</v>
      </c>
      <c r="P169" s="368">
        <f>L169</f>
        <v>3770754</v>
      </c>
      <c r="Q169" s="368">
        <v>0</v>
      </c>
      <c r="R169" s="368">
        <v>0</v>
      </c>
      <c r="S169" s="132" t="s">
        <v>589</v>
      </c>
      <c r="T169" s="126"/>
      <c r="U169" s="127"/>
    </row>
    <row r="170" spans="1:21" ht="9" customHeight="1">
      <c r="A170" s="366">
        <v>151</v>
      </c>
      <c r="B170" s="213" t="s">
        <v>764</v>
      </c>
      <c r="C170" s="352" t="s">
        <v>1155</v>
      </c>
      <c r="D170" s="214" t="s">
        <v>1154</v>
      </c>
      <c r="E170" s="215" t="s">
        <v>299</v>
      </c>
      <c r="F170" s="216" t="s">
        <v>88</v>
      </c>
      <c r="G170" s="216">
        <v>5</v>
      </c>
      <c r="H170" s="314">
        <v>4</v>
      </c>
      <c r="I170" s="217">
        <v>3170.6</v>
      </c>
      <c r="J170" s="217">
        <v>2892.3</v>
      </c>
      <c r="K170" s="314">
        <v>131</v>
      </c>
      <c r="L170" s="205">
        <f>'Приложение 2 КСП 2018-2019 гг'!H171</f>
        <v>2409815.2000000002</v>
      </c>
      <c r="M170" s="368">
        <v>0</v>
      </c>
      <c r="N170" s="368">
        <v>0</v>
      </c>
      <c r="O170" s="368">
        <v>0</v>
      </c>
      <c r="P170" s="368">
        <f t="shared" ref="P170:P181" si="9">L170</f>
        <v>2409815.2000000002</v>
      </c>
      <c r="Q170" s="368">
        <v>0</v>
      </c>
      <c r="R170" s="368">
        <v>0</v>
      </c>
      <c r="S170" s="132" t="s">
        <v>589</v>
      </c>
      <c r="T170" s="126"/>
      <c r="U170" s="127"/>
    </row>
    <row r="171" spans="1:21" ht="9" customHeight="1">
      <c r="A171" s="366">
        <v>152</v>
      </c>
      <c r="B171" s="213" t="s">
        <v>765</v>
      </c>
      <c r="C171" s="352" t="s">
        <v>1155</v>
      </c>
      <c r="D171" s="214" t="s">
        <v>1154</v>
      </c>
      <c r="E171" s="215" t="s">
        <v>599</v>
      </c>
      <c r="F171" s="216" t="s">
        <v>88</v>
      </c>
      <c r="G171" s="216">
        <v>5</v>
      </c>
      <c r="H171" s="314">
        <v>6</v>
      </c>
      <c r="I171" s="217">
        <v>4550.1000000000004</v>
      </c>
      <c r="J171" s="217">
        <v>4096.3999999999996</v>
      </c>
      <c r="K171" s="314">
        <v>144</v>
      </c>
      <c r="L171" s="205">
        <f>'Приложение 2 КСП 2018-2019 гг'!H172</f>
        <v>1851572.8</v>
      </c>
      <c r="M171" s="346">
        <v>0</v>
      </c>
      <c r="N171" s="149">
        <v>0</v>
      </c>
      <c r="O171" s="368">
        <v>0</v>
      </c>
      <c r="P171" s="368">
        <f t="shared" si="9"/>
        <v>1851572.8</v>
      </c>
      <c r="Q171" s="368">
        <v>0</v>
      </c>
      <c r="R171" s="368">
        <v>0</v>
      </c>
      <c r="S171" s="132" t="s">
        <v>589</v>
      </c>
      <c r="T171" s="126"/>
      <c r="U171" s="127"/>
    </row>
    <row r="172" spans="1:21" ht="9" customHeight="1">
      <c r="A172" s="366">
        <v>153</v>
      </c>
      <c r="B172" s="213" t="s">
        <v>766</v>
      </c>
      <c r="C172" s="352" t="s">
        <v>1155</v>
      </c>
      <c r="D172" s="214" t="s">
        <v>1154</v>
      </c>
      <c r="E172" s="215" t="s">
        <v>299</v>
      </c>
      <c r="F172" s="216" t="s">
        <v>88</v>
      </c>
      <c r="G172" s="216">
        <v>5</v>
      </c>
      <c r="H172" s="314">
        <v>5</v>
      </c>
      <c r="I172" s="217">
        <v>4074.4</v>
      </c>
      <c r="J172" s="217">
        <v>3701.7</v>
      </c>
      <c r="K172" s="314">
        <v>76</v>
      </c>
      <c r="L172" s="205">
        <f>'Приложение 2 КСП 2018-2019 гг'!H173</f>
        <v>2982596.4</v>
      </c>
      <c r="M172" s="346">
        <v>0</v>
      </c>
      <c r="N172" s="149">
        <v>0</v>
      </c>
      <c r="O172" s="368">
        <v>0</v>
      </c>
      <c r="P172" s="368">
        <f t="shared" si="9"/>
        <v>2982596.4</v>
      </c>
      <c r="Q172" s="368">
        <v>0</v>
      </c>
      <c r="R172" s="368">
        <v>0</v>
      </c>
      <c r="S172" s="132" t="s">
        <v>589</v>
      </c>
      <c r="T172" s="126"/>
      <c r="U172" s="127"/>
    </row>
    <row r="173" spans="1:21" ht="9" customHeight="1">
      <c r="A173" s="366">
        <v>154</v>
      </c>
      <c r="B173" s="213" t="s">
        <v>767</v>
      </c>
      <c r="C173" s="352" t="s">
        <v>1155</v>
      </c>
      <c r="D173" s="214" t="s">
        <v>1154</v>
      </c>
      <c r="E173" s="215" t="s">
        <v>599</v>
      </c>
      <c r="F173" s="216" t="s">
        <v>88</v>
      </c>
      <c r="G173" s="216">
        <v>5</v>
      </c>
      <c r="H173" s="314">
        <v>2</v>
      </c>
      <c r="I173" s="217">
        <v>1483.7</v>
      </c>
      <c r="J173" s="217">
        <v>1344.9</v>
      </c>
      <c r="K173" s="314">
        <v>49</v>
      </c>
      <c r="L173" s="205">
        <f>'Приложение 2 КСП 2018-2019 гг'!H174</f>
        <v>1529682</v>
      </c>
      <c r="M173" s="368">
        <v>0</v>
      </c>
      <c r="N173" s="368">
        <v>0</v>
      </c>
      <c r="O173" s="368">
        <v>0</v>
      </c>
      <c r="P173" s="368">
        <f t="shared" si="9"/>
        <v>1529682</v>
      </c>
      <c r="Q173" s="368">
        <v>0</v>
      </c>
      <c r="R173" s="368">
        <v>0</v>
      </c>
      <c r="S173" s="132" t="s">
        <v>589</v>
      </c>
      <c r="T173" s="126"/>
      <c r="U173" s="127"/>
    </row>
    <row r="174" spans="1:21" ht="9" customHeight="1">
      <c r="A174" s="366">
        <v>155</v>
      </c>
      <c r="B174" s="213" t="s">
        <v>768</v>
      </c>
      <c r="C174" s="352" t="s">
        <v>1155</v>
      </c>
      <c r="D174" s="207" t="s">
        <v>1154</v>
      </c>
      <c r="E174" s="215" t="s">
        <v>617</v>
      </c>
      <c r="F174" s="216" t="s">
        <v>88</v>
      </c>
      <c r="G174" s="216">
        <v>5</v>
      </c>
      <c r="H174" s="314">
        <v>4</v>
      </c>
      <c r="I174" s="217">
        <v>3633.2</v>
      </c>
      <c r="J174" s="217">
        <v>3203</v>
      </c>
      <c r="K174" s="314">
        <v>71</v>
      </c>
      <c r="L174" s="205">
        <f>'Приложение 2 КСП 2018-2019 гг'!H175</f>
        <v>3534040</v>
      </c>
      <c r="M174" s="368">
        <v>0</v>
      </c>
      <c r="N174" s="368">
        <v>0</v>
      </c>
      <c r="O174" s="368">
        <v>0</v>
      </c>
      <c r="P174" s="368">
        <f t="shared" si="9"/>
        <v>3534040</v>
      </c>
      <c r="Q174" s="368">
        <v>0</v>
      </c>
      <c r="R174" s="368">
        <v>0</v>
      </c>
      <c r="S174" s="132" t="s">
        <v>589</v>
      </c>
      <c r="T174" s="126"/>
      <c r="U174" s="127"/>
    </row>
    <row r="175" spans="1:21" ht="9" customHeight="1">
      <c r="A175" s="366">
        <v>156</v>
      </c>
      <c r="B175" s="213" t="s">
        <v>769</v>
      </c>
      <c r="C175" s="352" t="s">
        <v>1155</v>
      </c>
      <c r="D175" s="207" t="s">
        <v>1154</v>
      </c>
      <c r="E175" s="215" t="s">
        <v>299</v>
      </c>
      <c r="F175" s="216" t="s">
        <v>90</v>
      </c>
      <c r="G175" s="216">
        <v>3</v>
      </c>
      <c r="H175" s="314">
        <v>3</v>
      </c>
      <c r="I175" s="217">
        <v>1391.7</v>
      </c>
      <c r="J175" s="217">
        <v>1271</v>
      </c>
      <c r="K175" s="314">
        <v>30</v>
      </c>
      <c r="L175" s="205">
        <f>'Приложение 2 КСП 2018-2019 гг'!H176</f>
        <v>2000400</v>
      </c>
      <c r="M175" s="368">
        <v>0</v>
      </c>
      <c r="N175" s="368">
        <v>0</v>
      </c>
      <c r="O175" s="368">
        <v>0</v>
      </c>
      <c r="P175" s="368">
        <f t="shared" si="9"/>
        <v>2000400</v>
      </c>
      <c r="Q175" s="368">
        <v>0</v>
      </c>
      <c r="R175" s="368">
        <v>0</v>
      </c>
      <c r="S175" s="132" t="s">
        <v>589</v>
      </c>
      <c r="T175" s="126"/>
      <c r="U175" s="127"/>
    </row>
    <row r="176" spans="1:21" ht="9" customHeight="1">
      <c r="A176" s="366">
        <v>157</v>
      </c>
      <c r="B176" s="213" t="s">
        <v>770</v>
      </c>
      <c r="C176" s="352" t="s">
        <v>1155</v>
      </c>
      <c r="D176" s="207" t="s">
        <v>1154</v>
      </c>
      <c r="E176" s="215" t="s">
        <v>592</v>
      </c>
      <c r="F176" s="216" t="s">
        <v>88</v>
      </c>
      <c r="G176" s="216">
        <v>5</v>
      </c>
      <c r="H176" s="314">
        <v>6</v>
      </c>
      <c r="I176" s="217">
        <v>4908.8</v>
      </c>
      <c r="J176" s="217">
        <v>4444.8</v>
      </c>
      <c r="K176" s="314">
        <v>21</v>
      </c>
      <c r="L176" s="205">
        <f>'Приложение 2 КСП 2018-2019 гг'!H177</f>
        <v>4487564</v>
      </c>
      <c r="M176" s="368">
        <v>0</v>
      </c>
      <c r="N176" s="368">
        <v>0</v>
      </c>
      <c r="O176" s="368">
        <v>0</v>
      </c>
      <c r="P176" s="368">
        <f t="shared" si="9"/>
        <v>4487564</v>
      </c>
      <c r="Q176" s="368">
        <v>0</v>
      </c>
      <c r="R176" s="368">
        <v>0</v>
      </c>
      <c r="S176" s="132" t="s">
        <v>589</v>
      </c>
      <c r="T176" s="126"/>
      <c r="U176" s="127"/>
    </row>
    <row r="177" spans="1:22" ht="9" customHeight="1">
      <c r="A177" s="366">
        <v>158</v>
      </c>
      <c r="B177" s="213" t="s">
        <v>771</v>
      </c>
      <c r="C177" s="352" t="s">
        <v>1155</v>
      </c>
      <c r="D177" s="207" t="s">
        <v>1154</v>
      </c>
      <c r="E177" s="215" t="s">
        <v>592</v>
      </c>
      <c r="F177" s="216" t="s">
        <v>88</v>
      </c>
      <c r="G177" s="216">
        <v>2</v>
      </c>
      <c r="H177" s="314">
        <v>3</v>
      </c>
      <c r="I177" s="217">
        <v>946.2</v>
      </c>
      <c r="J177" s="217">
        <v>861.6</v>
      </c>
      <c r="K177" s="314">
        <v>29</v>
      </c>
      <c r="L177" s="205">
        <f>'Приложение 2 КСП 2018-2019 гг'!H178</f>
        <v>2600136</v>
      </c>
      <c r="M177" s="368">
        <v>0</v>
      </c>
      <c r="N177" s="368">
        <v>0</v>
      </c>
      <c r="O177" s="368">
        <v>0</v>
      </c>
      <c r="P177" s="368">
        <f t="shared" si="9"/>
        <v>2600136</v>
      </c>
      <c r="Q177" s="368">
        <v>0</v>
      </c>
      <c r="R177" s="368">
        <v>0</v>
      </c>
      <c r="S177" s="132" t="s">
        <v>589</v>
      </c>
      <c r="T177" s="126"/>
      <c r="U177" s="127"/>
    </row>
    <row r="178" spans="1:22" ht="9" customHeight="1">
      <c r="A178" s="366">
        <v>159</v>
      </c>
      <c r="B178" s="213" t="s">
        <v>772</v>
      </c>
      <c r="C178" s="352" t="s">
        <v>1155</v>
      </c>
      <c r="D178" s="207" t="s">
        <v>1154</v>
      </c>
      <c r="E178" s="215" t="s">
        <v>299</v>
      </c>
      <c r="F178" s="216" t="s">
        <v>88</v>
      </c>
      <c r="G178" s="216">
        <v>2</v>
      </c>
      <c r="H178" s="314">
        <v>3</v>
      </c>
      <c r="I178" s="217">
        <v>916</v>
      </c>
      <c r="J178" s="217">
        <v>836.9</v>
      </c>
      <c r="K178" s="314">
        <v>133</v>
      </c>
      <c r="L178" s="205">
        <f>'Приложение 2 КСП 2018-2019 гг'!H179</f>
        <v>2277122</v>
      </c>
      <c r="M178" s="368">
        <v>0</v>
      </c>
      <c r="N178" s="368">
        <v>0</v>
      </c>
      <c r="O178" s="368">
        <v>0</v>
      </c>
      <c r="P178" s="368">
        <f t="shared" si="9"/>
        <v>2277122</v>
      </c>
      <c r="Q178" s="368">
        <v>0</v>
      </c>
      <c r="R178" s="368">
        <v>0</v>
      </c>
      <c r="S178" s="132" t="s">
        <v>589</v>
      </c>
      <c r="T178" s="126"/>
      <c r="U178" s="127"/>
    </row>
    <row r="179" spans="1:22" ht="9" customHeight="1">
      <c r="A179" s="366">
        <v>160</v>
      </c>
      <c r="B179" s="213" t="s">
        <v>773</v>
      </c>
      <c r="C179" s="352" t="s">
        <v>1155</v>
      </c>
      <c r="D179" s="207" t="s">
        <v>1154</v>
      </c>
      <c r="E179" s="215" t="s">
        <v>593</v>
      </c>
      <c r="F179" s="216" t="s">
        <v>90</v>
      </c>
      <c r="G179" s="216">
        <v>5</v>
      </c>
      <c r="H179" s="314">
        <v>1</v>
      </c>
      <c r="I179" s="217">
        <v>2427.5</v>
      </c>
      <c r="J179" s="217">
        <v>1990.5</v>
      </c>
      <c r="K179" s="314">
        <v>70</v>
      </c>
      <c r="L179" s="205">
        <f>'Приложение 2 КСП 2018-2019 гг'!H180</f>
        <v>2120424</v>
      </c>
      <c r="M179" s="368">
        <v>0</v>
      </c>
      <c r="N179" s="368">
        <v>0</v>
      </c>
      <c r="O179" s="368">
        <v>0</v>
      </c>
      <c r="P179" s="368">
        <f t="shared" si="9"/>
        <v>2120424</v>
      </c>
      <c r="Q179" s="368">
        <v>0</v>
      </c>
      <c r="R179" s="368">
        <v>0</v>
      </c>
      <c r="S179" s="132" t="s">
        <v>589</v>
      </c>
      <c r="T179" s="126"/>
      <c r="U179" s="127"/>
    </row>
    <row r="180" spans="1:22" ht="9" customHeight="1">
      <c r="A180" s="366">
        <v>161</v>
      </c>
      <c r="B180" s="213" t="s">
        <v>774</v>
      </c>
      <c r="C180" s="352" t="s">
        <v>1155</v>
      </c>
      <c r="D180" s="207" t="s">
        <v>1154</v>
      </c>
      <c r="E180" s="215" t="s">
        <v>608</v>
      </c>
      <c r="F180" s="216" t="s">
        <v>90</v>
      </c>
      <c r="G180" s="216">
        <v>5</v>
      </c>
      <c r="H180" s="314">
        <v>6</v>
      </c>
      <c r="I180" s="217">
        <v>4950.8999999999996</v>
      </c>
      <c r="J180" s="217">
        <v>4338.1000000000004</v>
      </c>
      <c r="K180" s="314">
        <v>190</v>
      </c>
      <c r="L180" s="205">
        <f>'Приложение 2 КСП 2018-2019 гг'!H181</f>
        <v>4467560</v>
      </c>
      <c r="M180" s="368">
        <v>0</v>
      </c>
      <c r="N180" s="368">
        <v>0</v>
      </c>
      <c r="O180" s="368">
        <v>0</v>
      </c>
      <c r="P180" s="368">
        <f t="shared" si="9"/>
        <v>4467560</v>
      </c>
      <c r="Q180" s="368">
        <v>0</v>
      </c>
      <c r="R180" s="368">
        <v>0</v>
      </c>
      <c r="S180" s="132" t="s">
        <v>589</v>
      </c>
      <c r="T180" s="126"/>
      <c r="U180" s="127"/>
    </row>
    <row r="181" spans="1:22" ht="9" customHeight="1">
      <c r="A181" s="366">
        <v>162</v>
      </c>
      <c r="B181" s="213" t="s">
        <v>1054</v>
      </c>
      <c r="C181" s="352" t="s">
        <v>1155</v>
      </c>
      <c r="D181" s="207" t="s">
        <v>1154</v>
      </c>
      <c r="E181" s="215">
        <v>1975</v>
      </c>
      <c r="F181" s="216" t="s">
        <v>90</v>
      </c>
      <c r="G181" s="216">
        <v>2</v>
      </c>
      <c r="H181" s="216">
        <v>3</v>
      </c>
      <c r="I181" s="217">
        <v>863.8</v>
      </c>
      <c r="J181" s="217">
        <v>777.4</v>
      </c>
      <c r="K181" s="133">
        <v>42</v>
      </c>
      <c r="L181" s="205">
        <f>'Приложение 2 КСП 2018-2019 гг'!H182</f>
        <v>1703674</v>
      </c>
      <c r="M181" s="368">
        <v>0</v>
      </c>
      <c r="N181" s="368">
        <v>0</v>
      </c>
      <c r="O181" s="368">
        <v>0</v>
      </c>
      <c r="P181" s="368">
        <f t="shared" si="9"/>
        <v>1703674</v>
      </c>
      <c r="Q181" s="368">
        <v>0</v>
      </c>
      <c r="R181" s="368">
        <v>0</v>
      </c>
      <c r="S181" s="132" t="s">
        <v>589</v>
      </c>
      <c r="T181" s="126"/>
      <c r="U181" s="127"/>
    </row>
    <row r="182" spans="1:22" ht="24.75" customHeight="1">
      <c r="A182" s="946" t="s">
        <v>231</v>
      </c>
      <c r="B182" s="946"/>
      <c r="C182" s="132"/>
      <c r="D182" s="365"/>
      <c r="E182" s="141" t="s">
        <v>391</v>
      </c>
      <c r="F182" s="141" t="s">
        <v>391</v>
      </c>
      <c r="G182" s="141" t="s">
        <v>391</v>
      </c>
      <c r="H182" s="141" t="s">
        <v>391</v>
      </c>
      <c r="I182" s="362">
        <f>SUM(I169:I181)</f>
        <v>37695.800000000003</v>
      </c>
      <c r="J182" s="362">
        <f t="shared" ref="J182:R182" si="10">SUM(J169:J181)</f>
        <v>33694.700000000004</v>
      </c>
      <c r="K182" s="362">
        <f t="shared" si="10"/>
        <v>1004</v>
      </c>
      <c r="L182" s="362">
        <f t="shared" si="10"/>
        <v>35735340.399999999</v>
      </c>
      <c r="M182" s="362">
        <f t="shared" si="10"/>
        <v>0</v>
      </c>
      <c r="N182" s="362">
        <f t="shared" si="10"/>
        <v>0</v>
      </c>
      <c r="O182" s="362">
        <f t="shared" si="10"/>
        <v>0</v>
      </c>
      <c r="P182" s="362">
        <f t="shared" si="10"/>
        <v>35735340.399999999</v>
      </c>
      <c r="Q182" s="362">
        <f t="shared" si="10"/>
        <v>0</v>
      </c>
      <c r="R182" s="362">
        <f t="shared" si="10"/>
        <v>0</v>
      </c>
      <c r="S182" s="362"/>
      <c r="T182" s="367"/>
      <c r="U182" s="127"/>
      <c r="V182" s="296"/>
    </row>
    <row r="183" spans="1:22" ht="9" customHeight="1">
      <c r="A183" s="821" t="s">
        <v>242</v>
      </c>
      <c r="B183" s="821"/>
      <c r="C183" s="821"/>
      <c r="D183" s="821"/>
      <c r="E183" s="821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297"/>
      <c r="U183" s="297"/>
      <c r="V183" s="296"/>
    </row>
    <row r="184" spans="1:22" ht="9" customHeight="1">
      <c r="A184" s="366">
        <v>163</v>
      </c>
      <c r="B184" s="315" t="s">
        <v>1016</v>
      </c>
      <c r="C184" s="353" t="s">
        <v>1155</v>
      </c>
      <c r="D184" s="207" t="s">
        <v>1154</v>
      </c>
      <c r="E184" s="317" t="s">
        <v>788</v>
      </c>
      <c r="F184" s="318" t="s">
        <v>88</v>
      </c>
      <c r="G184" s="319">
        <v>3</v>
      </c>
      <c r="H184" s="319">
        <v>3</v>
      </c>
      <c r="I184" s="320">
        <v>2216.6</v>
      </c>
      <c r="J184" s="320">
        <v>1523.7</v>
      </c>
      <c r="K184" s="319">
        <v>60</v>
      </c>
      <c r="L184" s="205">
        <f>'Приложение 2 КСП 2018-2019 гг'!H185</f>
        <v>2690688</v>
      </c>
      <c r="M184" s="368">
        <v>0</v>
      </c>
      <c r="N184" s="368">
        <v>0</v>
      </c>
      <c r="O184" s="368">
        <v>0</v>
      </c>
      <c r="P184" s="368">
        <f t="shared" ref="P184" si="11">L184</f>
        <v>2690688</v>
      </c>
      <c r="Q184" s="368">
        <v>0</v>
      </c>
      <c r="R184" s="368">
        <v>0</v>
      </c>
      <c r="S184" s="132" t="s">
        <v>589</v>
      </c>
      <c r="T184" s="126"/>
      <c r="U184" s="127"/>
      <c r="V184" s="296"/>
    </row>
    <row r="185" spans="1:22" ht="9" customHeight="1">
      <c r="A185" s="366">
        <v>164</v>
      </c>
      <c r="B185" s="315" t="s">
        <v>1018</v>
      </c>
      <c r="C185" s="353" t="s">
        <v>1155</v>
      </c>
      <c r="D185" s="207" t="s">
        <v>1154</v>
      </c>
      <c r="E185" s="317" t="s">
        <v>599</v>
      </c>
      <c r="F185" s="318" t="s">
        <v>88</v>
      </c>
      <c r="G185" s="319">
        <v>2</v>
      </c>
      <c r="H185" s="319">
        <v>3</v>
      </c>
      <c r="I185" s="320">
        <v>891.9</v>
      </c>
      <c r="J185" s="320">
        <v>848.3</v>
      </c>
      <c r="K185" s="319">
        <v>135</v>
      </c>
      <c r="L185" s="205">
        <f>'Приложение 2 КСП 2018-2019 гг'!H186</f>
        <v>2461074</v>
      </c>
      <c r="M185" s="368">
        <v>0</v>
      </c>
      <c r="N185" s="368">
        <v>0</v>
      </c>
      <c r="O185" s="368">
        <v>0</v>
      </c>
      <c r="P185" s="368">
        <f t="shared" ref="P185:P186" si="12">L185</f>
        <v>2461074</v>
      </c>
      <c r="Q185" s="368">
        <v>0</v>
      </c>
      <c r="R185" s="368">
        <v>0</v>
      </c>
      <c r="S185" s="132" t="s">
        <v>589</v>
      </c>
      <c r="T185" s="126"/>
      <c r="U185" s="127"/>
      <c r="V185" s="296"/>
    </row>
    <row r="186" spans="1:22" ht="9" customHeight="1">
      <c r="A186" s="366">
        <v>165</v>
      </c>
      <c r="B186" s="315" t="s">
        <v>1017</v>
      </c>
      <c r="C186" s="353" t="s">
        <v>1155</v>
      </c>
      <c r="D186" s="207" t="s">
        <v>1154</v>
      </c>
      <c r="E186" s="317" t="s">
        <v>618</v>
      </c>
      <c r="F186" s="318" t="s">
        <v>88</v>
      </c>
      <c r="G186" s="319">
        <v>5</v>
      </c>
      <c r="H186" s="319">
        <v>1</v>
      </c>
      <c r="I186" s="320">
        <v>3026.4</v>
      </c>
      <c r="J186" s="320">
        <v>2440.6</v>
      </c>
      <c r="K186" s="319">
        <v>85</v>
      </c>
      <c r="L186" s="205">
        <f>'Приложение 2 КСП 2018-2019 гг'!H187</f>
        <v>2040408</v>
      </c>
      <c r="M186" s="368">
        <v>0</v>
      </c>
      <c r="N186" s="368">
        <v>0</v>
      </c>
      <c r="O186" s="368">
        <v>0</v>
      </c>
      <c r="P186" s="368">
        <f t="shared" si="12"/>
        <v>2040408</v>
      </c>
      <c r="Q186" s="368">
        <v>0</v>
      </c>
      <c r="R186" s="368">
        <v>0</v>
      </c>
      <c r="S186" s="132" t="s">
        <v>589</v>
      </c>
      <c r="T186" s="126"/>
      <c r="U186" s="127"/>
      <c r="V186" s="296"/>
    </row>
    <row r="187" spans="1:22" ht="21.75" customHeight="1">
      <c r="A187" s="946" t="s">
        <v>426</v>
      </c>
      <c r="B187" s="946"/>
      <c r="C187" s="132"/>
      <c r="D187" s="365"/>
      <c r="E187" s="366" t="s">
        <v>391</v>
      </c>
      <c r="F187" s="366" t="s">
        <v>391</v>
      </c>
      <c r="G187" s="366" t="s">
        <v>391</v>
      </c>
      <c r="H187" s="366" t="s">
        <v>391</v>
      </c>
      <c r="I187" s="368">
        <f>SUM(I184:I186)</f>
        <v>6134.9</v>
      </c>
      <c r="J187" s="368">
        <f t="shared" ref="J187:R187" si="13">SUM(J184:J186)</f>
        <v>4812.6000000000004</v>
      </c>
      <c r="K187" s="368">
        <f t="shared" si="13"/>
        <v>280</v>
      </c>
      <c r="L187" s="368">
        <f t="shared" si="13"/>
        <v>7192170</v>
      </c>
      <c r="M187" s="368">
        <f t="shared" si="13"/>
        <v>0</v>
      </c>
      <c r="N187" s="368">
        <f t="shared" si="13"/>
        <v>0</v>
      </c>
      <c r="O187" s="368">
        <f t="shared" si="13"/>
        <v>0</v>
      </c>
      <c r="P187" s="368">
        <f t="shared" si="13"/>
        <v>7192170</v>
      </c>
      <c r="Q187" s="368">
        <f t="shared" si="13"/>
        <v>0</v>
      </c>
      <c r="R187" s="368">
        <f t="shared" si="13"/>
        <v>0</v>
      </c>
      <c r="S187" s="368"/>
      <c r="T187" s="126"/>
      <c r="U187" s="127"/>
      <c r="V187" s="296"/>
    </row>
    <row r="188" spans="1:22" ht="9" customHeight="1">
      <c r="A188" s="821" t="s">
        <v>251</v>
      </c>
      <c r="B188" s="821"/>
      <c r="C188" s="821"/>
      <c r="D188" s="821"/>
      <c r="E188" s="821"/>
      <c r="F188" s="821"/>
      <c r="G188" s="821"/>
      <c r="H188" s="821"/>
      <c r="I188" s="821"/>
      <c r="J188" s="821"/>
      <c r="K188" s="821"/>
      <c r="L188" s="821"/>
      <c r="M188" s="821"/>
      <c r="N188" s="821"/>
      <c r="O188" s="821"/>
      <c r="P188" s="821"/>
      <c r="Q188" s="821"/>
      <c r="R188" s="821"/>
      <c r="S188" s="821"/>
      <c r="T188" s="297"/>
      <c r="U188" s="297"/>
      <c r="V188" s="296"/>
    </row>
    <row r="189" spans="1:22" ht="9" customHeight="1">
      <c r="A189" s="366">
        <v>166</v>
      </c>
      <c r="B189" s="321" t="s">
        <v>789</v>
      </c>
      <c r="C189" s="354" t="s">
        <v>1155</v>
      </c>
      <c r="D189" s="207" t="s">
        <v>1154</v>
      </c>
      <c r="E189" s="322" t="s">
        <v>611</v>
      </c>
      <c r="F189" s="323" t="s">
        <v>88</v>
      </c>
      <c r="G189" s="324">
        <v>5</v>
      </c>
      <c r="H189" s="324">
        <v>4</v>
      </c>
      <c r="I189" s="325">
        <v>3471.8</v>
      </c>
      <c r="J189" s="325">
        <v>3227.4</v>
      </c>
      <c r="K189" s="323">
        <v>129</v>
      </c>
      <c r="L189" s="205">
        <f>'Приложение 2 КСП 2018-2019 гг'!H190</f>
        <v>3880800</v>
      </c>
      <c r="M189" s="368">
        <v>0</v>
      </c>
      <c r="N189" s="368">
        <v>0</v>
      </c>
      <c r="O189" s="368">
        <v>0</v>
      </c>
      <c r="P189" s="368">
        <f t="shared" ref="P189:P190" si="14">L189</f>
        <v>3880800</v>
      </c>
      <c r="Q189" s="368">
        <v>0</v>
      </c>
      <c r="R189" s="368">
        <v>0</v>
      </c>
      <c r="S189" s="132" t="s">
        <v>589</v>
      </c>
      <c r="T189" s="126"/>
      <c r="U189" s="127"/>
      <c r="V189" s="296"/>
    </row>
    <row r="190" spans="1:22" ht="9" customHeight="1">
      <c r="A190" s="366">
        <v>167</v>
      </c>
      <c r="B190" s="321" t="s">
        <v>790</v>
      </c>
      <c r="C190" s="354" t="s">
        <v>1155</v>
      </c>
      <c r="D190" s="207" t="s">
        <v>1154</v>
      </c>
      <c r="E190" s="322" t="s">
        <v>596</v>
      </c>
      <c r="F190" s="323" t="s">
        <v>88</v>
      </c>
      <c r="G190" s="324">
        <v>4</v>
      </c>
      <c r="H190" s="324">
        <v>3</v>
      </c>
      <c r="I190" s="325">
        <v>2121.9</v>
      </c>
      <c r="J190" s="325">
        <f>1934.5+41.4</f>
        <v>1975.9</v>
      </c>
      <c r="K190" s="324">
        <v>105</v>
      </c>
      <c r="L190" s="205">
        <f>'Приложение 2 КСП 2018-2019 гг'!H191</f>
        <v>3880800</v>
      </c>
      <c r="M190" s="368">
        <v>0</v>
      </c>
      <c r="N190" s="368">
        <v>0</v>
      </c>
      <c r="O190" s="368">
        <v>0</v>
      </c>
      <c r="P190" s="368">
        <f t="shared" si="14"/>
        <v>3880800</v>
      </c>
      <c r="Q190" s="368">
        <v>0</v>
      </c>
      <c r="R190" s="368">
        <v>0</v>
      </c>
      <c r="S190" s="132" t="s">
        <v>589</v>
      </c>
      <c r="T190" s="126"/>
      <c r="U190" s="127"/>
      <c r="V190" s="296"/>
    </row>
    <row r="191" spans="1:22" ht="9" customHeight="1">
      <c r="A191" s="366">
        <v>168</v>
      </c>
      <c r="B191" s="321" t="s">
        <v>791</v>
      </c>
      <c r="C191" s="354" t="s">
        <v>1155</v>
      </c>
      <c r="D191" s="207" t="s">
        <v>1154</v>
      </c>
      <c r="E191" s="322" t="s">
        <v>748</v>
      </c>
      <c r="F191" s="323" t="s">
        <v>88</v>
      </c>
      <c r="G191" s="324">
        <v>2</v>
      </c>
      <c r="H191" s="324">
        <v>2</v>
      </c>
      <c r="I191" s="325">
        <v>896.32</v>
      </c>
      <c r="J191" s="325">
        <v>608.02</v>
      </c>
      <c r="K191" s="324">
        <v>28</v>
      </c>
      <c r="L191" s="205">
        <f>'Приложение 2 КСП 2018-2019 гг'!H192</f>
        <v>1747682.8</v>
      </c>
      <c r="M191" s="368">
        <v>0</v>
      </c>
      <c r="N191" s="368">
        <v>0</v>
      </c>
      <c r="O191" s="368">
        <v>0</v>
      </c>
      <c r="P191" s="368">
        <f t="shared" ref="P191:P195" si="15">L191</f>
        <v>1747682.8</v>
      </c>
      <c r="Q191" s="368">
        <v>0</v>
      </c>
      <c r="R191" s="368">
        <v>0</v>
      </c>
      <c r="S191" s="132" t="s">
        <v>589</v>
      </c>
      <c r="T191" s="126"/>
      <c r="U191" s="127"/>
      <c r="V191" s="296"/>
    </row>
    <row r="192" spans="1:22" ht="9" customHeight="1">
      <c r="A192" s="366">
        <v>169</v>
      </c>
      <c r="B192" s="321" t="s">
        <v>792</v>
      </c>
      <c r="C192" s="354" t="s">
        <v>1155</v>
      </c>
      <c r="D192" s="207" t="s">
        <v>1154</v>
      </c>
      <c r="E192" s="322" t="s">
        <v>796</v>
      </c>
      <c r="F192" s="323" t="s">
        <v>252</v>
      </c>
      <c r="G192" s="324">
        <v>2</v>
      </c>
      <c r="H192" s="324">
        <v>1</v>
      </c>
      <c r="I192" s="325">
        <v>588.20000000000005</v>
      </c>
      <c r="J192" s="325">
        <v>530</v>
      </c>
      <c r="K192" s="324">
        <v>21</v>
      </c>
      <c r="L192" s="205">
        <f>'Приложение 2 КСП 2018-2019 гг'!H193</f>
        <v>1450125.6</v>
      </c>
      <c r="M192" s="368">
        <v>0</v>
      </c>
      <c r="N192" s="368">
        <v>0</v>
      </c>
      <c r="O192" s="368">
        <v>0</v>
      </c>
      <c r="P192" s="368">
        <f t="shared" si="15"/>
        <v>1450125.6</v>
      </c>
      <c r="Q192" s="368">
        <v>0</v>
      </c>
      <c r="R192" s="368">
        <v>0</v>
      </c>
      <c r="S192" s="132" t="s">
        <v>589</v>
      </c>
      <c r="T192" s="126"/>
      <c r="U192" s="127"/>
      <c r="V192" s="296"/>
    </row>
    <row r="193" spans="1:22" ht="9" customHeight="1">
      <c r="A193" s="366">
        <v>170</v>
      </c>
      <c r="B193" s="321" t="s">
        <v>793</v>
      </c>
      <c r="C193" s="354" t="s">
        <v>1155</v>
      </c>
      <c r="D193" s="207" t="s">
        <v>1154</v>
      </c>
      <c r="E193" s="322" t="s">
        <v>797</v>
      </c>
      <c r="F193" s="323" t="s">
        <v>252</v>
      </c>
      <c r="G193" s="324">
        <v>2</v>
      </c>
      <c r="H193" s="324">
        <v>2</v>
      </c>
      <c r="I193" s="325">
        <v>427.4</v>
      </c>
      <c r="J193" s="325">
        <v>383.2</v>
      </c>
      <c r="K193" s="324">
        <v>15</v>
      </c>
      <c r="L193" s="205">
        <f>'Приложение 2 КСП 2018-2019 гг'!H194</f>
        <v>1158418.8</v>
      </c>
      <c r="M193" s="368">
        <v>0</v>
      </c>
      <c r="N193" s="368">
        <v>0</v>
      </c>
      <c r="O193" s="368">
        <v>0</v>
      </c>
      <c r="P193" s="368">
        <f t="shared" si="15"/>
        <v>1158418.8</v>
      </c>
      <c r="Q193" s="368">
        <v>0</v>
      </c>
      <c r="R193" s="368">
        <v>0</v>
      </c>
      <c r="S193" s="132" t="s">
        <v>589</v>
      </c>
      <c r="T193" s="126"/>
      <c r="U193" s="127"/>
      <c r="V193" s="296"/>
    </row>
    <row r="194" spans="1:22" ht="9" customHeight="1">
      <c r="A194" s="366">
        <v>171</v>
      </c>
      <c r="B194" s="321" t="s">
        <v>794</v>
      </c>
      <c r="C194" s="354" t="s">
        <v>1155</v>
      </c>
      <c r="D194" s="207" t="s">
        <v>1154</v>
      </c>
      <c r="E194" s="322" t="s">
        <v>797</v>
      </c>
      <c r="F194" s="323" t="s">
        <v>252</v>
      </c>
      <c r="G194" s="324">
        <v>2</v>
      </c>
      <c r="H194" s="324">
        <v>2</v>
      </c>
      <c r="I194" s="325">
        <v>429.1</v>
      </c>
      <c r="J194" s="325">
        <v>384.2</v>
      </c>
      <c r="K194" s="324">
        <v>11</v>
      </c>
      <c r="L194" s="205">
        <f>'Приложение 2 КСП 2018-2019 гг'!H195</f>
        <v>1158418.8</v>
      </c>
      <c r="M194" s="368">
        <v>0</v>
      </c>
      <c r="N194" s="368">
        <v>0</v>
      </c>
      <c r="O194" s="368">
        <v>0</v>
      </c>
      <c r="P194" s="368">
        <f t="shared" si="15"/>
        <v>1158418.8</v>
      </c>
      <c r="Q194" s="368">
        <v>0</v>
      </c>
      <c r="R194" s="368">
        <v>0</v>
      </c>
      <c r="S194" s="132" t="s">
        <v>589</v>
      </c>
      <c r="T194" s="126"/>
      <c r="U194" s="127"/>
      <c r="V194" s="296"/>
    </row>
    <row r="195" spans="1:22" ht="9" customHeight="1">
      <c r="A195" s="366">
        <v>172</v>
      </c>
      <c r="B195" s="321" t="s">
        <v>795</v>
      </c>
      <c r="C195" s="354" t="s">
        <v>1155</v>
      </c>
      <c r="D195" s="207" t="s">
        <v>1154</v>
      </c>
      <c r="E195" s="322" t="s">
        <v>748</v>
      </c>
      <c r="F195" s="323" t="s">
        <v>88</v>
      </c>
      <c r="G195" s="324">
        <v>2</v>
      </c>
      <c r="H195" s="324">
        <v>2</v>
      </c>
      <c r="I195" s="325">
        <v>658.1</v>
      </c>
      <c r="J195" s="325">
        <v>633.5</v>
      </c>
      <c r="K195" s="324">
        <v>28</v>
      </c>
      <c r="L195" s="205">
        <f>'Приложение 2 КСП 2018-2019 гг'!H196</f>
        <v>1688148</v>
      </c>
      <c r="M195" s="368">
        <v>0</v>
      </c>
      <c r="N195" s="368">
        <v>0</v>
      </c>
      <c r="O195" s="368">
        <v>0</v>
      </c>
      <c r="P195" s="368">
        <f t="shared" si="15"/>
        <v>1688148</v>
      </c>
      <c r="Q195" s="368">
        <v>0</v>
      </c>
      <c r="R195" s="368">
        <v>0</v>
      </c>
      <c r="S195" s="132" t="s">
        <v>589</v>
      </c>
      <c r="T195" s="126"/>
      <c r="U195" s="127"/>
      <c r="V195" s="296"/>
    </row>
    <row r="196" spans="1:22" ht="23.25" customHeight="1">
      <c r="A196" s="946" t="s">
        <v>250</v>
      </c>
      <c r="B196" s="946"/>
      <c r="C196" s="132"/>
      <c r="D196" s="365"/>
      <c r="E196" s="366" t="s">
        <v>391</v>
      </c>
      <c r="F196" s="366" t="s">
        <v>391</v>
      </c>
      <c r="G196" s="366" t="s">
        <v>391</v>
      </c>
      <c r="H196" s="366" t="s">
        <v>391</v>
      </c>
      <c r="I196" s="368">
        <f>SUM(I189:I195)</f>
        <v>8592.82</v>
      </c>
      <c r="J196" s="368">
        <f t="shared" ref="J196:R196" si="16">SUM(J189:J195)</f>
        <v>7742.2199999999993</v>
      </c>
      <c r="K196" s="368">
        <f t="shared" si="16"/>
        <v>337</v>
      </c>
      <c r="L196" s="368">
        <f t="shared" si="16"/>
        <v>14964394.000000002</v>
      </c>
      <c r="M196" s="368">
        <f t="shared" si="16"/>
        <v>0</v>
      </c>
      <c r="N196" s="368">
        <f t="shared" si="16"/>
        <v>0</v>
      </c>
      <c r="O196" s="368">
        <f t="shared" si="16"/>
        <v>0</v>
      </c>
      <c r="P196" s="368">
        <f t="shared" si="16"/>
        <v>14964394.000000002</v>
      </c>
      <c r="Q196" s="368">
        <f t="shared" si="16"/>
        <v>0</v>
      </c>
      <c r="R196" s="368">
        <f t="shared" si="16"/>
        <v>0</v>
      </c>
      <c r="S196" s="368"/>
      <c r="T196" s="126"/>
      <c r="U196" s="127"/>
      <c r="V196" s="296"/>
    </row>
    <row r="197" spans="1:22" ht="9" customHeight="1">
      <c r="A197" s="823" t="s">
        <v>259</v>
      </c>
      <c r="B197" s="823"/>
      <c r="C197" s="823"/>
      <c r="D197" s="823"/>
      <c r="E197" s="823"/>
      <c r="F197" s="823"/>
      <c r="G197" s="823"/>
      <c r="H197" s="823"/>
      <c r="I197" s="823"/>
      <c r="J197" s="823"/>
      <c r="K197" s="823"/>
      <c r="L197" s="823"/>
      <c r="M197" s="823"/>
      <c r="N197" s="823"/>
      <c r="O197" s="823"/>
      <c r="P197" s="823"/>
      <c r="Q197" s="823"/>
      <c r="R197" s="823"/>
      <c r="S197" s="823"/>
      <c r="T197" s="326"/>
      <c r="U197" s="326"/>
      <c r="V197" s="296"/>
    </row>
    <row r="198" spans="1:22" ht="9" customHeight="1">
      <c r="A198" s="166">
        <v>173</v>
      </c>
      <c r="B198" s="365" t="s">
        <v>804</v>
      </c>
      <c r="C198" s="132" t="s">
        <v>1155</v>
      </c>
      <c r="D198" s="207" t="s">
        <v>1154</v>
      </c>
      <c r="E198" s="366" t="s">
        <v>616</v>
      </c>
      <c r="F198" s="366" t="s">
        <v>90</v>
      </c>
      <c r="G198" s="130">
        <v>5</v>
      </c>
      <c r="H198" s="130">
        <v>6</v>
      </c>
      <c r="I198" s="368">
        <v>5571.4</v>
      </c>
      <c r="J198" s="368">
        <v>4482.8999999999996</v>
      </c>
      <c r="K198" s="130">
        <v>96</v>
      </c>
      <c r="L198" s="205">
        <f>'Приложение 2 КСП 2018-2019 гг'!H199</f>
        <v>4800960</v>
      </c>
      <c r="M198" s="368">
        <v>0</v>
      </c>
      <c r="N198" s="368">
        <v>0</v>
      </c>
      <c r="O198" s="368">
        <v>0</v>
      </c>
      <c r="P198" s="368">
        <f t="shared" ref="P198" si="17">L198</f>
        <v>4800960</v>
      </c>
      <c r="Q198" s="368">
        <v>0</v>
      </c>
      <c r="R198" s="368">
        <v>0</v>
      </c>
      <c r="S198" s="132" t="s">
        <v>589</v>
      </c>
      <c r="T198" s="126"/>
      <c r="U198" s="127"/>
      <c r="V198" s="296"/>
    </row>
    <row r="199" spans="1:22" ht="9" customHeight="1">
      <c r="A199" s="166">
        <v>174</v>
      </c>
      <c r="B199" s="365" t="s">
        <v>805</v>
      </c>
      <c r="C199" s="132" t="s">
        <v>1155</v>
      </c>
      <c r="D199" s="207" t="s">
        <v>1154</v>
      </c>
      <c r="E199" s="366" t="s">
        <v>619</v>
      </c>
      <c r="F199" s="366" t="s">
        <v>88</v>
      </c>
      <c r="G199" s="130">
        <v>2</v>
      </c>
      <c r="H199" s="130">
        <v>3</v>
      </c>
      <c r="I199" s="368">
        <v>916</v>
      </c>
      <c r="J199" s="368">
        <v>776.5</v>
      </c>
      <c r="K199" s="366">
        <v>29</v>
      </c>
      <c r="L199" s="205">
        <f>'Приложение 2 КСП 2018-2019 гг'!H200</f>
        <v>2076551.4</v>
      </c>
      <c r="M199" s="368">
        <v>0</v>
      </c>
      <c r="N199" s="368">
        <v>0</v>
      </c>
      <c r="O199" s="368">
        <v>0</v>
      </c>
      <c r="P199" s="368">
        <f t="shared" ref="P199:P200" si="18">L199</f>
        <v>2076551.4</v>
      </c>
      <c r="Q199" s="368">
        <v>0</v>
      </c>
      <c r="R199" s="368">
        <v>0</v>
      </c>
      <c r="S199" s="132" t="s">
        <v>589</v>
      </c>
      <c r="T199" s="126"/>
      <c r="U199" s="127"/>
      <c r="V199" s="296"/>
    </row>
    <row r="200" spans="1:22" ht="9" customHeight="1">
      <c r="A200" s="166">
        <v>175</v>
      </c>
      <c r="B200" s="365" t="s">
        <v>806</v>
      </c>
      <c r="C200" s="132" t="s">
        <v>1155</v>
      </c>
      <c r="D200" s="207" t="s">
        <v>1154</v>
      </c>
      <c r="E200" s="366" t="s">
        <v>219</v>
      </c>
      <c r="F200" s="366" t="s">
        <v>88</v>
      </c>
      <c r="G200" s="130">
        <v>2</v>
      </c>
      <c r="H200" s="130">
        <v>1</v>
      </c>
      <c r="I200" s="368">
        <v>402.1</v>
      </c>
      <c r="J200" s="368">
        <v>381.3</v>
      </c>
      <c r="K200" s="130">
        <v>18</v>
      </c>
      <c r="L200" s="205">
        <f>'Приложение 2 КСП 2018-2019 гг'!H201</f>
        <v>1280664</v>
      </c>
      <c r="M200" s="368">
        <v>0</v>
      </c>
      <c r="N200" s="368">
        <v>0</v>
      </c>
      <c r="O200" s="368">
        <v>0</v>
      </c>
      <c r="P200" s="368">
        <f t="shared" si="18"/>
        <v>1280664</v>
      </c>
      <c r="Q200" s="368">
        <v>0</v>
      </c>
      <c r="R200" s="368">
        <v>0</v>
      </c>
      <c r="S200" s="132" t="s">
        <v>589</v>
      </c>
      <c r="T200" s="126"/>
      <c r="U200" s="127"/>
      <c r="V200" s="296"/>
    </row>
    <row r="201" spans="1:22" ht="24" customHeight="1">
      <c r="A201" s="950" t="s">
        <v>261</v>
      </c>
      <c r="B201" s="950"/>
      <c r="C201" s="174"/>
      <c r="D201" s="364"/>
      <c r="E201" s="366" t="s">
        <v>391</v>
      </c>
      <c r="F201" s="366" t="s">
        <v>391</v>
      </c>
      <c r="G201" s="366" t="s">
        <v>391</v>
      </c>
      <c r="H201" s="366" t="s">
        <v>391</v>
      </c>
      <c r="I201" s="368">
        <f>SUM(I198:I200)</f>
        <v>6889.5</v>
      </c>
      <c r="J201" s="368">
        <f t="shared" ref="J201:R201" si="19">SUM(J198:J200)</f>
        <v>5640.7</v>
      </c>
      <c r="K201" s="368">
        <f t="shared" si="19"/>
        <v>143</v>
      </c>
      <c r="L201" s="368">
        <f t="shared" si="19"/>
        <v>8158175.4000000004</v>
      </c>
      <c r="M201" s="368">
        <f t="shared" si="19"/>
        <v>0</v>
      </c>
      <c r="N201" s="368">
        <f t="shared" si="19"/>
        <v>0</v>
      </c>
      <c r="O201" s="368">
        <f t="shared" si="19"/>
        <v>0</v>
      </c>
      <c r="P201" s="368">
        <f t="shared" si="19"/>
        <v>8158175.4000000004</v>
      </c>
      <c r="Q201" s="368">
        <f t="shared" si="19"/>
        <v>0</v>
      </c>
      <c r="R201" s="368">
        <f t="shared" si="19"/>
        <v>0</v>
      </c>
      <c r="S201" s="368"/>
      <c r="T201" s="298"/>
      <c r="U201" s="299"/>
      <c r="V201" s="296"/>
    </row>
    <row r="202" spans="1:22" ht="9" customHeight="1">
      <c r="A202" s="821" t="s">
        <v>264</v>
      </c>
      <c r="B202" s="821"/>
      <c r="C202" s="821"/>
      <c r="D202" s="821"/>
      <c r="E202" s="821"/>
      <c r="F202" s="821"/>
      <c r="G202" s="821"/>
      <c r="H202" s="821"/>
      <c r="I202" s="821"/>
      <c r="J202" s="821"/>
      <c r="K202" s="821"/>
      <c r="L202" s="821"/>
      <c r="M202" s="821"/>
      <c r="N202" s="821"/>
      <c r="O202" s="821"/>
      <c r="P202" s="821"/>
      <c r="Q202" s="821"/>
      <c r="R202" s="821"/>
      <c r="S202" s="821"/>
      <c r="T202" s="297"/>
      <c r="U202" s="297"/>
      <c r="V202" s="296"/>
    </row>
    <row r="203" spans="1:22" ht="9" customHeight="1">
      <c r="A203" s="366">
        <v>176</v>
      </c>
      <c r="B203" s="365" t="s">
        <v>809</v>
      </c>
      <c r="C203" s="132" t="s">
        <v>1155</v>
      </c>
      <c r="D203" s="207" t="s">
        <v>1154</v>
      </c>
      <c r="E203" s="366" t="s">
        <v>219</v>
      </c>
      <c r="F203" s="366" t="s">
        <v>88</v>
      </c>
      <c r="G203" s="130">
        <v>2</v>
      </c>
      <c r="H203" s="130">
        <v>3</v>
      </c>
      <c r="I203" s="368">
        <v>971.3</v>
      </c>
      <c r="J203" s="368">
        <v>924.1</v>
      </c>
      <c r="K203" s="130">
        <v>7</v>
      </c>
      <c r="L203" s="205">
        <f>'Приложение 2 КСП 2018-2019 гг'!H204</f>
        <v>3169320</v>
      </c>
      <c r="M203" s="368">
        <v>0</v>
      </c>
      <c r="N203" s="368">
        <v>0</v>
      </c>
      <c r="O203" s="368">
        <v>0</v>
      </c>
      <c r="P203" s="368">
        <f t="shared" ref="P203" si="20">L203</f>
        <v>3169320</v>
      </c>
      <c r="Q203" s="368">
        <v>0</v>
      </c>
      <c r="R203" s="368">
        <v>0</v>
      </c>
      <c r="S203" s="132" t="s">
        <v>589</v>
      </c>
      <c r="T203" s="126"/>
      <c r="U203" s="127"/>
      <c r="V203" s="296"/>
    </row>
    <row r="204" spans="1:22" ht="9" customHeight="1">
      <c r="A204" s="366">
        <v>177</v>
      </c>
      <c r="B204" s="365" t="s">
        <v>810</v>
      </c>
      <c r="C204" s="132" t="s">
        <v>1155</v>
      </c>
      <c r="D204" s="207" t="s">
        <v>1154</v>
      </c>
      <c r="E204" s="366" t="s">
        <v>107</v>
      </c>
      <c r="F204" s="366" t="s">
        <v>88</v>
      </c>
      <c r="G204" s="130">
        <v>2</v>
      </c>
      <c r="H204" s="130">
        <v>3</v>
      </c>
      <c r="I204" s="368">
        <v>731.9</v>
      </c>
      <c r="J204" s="368">
        <v>726.8</v>
      </c>
      <c r="K204" s="366">
        <v>35</v>
      </c>
      <c r="L204" s="205">
        <f>'Приложение 2 КСП 2018-2019 гг'!H205</f>
        <v>2166780</v>
      </c>
      <c r="M204" s="368">
        <v>0</v>
      </c>
      <c r="N204" s="368">
        <v>0</v>
      </c>
      <c r="O204" s="368">
        <v>0</v>
      </c>
      <c r="P204" s="368">
        <f t="shared" ref="P204:P206" si="21">L204</f>
        <v>2166780</v>
      </c>
      <c r="Q204" s="368">
        <v>0</v>
      </c>
      <c r="R204" s="368">
        <v>0</v>
      </c>
      <c r="S204" s="132" t="s">
        <v>589</v>
      </c>
      <c r="T204" s="126"/>
      <c r="U204" s="127"/>
      <c r="V204" s="296"/>
    </row>
    <row r="205" spans="1:22" ht="9" customHeight="1">
      <c r="A205" s="366">
        <v>178</v>
      </c>
      <c r="B205" s="365" t="s">
        <v>811</v>
      </c>
      <c r="C205" s="132" t="s">
        <v>1155</v>
      </c>
      <c r="D205" s="207" t="s">
        <v>1154</v>
      </c>
      <c r="E205" s="366" t="s">
        <v>612</v>
      </c>
      <c r="F205" s="366" t="s">
        <v>88</v>
      </c>
      <c r="G205" s="130">
        <v>2</v>
      </c>
      <c r="H205" s="130">
        <v>1</v>
      </c>
      <c r="I205" s="368">
        <v>465.51</v>
      </c>
      <c r="J205" s="368">
        <v>369.21</v>
      </c>
      <c r="K205" s="130">
        <v>8</v>
      </c>
      <c r="L205" s="205">
        <f>'Приложение 2 КСП 2018-2019 гг'!H206</f>
        <v>771955.8</v>
      </c>
      <c r="M205" s="368">
        <v>0</v>
      </c>
      <c r="N205" s="368">
        <v>0</v>
      </c>
      <c r="O205" s="368">
        <v>0</v>
      </c>
      <c r="P205" s="368">
        <f t="shared" si="21"/>
        <v>771955.8</v>
      </c>
      <c r="Q205" s="368">
        <v>0</v>
      </c>
      <c r="R205" s="368">
        <v>0</v>
      </c>
      <c r="S205" s="132" t="s">
        <v>589</v>
      </c>
      <c r="T205" s="126"/>
      <c r="U205" s="127"/>
      <c r="V205" s="296"/>
    </row>
    <row r="206" spans="1:22" ht="9" customHeight="1">
      <c r="A206" s="366">
        <v>179</v>
      </c>
      <c r="B206" s="365" t="s">
        <v>812</v>
      </c>
      <c r="C206" s="132" t="s">
        <v>1155</v>
      </c>
      <c r="D206" s="207" t="s">
        <v>1154</v>
      </c>
      <c r="E206" s="366" t="s">
        <v>606</v>
      </c>
      <c r="F206" s="366" t="s">
        <v>88</v>
      </c>
      <c r="G206" s="130">
        <v>2</v>
      </c>
      <c r="H206" s="130">
        <v>1</v>
      </c>
      <c r="I206" s="368">
        <v>314</v>
      </c>
      <c r="J206" s="368">
        <v>287.5</v>
      </c>
      <c r="K206" s="130">
        <v>184</v>
      </c>
      <c r="L206" s="205">
        <f>'Приложение 2 КСП 2018-2019 гг'!H207</f>
        <v>604111.19999999995</v>
      </c>
      <c r="M206" s="368">
        <v>0</v>
      </c>
      <c r="N206" s="368">
        <v>0</v>
      </c>
      <c r="O206" s="368">
        <v>0</v>
      </c>
      <c r="P206" s="368">
        <f t="shared" si="21"/>
        <v>604111.19999999995</v>
      </c>
      <c r="Q206" s="368">
        <v>0</v>
      </c>
      <c r="R206" s="368">
        <v>0</v>
      </c>
      <c r="S206" s="132" t="s">
        <v>589</v>
      </c>
      <c r="T206" s="126"/>
      <c r="U206" s="127"/>
      <c r="V206" s="296"/>
    </row>
    <row r="207" spans="1:22" ht="34.5" customHeight="1">
      <c r="A207" s="946" t="s">
        <v>441</v>
      </c>
      <c r="B207" s="946"/>
      <c r="C207" s="132"/>
      <c r="D207" s="365"/>
      <c r="E207" s="366" t="s">
        <v>391</v>
      </c>
      <c r="F207" s="366" t="s">
        <v>391</v>
      </c>
      <c r="G207" s="366" t="s">
        <v>391</v>
      </c>
      <c r="H207" s="366" t="s">
        <v>391</v>
      </c>
      <c r="I207" s="368">
        <f>SUM(I203:I206)</f>
        <v>2482.71</v>
      </c>
      <c r="J207" s="368">
        <f t="shared" ref="J207:R207" si="22">SUM(J203:J206)</f>
        <v>2307.61</v>
      </c>
      <c r="K207" s="368">
        <f t="shared" si="22"/>
        <v>234</v>
      </c>
      <c r="L207" s="368">
        <f t="shared" si="22"/>
        <v>6712167</v>
      </c>
      <c r="M207" s="368">
        <f t="shared" si="22"/>
        <v>0</v>
      </c>
      <c r="N207" s="368">
        <f t="shared" si="22"/>
        <v>0</v>
      </c>
      <c r="O207" s="368">
        <f t="shared" si="22"/>
        <v>0</v>
      </c>
      <c r="P207" s="368">
        <f t="shared" si="22"/>
        <v>6712167</v>
      </c>
      <c r="Q207" s="368">
        <f t="shared" si="22"/>
        <v>0</v>
      </c>
      <c r="R207" s="368">
        <f t="shared" si="22"/>
        <v>0</v>
      </c>
      <c r="S207" s="368"/>
      <c r="T207" s="126"/>
      <c r="U207" s="127"/>
      <c r="V207" s="296"/>
    </row>
    <row r="208" spans="1:22" ht="9" customHeight="1">
      <c r="A208" s="821" t="s">
        <v>395</v>
      </c>
      <c r="B208" s="821"/>
      <c r="C208" s="821"/>
      <c r="D208" s="821"/>
      <c r="E208" s="821"/>
      <c r="F208" s="821"/>
      <c r="G208" s="821"/>
      <c r="H208" s="821"/>
      <c r="I208" s="821"/>
      <c r="J208" s="821"/>
      <c r="K208" s="821"/>
      <c r="L208" s="821"/>
      <c r="M208" s="821"/>
      <c r="N208" s="821"/>
      <c r="O208" s="821"/>
      <c r="P208" s="821"/>
      <c r="Q208" s="821"/>
      <c r="R208" s="821"/>
      <c r="S208" s="821"/>
      <c r="T208" s="297"/>
      <c r="U208" s="297"/>
      <c r="V208" s="296"/>
    </row>
    <row r="209" spans="1:22" ht="9" customHeight="1">
      <c r="A209" s="366">
        <v>180</v>
      </c>
      <c r="B209" s="365" t="s">
        <v>813</v>
      </c>
      <c r="C209" s="132" t="s">
        <v>1155</v>
      </c>
      <c r="D209" s="207" t="s">
        <v>1154</v>
      </c>
      <c r="E209" s="366" t="s">
        <v>605</v>
      </c>
      <c r="F209" s="366" t="s">
        <v>88</v>
      </c>
      <c r="G209" s="130">
        <v>5</v>
      </c>
      <c r="H209" s="130">
        <v>1</v>
      </c>
      <c r="I209" s="368">
        <v>2159.59</v>
      </c>
      <c r="J209" s="368">
        <v>1055</v>
      </c>
      <c r="K209" s="366">
        <v>46</v>
      </c>
      <c r="L209" s="205">
        <f>'Приложение 2 КСП 2018-2019 гг'!H210</f>
        <v>1256918</v>
      </c>
      <c r="M209" s="368">
        <v>0</v>
      </c>
      <c r="N209" s="368">
        <v>0</v>
      </c>
      <c r="O209" s="368">
        <v>0</v>
      </c>
      <c r="P209" s="368">
        <f t="shared" ref="P209" si="23">L209</f>
        <v>1256918</v>
      </c>
      <c r="Q209" s="368">
        <v>0</v>
      </c>
      <c r="R209" s="368">
        <v>0</v>
      </c>
      <c r="S209" s="132" t="s">
        <v>589</v>
      </c>
      <c r="T209" s="126"/>
      <c r="U209" s="127"/>
      <c r="V209" s="296"/>
    </row>
    <row r="210" spans="1:22" ht="9" customHeight="1">
      <c r="A210" s="366">
        <v>181</v>
      </c>
      <c r="B210" s="365" t="s">
        <v>814</v>
      </c>
      <c r="C210" s="132" t="s">
        <v>1155</v>
      </c>
      <c r="D210" s="207" t="s">
        <v>1154</v>
      </c>
      <c r="E210" s="366" t="s">
        <v>828</v>
      </c>
      <c r="F210" s="366" t="s">
        <v>90</v>
      </c>
      <c r="G210" s="130">
        <v>3</v>
      </c>
      <c r="H210" s="130">
        <v>3</v>
      </c>
      <c r="I210" s="368">
        <v>1058.2</v>
      </c>
      <c r="J210" s="368">
        <v>961.6</v>
      </c>
      <c r="K210" s="130">
        <v>37</v>
      </c>
      <c r="L210" s="205">
        <f>'Приложение 2 КСП 2018-2019 гг'!H211</f>
        <v>1500300</v>
      </c>
      <c r="M210" s="368">
        <v>0</v>
      </c>
      <c r="N210" s="368">
        <v>0</v>
      </c>
      <c r="O210" s="368">
        <v>0</v>
      </c>
      <c r="P210" s="368">
        <f t="shared" ref="P210:P223" si="24">L210</f>
        <v>1500300</v>
      </c>
      <c r="Q210" s="368">
        <v>0</v>
      </c>
      <c r="R210" s="368">
        <v>0</v>
      </c>
      <c r="S210" s="132" t="s">
        <v>589</v>
      </c>
      <c r="T210" s="126"/>
      <c r="U210" s="127"/>
      <c r="V210" s="296"/>
    </row>
    <row r="211" spans="1:22" ht="9" customHeight="1">
      <c r="A211" s="366">
        <v>182</v>
      </c>
      <c r="B211" s="365" t="s">
        <v>815</v>
      </c>
      <c r="C211" s="132" t="s">
        <v>1155</v>
      </c>
      <c r="D211" s="207" t="s">
        <v>1154</v>
      </c>
      <c r="E211" s="366" t="s">
        <v>614</v>
      </c>
      <c r="F211" s="366" t="s">
        <v>88</v>
      </c>
      <c r="G211" s="130">
        <v>4</v>
      </c>
      <c r="H211" s="130">
        <v>1</v>
      </c>
      <c r="I211" s="368">
        <v>618.29999999999995</v>
      </c>
      <c r="J211" s="368">
        <v>571.1</v>
      </c>
      <c r="K211" s="130">
        <v>32</v>
      </c>
      <c r="L211" s="205">
        <f>'Приложение 2 КСП 2018-2019 гг'!H212</f>
        <v>733480</v>
      </c>
      <c r="M211" s="368">
        <v>0</v>
      </c>
      <c r="N211" s="368">
        <v>0</v>
      </c>
      <c r="O211" s="368">
        <v>0</v>
      </c>
      <c r="P211" s="368">
        <f t="shared" si="24"/>
        <v>733480</v>
      </c>
      <c r="Q211" s="368">
        <v>0</v>
      </c>
      <c r="R211" s="368">
        <v>0</v>
      </c>
      <c r="S211" s="132" t="s">
        <v>589</v>
      </c>
      <c r="T211" s="126"/>
      <c r="U211" s="127"/>
      <c r="V211" s="296"/>
    </row>
    <row r="212" spans="1:22" ht="9" customHeight="1">
      <c r="A212" s="366">
        <v>183</v>
      </c>
      <c r="B212" s="365" t="s">
        <v>816</v>
      </c>
      <c r="C212" s="132" t="s">
        <v>1155</v>
      </c>
      <c r="D212" s="207" t="s">
        <v>1154</v>
      </c>
      <c r="E212" s="366" t="s">
        <v>592</v>
      </c>
      <c r="F212" s="366" t="s">
        <v>88</v>
      </c>
      <c r="G212" s="130">
        <v>4</v>
      </c>
      <c r="H212" s="130">
        <v>1</v>
      </c>
      <c r="I212" s="368">
        <v>940.8</v>
      </c>
      <c r="J212" s="368">
        <v>844.6</v>
      </c>
      <c r="K212" s="130">
        <v>40</v>
      </c>
      <c r="L212" s="205">
        <f>'Приложение 2 КСП 2018-2019 гг'!H213</f>
        <v>1941046.8</v>
      </c>
      <c r="M212" s="368">
        <v>0</v>
      </c>
      <c r="N212" s="368">
        <v>0</v>
      </c>
      <c r="O212" s="368">
        <v>0</v>
      </c>
      <c r="P212" s="368">
        <f t="shared" si="24"/>
        <v>1941046.8</v>
      </c>
      <c r="Q212" s="368">
        <v>0</v>
      </c>
      <c r="R212" s="368">
        <v>0</v>
      </c>
      <c r="S212" s="132" t="s">
        <v>589</v>
      </c>
      <c r="T212" s="126"/>
      <c r="U212" s="127"/>
      <c r="V212" s="296"/>
    </row>
    <row r="213" spans="1:22" ht="9" customHeight="1">
      <c r="A213" s="366">
        <v>184</v>
      </c>
      <c r="B213" s="365" t="s">
        <v>817</v>
      </c>
      <c r="C213" s="132" t="s">
        <v>1155</v>
      </c>
      <c r="D213" s="207" t="s">
        <v>1154</v>
      </c>
      <c r="E213" s="366" t="s">
        <v>613</v>
      </c>
      <c r="F213" s="366" t="s">
        <v>90</v>
      </c>
      <c r="G213" s="130">
        <v>2</v>
      </c>
      <c r="H213" s="130">
        <v>2</v>
      </c>
      <c r="I213" s="368">
        <v>1163.2</v>
      </c>
      <c r="J213" s="368">
        <v>638.20000000000005</v>
      </c>
      <c r="K213" s="130">
        <v>32</v>
      </c>
      <c r="L213" s="205">
        <f>'Приложение 2 КСП 2018-2019 гг'!H214</f>
        <v>1646996</v>
      </c>
      <c r="M213" s="368">
        <v>0</v>
      </c>
      <c r="N213" s="368">
        <v>0</v>
      </c>
      <c r="O213" s="368">
        <v>0</v>
      </c>
      <c r="P213" s="368">
        <f t="shared" si="24"/>
        <v>1646996</v>
      </c>
      <c r="Q213" s="368">
        <v>0</v>
      </c>
      <c r="R213" s="368">
        <v>0</v>
      </c>
      <c r="S213" s="132" t="s">
        <v>589</v>
      </c>
      <c r="T213" s="126"/>
      <c r="U213" s="127"/>
      <c r="V213" s="296"/>
    </row>
    <row r="214" spans="1:22" ht="9" customHeight="1">
      <c r="A214" s="366">
        <v>185</v>
      </c>
      <c r="B214" s="365" t="s">
        <v>818</v>
      </c>
      <c r="C214" s="132" t="s">
        <v>1155</v>
      </c>
      <c r="D214" s="207" t="s">
        <v>1154</v>
      </c>
      <c r="E214" s="366" t="s">
        <v>601</v>
      </c>
      <c r="F214" s="366" t="s">
        <v>88</v>
      </c>
      <c r="G214" s="130">
        <v>5</v>
      </c>
      <c r="H214" s="130">
        <v>4</v>
      </c>
      <c r="I214" s="368">
        <v>4349.5</v>
      </c>
      <c r="J214" s="368">
        <v>3181.15</v>
      </c>
      <c r="K214" s="130">
        <v>156</v>
      </c>
      <c r="L214" s="205">
        <f>'Приложение 2 КСП 2018-2019 гг'!H215</f>
        <v>3000600</v>
      </c>
      <c r="M214" s="368">
        <v>0</v>
      </c>
      <c r="N214" s="368">
        <v>0</v>
      </c>
      <c r="O214" s="368">
        <v>0</v>
      </c>
      <c r="P214" s="368">
        <f t="shared" si="24"/>
        <v>3000600</v>
      </c>
      <c r="Q214" s="368">
        <v>0</v>
      </c>
      <c r="R214" s="368">
        <v>0</v>
      </c>
      <c r="S214" s="132" t="s">
        <v>589</v>
      </c>
      <c r="T214" s="126"/>
      <c r="U214" s="127"/>
      <c r="V214" s="296"/>
    </row>
    <row r="215" spans="1:22" ht="9" customHeight="1">
      <c r="A215" s="366">
        <v>186</v>
      </c>
      <c r="B215" s="365" t="s">
        <v>819</v>
      </c>
      <c r="C215" s="132" t="s">
        <v>1155</v>
      </c>
      <c r="D215" s="207" t="s">
        <v>1154</v>
      </c>
      <c r="E215" s="366" t="s">
        <v>607</v>
      </c>
      <c r="F215" s="366" t="s">
        <v>88</v>
      </c>
      <c r="G215" s="130">
        <v>3</v>
      </c>
      <c r="H215" s="130">
        <v>2</v>
      </c>
      <c r="I215" s="368">
        <v>1235.8699999999999</v>
      </c>
      <c r="J215" s="368">
        <v>1127.8699999999999</v>
      </c>
      <c r="K215" s="366">
        <v>66</v>
      </c>
      <c r="L215" s="205">
        <f>'Приложение 2 КСП 2018-2019 гг'!H216</f>
        <v>2425500</v>
      </c>
      <c r="M215" s="368">
        <v>0</v>
      </c>
      <c r="N215" s="368">
        <v>0</v>
      </c>
      <c r="O215" s="368">
        <v>0</v>
      </c>
      <c r="P215" s="368">
        <f t="shared" si="24"/>
        <v>2425500</v>
      </c>
      <c r="Q215" s="368">
        <v>0</v>
      </c>
      <c r="R215" s="368">
        <v>0</v>
      </c>
      <c r="S215" s="132" t="s">
        <v>589</v>
      </c>
      <c r="T215" s="126"/>
      <c r="U215" s="127"/>
      <c r="V215" s="296"/>
    </row>
    <row r="216" spans="1:22" ht="9" customHeight="1">
      <c r="A216" s="366">
        <v>187</v>
      </c>
      <c r="B216" s="365" t="s">
        <v>820</v>
      </c>
      <c r="C216" s="132" t="s">
        <v>1155</v>
      </c>
      <c r="D216" s="207" t="s">
        <v>1154</v>
      </c>
      <c r="E216" s="366" t="s">
        <v>607</v>
      </c>
      <c r="F216" s="366" t="s">
        <v>88</v>
      </c>
      <c r="G216" s="130">
        <v>3</v>
      </c>
      <c r="H216" s="130">
        <v>2</v>
      </c>
      <c r="I216" s="368">
        <v>1221.9000000000001</v>
      </c>
      <c r="J216" s="368">
        <v>1113.9000000000001</v>
      </c>
      <c r="K216" s="130">
        <v>56</v>
      </c>
      <c r="L216" s="205">
        <f>'Приложение 2 КСП 2018-2019 гг'!H217</f>
        <v>2425500</v>
      </c>
      <c r="M216" s="368">
        <v>0</v>
      </c>
      <c r="N216" s="368">
        <v>0</v>
      </c>
      <c r="O216" s="368">
        <v>0</v>
      </c>
      <c r="P216" s="368">
        <f t="shared" si="24"/>
        <v>2425500</v>
      </c>
      <c r="Q216" s="368">
        <v>0</v>
      </c>
      <c r="R216" s="368">
        <v>0</v>
      </c>
      <c r="S216" s="132" t="s">
        <v>589</v>
      </c>
      <c r="T216" s="126"/>
      <c r="U216" s="127"/>
      <c r="V216" s="296"/>
    </row>
    <row r="217" spans="1:22" ht="9" customHeight="1">
      <c r="A217" s="366">
        <v>188</v>
      </c>
      <c r="B217" s="365" t="s">
        <v>821</v>
      </c>
      <c r="C217" s="132" t="s">
        <v>1155</v>
      </c>
      <c r="D217" s="207" t="s">
        <v>1154</v>
      </c>
      <c r="E217" s="366" t="s">
        <v>605</v>
      </c>
      <c r="F217" s="366" t="s">
        <v>90</v>
      </c>
      <c r="G217" s="130">
        <v>2</v>
      </c>
      <c r="H217" s="130">
        <v>3</v>
      </c>
      <c r="I217" s="368">
        <v>1158.7</v>
      </c>
      <c r="J217" s="368">
        <v>1076.7</v>
      </c>
      <c r="K217" s="366">
        <v>52</v>
      </c>
      <c r="L217" s="205">
        <f>'Приложение 2 КСП 2018-2019 гг'!H218</f>
        <v>2300460</v>
      </c>
      <c r="M217" s="368">
        <v>0</v>
      </c>
      <c r="N217" s="368">
        <v>0</v>
      </c>
      <c r="O217" s="368">
        <v>0</v>
      </c>
      <c r="P217" s="368">
        <f t="shared" si="24"/>
        <v>2300460</v>
      </c>
      <c r="Q217" s="368">
        <v>0</v>
      </c>
      <c r="R217" s="368">
        <v>0</v>
      </c>
      <c r="S217" s="132" t="s">
        <v>589</v>
      </c>
      <c r="T217" s="126"/>
      <c r="U217" s="127"/>
      <c r="V217" s="296"/>
    </row>
    <row r="218" spans="1:22" ht="9" customHeight="1">
      <c r="A218" s="366">
        <v>189</v>
      </c>
      <c r="B218" s="365" t="s">
        <v>822</v>
      </c>
      <c r="C218" s="132" t="s">
        <v>1155</v>
      </c>
      <c r="D218" s="207" t="s">
        <v>1154</v>
      </c>
      <c r="E218" s="366" t="s">
        <v>0</v>
      </c>
      <c r="F218" s="366" t="s">
        <v>88</v>
      </c>
      <c r="G218" s="130">
        <v>2</v>
      </c>
      <c r="H218" s="130">
        <v>1</v>
      </c>
      <c r="I218" s="368">
        <v>326</v>
      </c>
      <c r="J218" s="368">
        <v>255</v>
      </c>
      <c r="K218" s="366">
        <v>18</v>
      </c>
      <c r="L218" s="205">
        <f>'Приложение 2 КСП 2018-2019 гг'!H219</f>
        <v>1043208.6</v>
      </c>
      <c r="M218" s="368">
        <v>0</v>
      </c>
      <c r="N218" s="368">
        <v>0</v>
      </c>
      <c r="O218" s="368">
        <v>0</v>
      </c>
      <c r="P218" s="368">
        <f t="shared" si="24"/>
        <v>1043208.6</v>
      </c>
      <c r="Q218" s="368">
        <v>0</v>
      </c>
      <c r="R218" s="368">
        <v>0</v>
      </c>
      <c r="S218" s="132" t="s">
        <v>589</v>
      </c>
      <c r="T218" s="126"/>
      <c r="U218" s="127"/>
      <c r="V218" s="296"/>
    </row>
    <row r="219" spans="1:22" ht="9" customHeight="1">
      <c r="A219" s="366">
        <v>190</v>
      </c>
      <c r="B219" s="365" t="s">
        <v>823</v>
      </c>
      <c r="C219" s="132" t="s">
        <v>1155</v>
      </c>
      <c r="D219" s="207" t="s">
        <v>1154</v>
      </c>
      <c r="E219" s="366" t="s">
        <v>615</v>
      </c>
      <c r="F219" s="366" t="s">
        <v>88</v>
      </c>
      <c r="G219" s="130">
        <v>2</v>
      </c>
      <c r="H219" s="130">
        <v>3</v>
      </c>
      <c r="I219" s="368">
        <v>1452.7</v>
      </c>
      <c r="J219" s="368">
        <v>904.2</v>
      </c>
      <c r="K219" s="130">
        <v>56</v>
      </c>
      <c r="L219" s="205">
        <f>'Приложение 2 КСП 2018-2019 гг'!H220</f>
        <v>2497228.5999999996</v>
      </c>
      <c r="M219" s="368">
        <v>0</v>
      </c>
      <c r="N219" s="368">
        <v>0</v>
      </c>
      <c r="O219" s="368">
        <v>0</v>
      </c>
      <c r="P219" s="368">
        <f t="shared" si="24"/>
        <v>2497228.5999999996</v>
      </c>
      <c r="Q219" s="368">
        <v>0</v>
      </c>
      <c r="R219" s="368">
        <v>0</v>
      </c>
      <c r="S219" s="132" t="s">
        <v>589</v>
      </c>
      <c r="T219" s="126"/>
      <c r="U219" s="127"/>
      <c r="V219" s="296"/>
    </row>
    <row r="220" spans="1:22" ht="9" customHeight="1">
      <c r="A220" s="366">
        <v>191</v>
      </c>
      <c r="B220" s="365" t="s">
        <v>824</v>
      </c>
      <c r="C220" s="132" t="s">
        <v>1155</v>
      </c>
      <c r="D220" s="207" t="s">
        <v>1154</v>
      </c>
      <c r="E220" s="366" t="s">
        <v>601</v>
      </c>
      <c r="F220" s="366" t="s">
        <v>88</v>
      </c>
      <c r="G220" s="130">
        <v>2</v>
      </c>
      <c r="H220" s="130">
        <v>1</v>
      </c>
      <c r="I220" s="368">
        <v>637.9</v>
      </c>
      <c r="J220" s="368">
        <v>375.9</v>
      </c>
      <c r="K220" s="366">
        <v>22</v>
      </c>
      <c r="L220" s="205">
        <f>'Приложение 2 КСП 2018-2019 гг'!H221</f>
        <v>1038164.39</v>
      </c>
      <c r="M220" s="368">
        <v>0</v>
      </c>
      <c r="N220" s="368">
        <v>0</v>
      </c>
      <c r="O220" s="368">
        <v>0</v>
      </c>
      <c r="P220" s="368">
        <f t="shared" si="24"/>
        <v>1038164.39</v>
      </c>
      <c r="Q220" s="368">
        <v>0</v>
      </c>
      <c r="R220" s="368">
        <v>0</v>
      </c>
      <c r="S220" s="132" t="s">
        <v>589</v>
      </c>
      <c r="T220" s="126"/>
      <c r="U220" s="127"/>
      <c r="V220" s="296"/>
    </row>
    <row r="221" spans="1:22" ht="9" customHeight="1">
      <c r="A221" s="366">
        <v>192</v>
      </c>
      <c r="B221" s="365" t="s">
        <v>825</v>
      </c>
      <c r="C221" s="132" t="s">
        <v>1155</v>
      </c>
      <c r="D221" s="207" t="s">
        <v>1154</v>
      </c>
      <c r="E221" s="366" t="s">
        <v>616</v>
      </c>
      <c r="F221" s="366" t="s">
        <v>88</v>
      </c>
      <c r="G221" s="130">
        <v>2</v>
      </c>
      <c r="H221" s="130">
        <v>3</v>
      </c>
      <c r="I221" s="368">
        <v>944</v>
      </c>
      <c r="J221" s="368">
        <v>884</v>
      </c>
      <c r="K221" s="130">
        <v>47</v>
      </c>
      <c r="L221" s="205">
        <f>'Приложение 2 КСП 2018-2019 гг'!H222</f>
        <v>2506350</v>
      </c>
      <c r="M221" s="368">
        <v>0</v>
      </c>
      <c r="N221" s="368">
        <v>0</v>
      </c>
      <c r="O221" s="368">
        <v>0</v>
      </c>
      <c r="P221" s="368">
        <f t="shared" si="24"/>
        <v>2506350</v>
      </c>
      <c r="Q221" s="368">
        <v>0</v>
      </c>
      <c r="R221" s="368">
        <v>0</v>
      </c>
      <c r="S221" s="132" t="s">
        <v>589</v>
      </c>
      <c r="T221" s="126"/>
      <c r="U221" s="127"/>
      <c r="V221" s="296"/>
    </row>
    <row r="222" spans="1:22" ht="9" customHeight="1">
      <c r="A222" s="366">
        <v>193</v>
      </c>
      <c r="B222" s="365" t="s">
        <v>826</v>
      </c>
      <c r="C222" s="132" t="s">
        <v>1155</v>
      </c>
      <c r="D222" s="207" t="s">
        <v>1154</v>
      </c>
      <c r="E222" s="366" t="s">
        <v>748</v>
      </c>
      <c r="F222" s="366" t="s">
        <v>88</v>
      </c>
      <c r="G222" s="130">
        <v>2</v>
      </c>
      <c r="H222" s="130">
        <v>2</v>
      </c>
      <c r="I222" s="368">
        <v>432.9</v>
      </c>
      <c r="J222" s="368">
        <v>392.1</v>
      </c>
      <c r="K222" s="366">
        <v>28</v>
      </c>
      <c r="L222" s="205">
        <f>'Приложение 2 КСП 2018-2019 гг'!H223</f>
        <v>1029638.92</v>
      </c>
      <c r="M222" s="368">
        <v>0</v>
      </c>
      <c r="N222" s="368">
        <v>0</v>
      </c>
      <c r="O222" s="368">
        <v>0</v>
      </c>
      <c r="P222" s="368">
        <f t="shared" si="24"/>
        <v>1029638.92</v>
      </c>
      <c r="Q222" s="368">
        <v>0</v>
      </c>
      <c r="R222" s="368">
        <v>0</v>
      </c>
      <c r="S222" s="132" t="s">
        <v>589</v>
      </c>
      <c r="T222" s="126"/>
      <c r="U222" s="127"/>
      <c r="V222" s="296"/>
    </row>
    <row r="223" spans="1:22" ht="9" customHeight="1">
      <c r="A223" s="366">
        <v>194</v>
      </c>
      <c r="B223" s="365" t="s">
        <v>827</v>
      </c>
      <c r="C223" s="132" t="s">
        <v>1155</v>
      </c>
      <c r="D223" s="207" t="s">
        <v>1154</v>
      </c>
      <c r="E223" s="366" t="s">
        <v>599</v>
      </c>
      <c r="F223" s="366" t="s">
        <v>88</v>
      </c>
      <c r="G223" s="130">
        <v>2</v>
      </c>
      <c r="H223" s="130">
        <v>2</v>
      </c>
      <c r="I223" s="368">
        <v>677.7</v>
      </c>
      <c r="J223" s="368">
        <v>605.70000000000005</v>
      </c>
      <c r="K223" s="366">
        <v>33</v>
      </c>
      <c r="L223" s="205">
        <f>'Приложение 2 КСП 2018-2019 гг'!H224</f>
        <v>1440288</v>
      </c>
      <c r="M223" s="368">
        <v>0</v>
      </c>
      <c r="N223" s="368">
        <v>0</v>
      </c>
      <c r="O223" s="368">
        <v>0</v>
      </c>
      <c r="P223" s="368">
        <f t="shared" si="24"/>
        <v>1440288</v>
      </c>
      <c r="Q223" s="368">
        <v>0</v>
      </c>
      <c r="R223" s="368">
        <v>0</v>
      </c>
      <c r="S223" s="132" t="s">
        <v>589</v>
      </c>
      <c r="T223" s="126"/>
      <c r="U223" s="127"/>
      <c r="V223" s="296"/>
    </row>
    <row r="224" spans="1:22" ht="22.5" customHeight="1">
      <c r="A224" s="946" t="s">
        <v>271</v>
      </c>
      <c r="B224" s="946"/>
      <c r="C224" s="132"/>
      <c r="D224" s="365"/>
      <c r="E224" s="141" t="s">
        <v>391</v>
      </c>
      <c r="F224" s="141" t="s">
        <v>391</v>
      </c>
      <c r="G224" s="141" t="s">
        <v>391</v>
      </c>
      <c r="H224" s="141" t="s">
        <v>391</v>
      </c>
      <c r="I224" s="362">
        <f>SUM(I209:I223)</f>
        <v>18377.260000000002</v>
      </c>
      <c r="J224" s="362">
        <f t="shared" ref="J224:R224" si="25">SUM(J209:J223)</f>
        <v>13987.020000000002</v>
      </c>
      <c r="K224" s="362">
        <f t="shared" si="25"/>
        <v>721</v>
      </c>
      <c r="L224" s="362">
        <f t="shared" si="25"/>
        <v>26785679.310000002</v>
      </c>
      <c r="M224" s="362">
        <f t="shared" si="25"/>
        <v>0</v>
      </c>
      <c r="N224" s="362">
        <f t="shared" si="25"/>
        <v>0</v>
      </c>
      <c r="O224" s="362">
        <f t="shared" si="25"/>
        <v>0</v>
      </c>
      <c r="P224" s="362">
        <f t="shared" si="25"/>
        <v>26785679.310000002</v>
      </c>
      <c r="Q224" s="362">
        <f t="shared" si="25"/>
        <v>0</v>
      </c>
      <c r="R224" s="362">
        <f t="shared" si="25"/>
        <v>0</v>
      </c>
      <c r="S224" s="368"/>
      <c r="T224" s="367"/>
      <c r="U224" s="127"/>
      <c r="V224" s="296"/>
    </row>
    <row r="225" spans="1:22" ht="9" customHeight="1">
      <c r="A225" s="823" t="s">
        <v>445</v>
      </c>
      <c r="B225" s="823"/>
      <c r="C225" s="823"/>
      <c r="D225" s="823"/>
      <c r="E225" s="823"/>
      <c r="F225" s="823"/>
      <c r="G225" s="823"/>
      <c r="H225" s="823"/>
      <c r="I225" s="823"/>
      <c r="J225" s="823"/>
      <c r="K225" s="823"/>
      <c r="L225" s="823"/>
      <c r="M225" s="823"/>
      <c r="N225" s="823"/>
      <c r="O225" s="823"/>
      <c r="P225" s="823"/>
      <c r="Q225" s="823"/>
      <c r="R225" s="823"/>
      <c r="S225" s="823"/>
      <c r="T225" s="326"/>
      <c r="U225" s="326"/>
      <c r="V225" s="296"/>
    </row>
    <row r="226" spans="1:22" ht="9" customHeight="1">
      <c r="A226" s="166">
        <v>195</v>
      </c>
      <c r="B226" s="365" t="s">
        <v>844</v>
      </c>
      <c r="C226" s="132" t="s">
        <v>1155</v>
      </c>
      <c r="D226" s="207" t="s">
        <v>1154</v>
      </c>
      <c r="E226" s="366" t="s">
        <v>600</v>
      </c>
      <c r="F226" s="366" t="s">
        <v>776</v>
      </c>
      <c r="G226" s="130">
        <v>2</v>
      </c>
      <c r="H226" s="130">
        <v>1</v>
      </c>
      <c r="I226" s="368">
        <v>306.7</v>
      </c>
      <c r="J226" s="368">
        <v>291.39999999999998</v>
      </c>
      <c r="K226" s="130">
        <v>13</v>
      </c>
      <c r="L226" s="205">
        <f>'Приложение 2 КСП 2018-2019 гг'!H227</f>
        <v>107818</v>
      </c>
      <c r="M226" s="368">
        <v>0</v>
      </c>
      <c r="N226" s="368">
        <v>0</v>
      </c>
      <c r="O226" s="368">
        <v>0</v>
      </c>
      <c r="P226" s="368">
        <f t="shared" ref="P226:P227" si="26">L226</f>
        <v>107818</v>
      </c>
      <c r="Q226" s="368">
        <v>0</v>
      </c>
      <c r="R226" s="368">
        <v>0</v>
      </c>
      <c r="S226" s="132" t="s">
        <v>589</v>
      </c>
      <c r="T226" s="126"/>
      <c r="U226" s="127"/>
      <c r="V226" s="296"/>
    </row>
    <row r="227" spans="1:22" ht="9" customHeight="1">
      <c r="A227" s="166">
        <v>196</v>
      </c>
      <c r="B227" s="365" t="s">
        <v>845</v>
      </c>
      <c r="C227" s="132" t="s">
        <v>1155</v>
      </c>
      <c r="D227" s="207" t="s">
        <v>1154</v>
      </c>
      <c r="E227" s="366" t="s">
        <v>593</v>
      </c>
      <c r="F227" s="366" t="s">
        <v>90</v>
      </c>
      <c r="G227" s="130">
        <v>2</v>
      </c>
      <c r="H227" s="130">
        <v>2</v>
      </c>
      <c r="I227" s="368">
        <v>853.7</v>
      </c>
      <c r="J227" s="368">
        <v>803.5</v>
      </c>
      <c r="K227" s="130">
        <v>10</v>
      </c>
      <c r="L227" s="205">
        <f>'Приложение 2 КСП 2018-2019 гг'!H228</f>
        <v>1400280</v>
      </c>
      <c r="M227" s="368">
        <v>0</v>
      </c>
      <c r="N227" s="368">
        <v>0</v>
      </c>
      <c r="O227" s="368">
        <v>0</v>
      </c>
      <c r="P227" s="368">
        <f t="shared" si="26"/>
        <v>1400280</v>
      </c>
      <c r="Q227" s="368">
        <v>0</v>
      </c>
      <c r="R227" s="368">
        <v>0</v>
      </c>
      <c r="S227" s="132" t="s">
        <v>589</v>
      </c>
      <c r="T227" s="126"/>
      <c r="U227" s="127"/>
      <c r="V227" s="296"/>
    </row>
    <row r="228" spans="1:22" ht="39.75" customHeight="1">
      <c r="A228" s="950" t="s">
        <v>446</v>
      </c>
      <c r="B228" s="950"/>
      <c r="C228" s="174"/>
      <c r="D228" s="364"/>
      <c r="E228" s="166" t="s">
        <v>391</v>
      </c>
      <c r="F228" s="166" t="s">
        <v>391</v>
      </c>
      <c r="G228" s="166" t="s">
        <v>391</v>
      </c>
      <c r="H228" s="166" t="s">
        <v>391</v>
      </c>
      <c r="I228" s="167">
        <f>SUM(I226:I227)</f>
        <v>1160.4000000000001</v>
      </c>
      <c r="J228" s="167">
        <f t="shared" ref="J228:R228" si="27">SUM(J226:J227)</f>
        <v>1094.9000000000001</v>
      </c>
      <c r="K228" s="167">
        <f t="shared" si="27"/>
        <v>23</v>
      </c>
      <c r="L228" s="167">
        <f t="shared" si="27"/>
        <v>1508098</v>
      </c>
      <c r="M228" s="167">
        <f t="shared" si="27"/>
        <v>0</v>
      </c>
      <c r="N228" s="167">
        <f t="shared" si="27"/>
        <v>0</v>
      </c>
      <c r="O228" s="167">
        <f t="shared" si="27"/>
        <v>0</v>
      </c>
      <c r="P228" s="167">
        <f t="shared" si="27"/>
        <v>1508098</v>
      </c>
      <c r="Q228" s="167">
        <f t="shared" si="27"/>
        <v>0</v>
      </c>
      <c r="R228" s="167">
        <f t="shared" si="27"/>
        <v>0</v>
      </c>
      <c r="S228" s="368"/>
      <c r="T228" s="126"/>
      <c r="U228" s="298"/>
      <c r="V228" s="296"/>
    </row>
    <row r="229" spans="1:22" ht="20.25" customHeight="1">
      <c r="A229" s="823" t="s">
        <v>397</v>
      </c>
      <c r="B229" s="823"/>
      <c r="C229" s="823"/>
      <c r="D229" s="823"/>
      <c r="E229" s="823"/>
      <c r="F229" s="823"/>
      <c r="G229" s="823"/>
      <c r="H229" s="823"/>
      <c r="I229" s="823"/>
      <c r="J229" s="823"/>
      <c r="K229" s="823"/>
      <c r="L229" s="823"/>
      <c r="M229" s="823"/>
      <c r="N229" s="823"/>
      <c r="O229" s="823"/>
      <c r="P229" s="823"/>
      <c r="Q229" s="823"/>
      <c r="R229" s="823"/>
      <c r="S229" s="823"/>
      <c r="T229" s="326"/>
      <c r="U229" s="326"/>
      <c r="V229" s="296"/>
    </row>
    <row r="230" spans="1:22" ht="9" customHeight="1">
      <c r="A230" s="166">
        <v>197</v>
      </c>
      <c r="B230" s="365" t="s">
        <v>843</v>
      </c>
      <c r="C230" s="132" t="s">
        <v>1155</v>
      </c>
      <c r="D230" s="207" t="s">
        <v>1154</v>
      </c>
      <c r="E230" s="366" t="s">
        <v>0</v>
      </c>
      <c r="F230" s="366" t="s">
        <v>88</v>
      </c>
      <c r="G230" s="130">
        <v>2</v>
      </c>
      <c r="H230" s="130">
        <v>2</v>
      </c>
      <c r="I230" s="368">
        <v>838.5</v>
      </c>
      <c r="J230" s="368">
        <v>752.2</v>
      </c>
      <c r="K230" s="130">
        <v>35</v>
      </c>
      <c r="L230" s="205">
        <f>'Приложение 2 КСП 2018-2019 гг'!H231</f>
        <v>1358280</v>
      </c>
      <c r="M230" s="368">
        <v>0</v>
      </c>
      <c r="N230" s="368">
        <v>0</v>
      </c>
      <c r="O230" s="368">
        <v>0</v>
      </c>
      <c r="P230" s="368">
        <f t="shared" ref="P230:P231" si="28">L230</f>
        <v>1358280</v>
      </c>
      <c r="Q230" s="368">
        <v>0</v>
      </c>
      <c r="R230" s="368">
        <v>0</v>
      </c>
      <c r="S230" s="132" t="s">
        <v>589</v>
      </c>
      <c r="T230" s="126"/>
      <c r="U230" s="127"/>
      <c r="V230" s="296"/>
    </row>
    <row r="231" spans="1:22" ht="9" customHeight="1">
      <c r="A231" s="166">
        <v>198</v>
      </c>
      <c r="B231" s="365" t="s">
        <v>846</v>
      </c>
      <c r="C231" s="132" t="s">
        <v>1155</v>
      </c>
      <c r="D231" s="207" t="s">
        <v>1154</v>
      </c>
      <c r="E231" s="366" t="s">
        <v>608</v>
      </c>
      <c r="F231" s="366" t="s">
        <v>88</v>
      </c>
      <c r="G231" s="130">
        <v>2</v>
      </c>
      <c r="H231" s="130">
        <v>3</v>
      </c>
      <c r="I231" s="368">
        <v>1977.1</v>
      </c>
      <c r="J231" s="368">
        <v>1865</v>
      </c>
      <c r="K231" s="130">
        <v>12</v>
      </c>
      <c r="L231" s="205">
        <f>'Приложение 2 КСП 2018-2019 гг'!H232</f>
        <v>2100420</v>
      </c>
      <c r="M231" s="368">
        <v>0</v>
      </c>
      <c r="N231" s="368">
        <v>0</v>
      </c>
      <c r="O231" s="368">
        <v>0</v>
      </c>
      <c r="P231" s="368">
        <f t="shared" si="28"/>
        <v>2100420</v>
      </c>
      <c r="Q231" s="368">
        <v>0</v>
      </c>
      <c r="R231" s="368">
        <v>0</v>
      </c>
      <c r="S231" s="132" t="s">
        <v>589</v>
      </c>
      <c r="T231" s="126"/>
      <c r="U231" s="127"/>
      <c r="V231" s="296"/>
    </row>
    <row r="232" spans="1:22" ht="20.25" customHeight="1">
      <c r="A232" s="950" t="s">
        <v>398</v>
      </c>
      <c r="B232" s="950"/>
      <c r="C232" s="174"/>
      <c r="D232" s="166"/>
      <c r="E232" s="166" t="s">
        <v>391</v>
      </c>
      <c r="F232" s="166" t="s">
        <v>391</v>
      </c>
      <c r="G232" s="166" t="s">
        <v>391</v>
      </c>
      <c r="H232" s="166" t="s">
        <v>391</v>
      </c>
      <c r="I232" s="167">
        <f>SUM(I230:I231)</f>
        <v>2815.6</v>
      </c>
      <c r="J232" s="167">
        <f t="shared" ref="J232:R232" si="29">SUM(J230:J231)</f>
        <v>2617.1999999999998</v>
      </c>
      <c r="K232" s="167">
        <f t="shared" si="29"/>
        <v>47</v>
      </c>
      <c r="L232" s="167">
        <f t="shared" si="29"/>
        <v>3458700</v>
      </c>
      <c r="M232" s="167">
        <f t="shared" si="29"/>
        <v>0</v>
      </c>
      <c r="N232" s="167">
        <f t="shared" si="29"/>
        <v>0</v>
      </c>
      <c r="O232" s="167">
        <f t="shared" si="29"/>
        <v>0</v>
      </c>
      <c r="P232" s="167">
        <f t="shared" si="29"/>
        <v>3458700</v>
      </c>
      <c r="Q232" s="167">
        <f t="shared" si="29"/>
        <v>0</v>
      </c>
      <c r="R232" s="167">
        <f t="shared" si="29"/>
        <v>0</v>
      </c>
      <c r="S232" s="368"/>
      <c r="T232" s="126"/>
      <c r="U232" s="298"/>
      <c r="V232" s="296"/>
    </row>
    <row r="233" spans="1:22" ht="12" customHeight="1">
      <c r="A233" s="821" t="s">
        <v>442</v>
      </c>
      <c r="B233" s="821"/>
      <c r="C233" s="821"/>
      <c r="D233" s="821"/>
      <c r="E233" s="821"/>
      <c r="F233" s="821"/>
      <c r="G233" s="821"/>
      <c r="H233" s="821"/>
      <c r="I233" s="821"/>
      <c r="J233" s="821"/>
      <c r="K233" s="821"/>
      <c r="L233" s="821"/>
      <c r="M233" s="821"/>
      <c r="N233" s="821"/>
      <c r="O233" s="821"/>
      <c r="P233" s="821"/>
      <c r="Q233" s="821"/>
      <c r="R233" s="821"/>
      <c r="S233" s="821"/>
      <c r="T233" s="297"/>
      <c r="U233" s="297"/>
      <c r="V233" s="296"/>
    </row>
    <row r="234" spans="1:22" ht="9" customHeight="1">
      <c r="A234" s="366">
        <v>199</v>
      </c>
      <c r="B234" s="365" t="s">
        <v>850</v>
      </c>
      <c r="C234" s="132" t="s">
        <v>1155</v>
      </c>
      <c r="D234" s="207" t="s">
        <v>1154</v>
      </c>
      <c r="E234" s="366" t="s">
        <v>746</v>
      </c>
      <c r="F234" s="366" t="s">
        <v>88</v>
      </c>
      <c r="G234" s="130">
        <v>3</v>
      </c>
      <c r="H234" s="130">
        <v>3</v>
      </c>
      <c r="I234" s="368">
        <v>2049.8000000000002</v>
      </c>
      <c r="J234" s="368">
        <v>1538.2</v>
      </c>
      <c r="K234" s="130">
        <v>18</v>
      </c>
      <c r="L234" s="205">
        <f>'Приложение 2 КСП 2018-2019 гг'!H235</f>
        <v>2911295.58</v>
      </c>
      <c r="M234" s="368">
        <v>0</v>
      </c>
      <c r="N234" s="368">
        <v>0</v>
      </c>
      <c r="O234" s="368">
        <v>0</v>
      </c>
      <c r="P234" s="368">
        <f t="shared" ref="P234" si="30">L234</f>
        <v>2911295.58</v>
      </c>
      <c r="Q234" s="368">
        <v>0</v>
      </c>
      <c r="R234" s="368">
        <v>0</v>
      </c>
      <c r="S234" s="132" t="s">
        <v>589</v>
      </c>
      <c r="T234" s="126"/>
      <c r="U234" s="127"/>
      <c r="V234" s="296"/>
    </row>
    <row r="235" spans="1:22" ht="35.25" customHeight="1">
      <c r="A235" s="946" t="s">
        <v>443</v>
      </c>
      <c r="B235" s="946"/>
      <c r="C235" s="132"/>
      <c r="D235" s="365"/>
      <c r="E235" s="366" t="s">
        <v>391</v>
      </c>
      <c r="F235" s="366" t="s">
        <v>391</v>
      </c>
      <c r="G235" s="366" t="s">
        <v>391</v>
      </c>
      <c r="H235" s="366" t="s">
        <v>391</v>
      </c>
      <c r="I235" s="368">
        <f>SUM(I234)</f>
        <v>2049.8000000000002</v>
      </c>
      <c r="J235" s="368">
        <f t="shared" ref="J235:R235" si="31">SUM(J234)</f>
        <v>1538.2</v>
      </c>
      <c r="K235" s="368">
        <f t="shared" si="31"/>
        <v>18</v>
      </c>
      <c r="L235" s="368">
        <f t="shared" si="31"/>
        <v>2911295.58</v>
      </c>
      <c r="M235" s="368">
        <f t="shared" si="31"/>
        <v>0</v>
      </c>
      <c r="N235" s="368">
        <f t="shared" si="31"/>
        <v>0</v>
      </c>
      <c r="O235" s="368">
        <f t="shared" si="31"/>
        <v>0</v>
      </c>
      <c r="P235" s="368">
        <f t="shared" si="31"/>
        <v>2911295.58</v>
      </c>
      <c r="Q235" s="368">
        <f t="shared" si="31"/>
        <v>0</v>
      </c>
      <c r="R235" s="368">
        <f t="shared" si="31"/>
        <v>0</v>
      </c>
      <c r="S235" s="368"/>
      <c r="T235" s="126"/>
      <c r="U235" s="127"/>
      <c r="V235" s="296"/>
    </row>
    <row r="236" spans="1:22" ht="9" customHeight="1">
      <c r="A236" s="823" t="s">
        <v>435</v>
      </c>
      <c r="B236" s="823"/>
      <c r="C236" s="823"/>
      <c r="D236" s="823"/>
      <c r="E236" s="823"/>
      <c r="F236" s="823"/>
      <c r="G236" s="823"/>
      <c r="H236" s="823"/>
      <c r="I236" s="823"/>
      <c r="J236" s="823"/>
      <c r="K236" s="823"/>
      <c r="L236" s="823"/>
      <c r="M236" s="823"/>
      <c r="N236" s="823"/>
      <c r="O236" s="823"/>
      <c r="P236" s="823"/>
      <c r="Q236" s="823"/>
      <c r="R236" s="823"/>
      <c r="S236" s="823"/>
      <c r="T236" s="326"/>
      <c r="U236" s="326"/>
      <c r="V236" s="296"/>
    </row>
    <row r="237" spans="1:22" ht="9" customHeight="1">
      <c r="A237" s="166">
        <v>200</v>
      </c>
      <c r="B237" s="365" t="s">
        <v>857</v>
      </c>
      <c r="C237" s="132" t="s">
        <v>1155</v>
      </c>
      <c r="D237" s="207" t="s">
        <v>1154</v>
      </c>
      <c r="E237" s="366" t="s">
        <v>596</v>
      </c>
      <c r="F237" s="366" t="s">
        <v>88</v>
      </c>
      <c r="G237" s="130">
        <v>2</v>
      </c>
      <c r="H237" s="130">
        <v>2</v>
      </c>
      <c r="I237" s="368">
        <v>531.5</v>
      </c>
      <c r="J237" s="368">
        <v>516.20000000000005</v>
      </c>
      <c r="K237" s="130">
        <v>15</v>
      </c>
      <c r="L237" s="205">
        <f>'Приложение 2 КСП 2018-2019 гг'!H238</f>
        <v>1856316</v>
      </c>
      <c r="M237" s="368">
        <v>0</v>
      </c>
      <c r="N237" s="368">
        <v>0</v>
      </c>
      <c r="O237" s="368">
        <v>0</v>
      </c>
      <c r="P237" s="368">
        <f t="shared" ref="P237" si="32">L237</f>
        <v>1856316</v>
      </c>
      <c r="Q237" s="368">
        <v>0</v>
      </c>
      <c r="R237" s="368">
        <v>0</v>
      </c>
      <c r="S237" s="132" t="s">
        <v>589</v>
      </c>
      <c r="T237" s="126"/>
      <c r="U237" s="127"/>
      <c r="V237" s="296"/>
    </row>
    <row r="238" spans="1:22" ht="28.5" customHeight="1">
      <c r="A238" s="946" t="s">
        <v>436</v>
      </c>
      <c r="B238" s="946"/>
      <c r="C238" s="132"/>
      <c r="D238" s="365"/>
      <c r="E238" s="166" t="s">
        <v>391</v>
      </c>
      <c r="F238" s="166" t="s">
        <v>391</v>
      </c>
      <c r="G238" s="166" t="s">
        <v>391</v>
      </c>
      <c r="H238" s="166" t="s">
        <v>391</v>
      </c>
      <c r="I238" s="167">
        <f>SUM(I237)</f>
        <v>531.5</v>
      </c>
      <c r="J238" s="167">
        <f t="shared" ref="J238:R238" si="33">SUM(J237)</f>
        <v>516.20000000000005</v>
      </c>
      <c r="K238" s="167">
        <f t="shared" si="33"/>
        <v>15</v>
      </c>
      <c r="L238" s="167">
        <f t="shared" si="33"/>
        <v>1856316</v>
      </c>
      <c r="M238" s="167">
        <f t="shared" si="33"/>
        <v>0</v>
      </c>
      <c r="N238" s="167">
        <f t="shared" si="33"/>
        <v>0</v>
      </c>
      <c r="O238" s="167">
        <f t="shared" si="33"/>
        <v>0</v>
      </c>
      <c r="P238" s="167">
        <f t="shared" si="33"/>
        <v>1856316</v>
      </c>
      <c r="Q238" s="167">
        <f t="shared" si="33"/>
        <v>0</v>
      </c>
      <c r="R238" s="167">
        <f t="shared" si="33"/>
        <v>0</v>
      </c>
      <c r="S238" s="368"/>
      <c r="T238" s="126"/>
      <c r="U238" s="298"/>
      <c r="V238" s="296"/>
    </row>
    <row r="239" spans="1:22" ht="9" customHeight="1">
      <c r="A239" s="823" t="s">
        <v>861</v>
      </c>
      <c r="B239" s="823"/>
      <c r="C239" s="823"/>
      <c r="D239" s="823"/>
      <c r="E239" s="823"/>
      <c r="F239" s="823"/>
      <c r="G239" s="823"/>
      <c r="H239" s="823"/>
      <c r="I239" s="823"/>
      <c r="J239" s="823"/>
      <c r="K239" s="823"/>
      <c r="L239" s="823"/>
      <c r="M239" s="823"/>
      <c r="N239" s="823"/>
      <c r="O239" s="823"/>
      <c r="P239" s="823"/>
      <c r="Q239" s="823"/>
      <c r="R239" s="823"/>
      <c r="S239" s="823"/>
      <c r="T239" s="326"/>
      <c r="U239" s="326"/>
      <c r="V239" s="296"/>
    </row>
    <row r="240" spans="1:22" ht="9" customHeight="1">
      <c r="A240" s="166">
        <v>201</v>
      </c>
      <c r="B240" s="365" t="s">
        <v>858</v>
      </c>
      <c r="C240" s="132" t="s">
        <v>1155</v>
      </c>
      <c r="D240" s="207" t="s">
        <v>1154</v>
      </c>
      <c r="E240" s="366" t="s">
        <v>597</v>
      </c>
      <c r="F240" s="366" t="s">
        <v>90</v>
      </c>
      <c r="G240" s="366" t="s">
        <v>73</v>
      </c>
      <c r="H240" s="366" t="s">
        <v>73</v>
      </c>
      <c r="I240" s="368">
        <v>674.2</v>
      </c>
      <c r="J240" s="368">
        <v>634.20000000000005</v>
      </c>
      <c r="K240" s="130">
        <v>15</v>
      </c>
      <c r="L240" s="205">
        <f>'Приложение 2 КСП 2018-2019 гг'!H241</f>
        <v>1583650</v>
      </c>
      <c r="M240" s="368">
        <v>0</v>
      </c>
      <c r="N240" s="368">
        <v>0</v>
      </c>
      <c r="O240" s="368">
        <v>0</v>
      </c>
      <c r="P240" s="368">
        <f t="shared" ref="P240" si="34">L240</f>
        <v>1583650</v>
      </c>
      <c r="Q240" s="368">
        <v>0</v>
      </c>
      <c r="R240" s="368">
        <v>0</v>
      </c>
      <c r="S240" s="132" t="s">
        <v>589</v>
      </c>
      <c r="T240" s="126"/>
      <c r="U240" s="127"/>
      <c r="V240" s="296"/>
    </row>
    <row r="241" spans="1:22" ht="24" customHeight="1">
      <c r="A241" s="946" t="s">
        <v>1014</v>
      </c>
      <c r="B241" s="946"/>
      <c r="C241" s="132"/>
      <c r="D241" s="365"/>
      <c r="E241" s="166" t="s">
        <v>391</v>
      </c>
      <c r="F241" s="166" t="s">
        <v>391</v>
      </c>
      <c r="G241" s="166" t="s">
        <v>391</v>
      </c>
      <c r="H241" s="166" t="s">
        <v>391</v>
      </c>
      <c r="I241" s="167">
        <f>SUM(I240)</f>
        <v>674.2</v>
      </c>
      <c r="J241" s="167">
        <f t="shared" ref="J241:R241" si="35">SUM(J240)</f>
        <v>634.20000000000005</v>
      </c>
      <c r="K241" s="167">
        <f t="shared" si="35"/>
        <v>15</v>
      </c>
      <c r="L241" s="167">
        <f t="shared" si="35"/>
        <v>1583650</v>
      </c>
      <c r="M241" s="167">
        <f t="shared" si="35"/>
        <v>0</v>
      </c>
      <c r="N241" s="167">
        <f t="shared" si="35"/>
        <v>0</v>
      </c>
      <c r="O241" s="167">
        <f t="shared" si="35"/>
        <v>0</v>
      </c>
      <c r="P241" s="167">
        <f t="shared" si="35"/>
        <v>1583650</v>
      </c>
      <c r="Q241" s="167">
        <f t="shared" si="35"/>
        <v>0</v>
      </c>
      <c r="R241" s="167">
        <f t="shared" si="35"/>
        <v>0</v>
      </c>
      <c r="S241" s="368"/>
      <c r="T241" s="126"/>
      <c r="U241" s="298"/>
      <c r="V241" s="296"/>
    </row>
    <row r="242" spans="1:22" ht="9" customHeight="1">
      <c r="A242" s="821" t="s">
        <v>409</v>
      </c>
      <c r="B242" s="821"/>
      <c r="C242" s="821"/>
      <c r="D242" s="821"/>
      <c r="E242" s="821"/>
      <c r="F242" s="821"/>
      <c r="G242" s="821"/>
      <c r="H242" s="821"/>
      <c r="I242" s="821"/>
      <c r="J242" s="821"/>
      <c r="K242" s="821"/>
      <c r="L242" s="821"/>
      <c r="M242" s="821"/>
      <c r="N242" s="821"/>
      <c r="O242" s="821"/>
      <c r="P242" s="821"/>
      <c r="Q242" s="821"/>
      <c r="R242" s="821"/>
      <c r="S242" s="821"/>
      <c r="T242" s="297"/>
      <c r="U242" s="297"/>
      <c r="V242" s="296"/>
    </row>
    <row r="243" spans="1:22" ht="9" customHeight="1">
      <c r="A243" s="141">
        <v>202</v>
      </c>
      <c r="B243" s="150" t="s">
        <v>886</v>
      </c>
      <c r="C243" s="132" t="s">
        <v>1155</v>
      </c>
      <c r="D243" s="207" t="s">
        <v>1154</v>
      </c>
      <c r="E243" s="366" t="s">
        <v>599</v>
      </c>
      <c r="F243" s="366" t="s">
        <v>90</v>
      </c>
      <c r="G243" s="130">
        <v>3</v>
      </c>
      <c r="H243" s="130">
        <v>2</v>
      </c>
      <c r="I243" s="149">
        <v>1279.2</v>
      </c>
      <c r="J243" s="149">
        <v>1137.9000000000001</v>
      </c>
      <c r="K243" s="130">
        <v>230</v>
      </c>
      <c r="L243" s="205">
        <f>'Приложение 2 КСП 2018-2019 гг'!H244</f>
        <v>1667000</v>
      </c>
      <c r="M243" s="368">
        <v>0</v>
      </c>
      <c r="N243" s="368">
        <v>0</v>
      </c>
      <c r="O243" s="368">
        <v>0</v>
      </c>
      <c r="P243" s="368">
        <f t="shared" ref="P243" si="36">L243</f>
        <v>1667000</v>
      </c>
      <c r="Q243" s="368">
        <v>0</v>
      </c>
      <c r="R243" s="368">
        <v>0</v>
      </c>
      <c r="S243" s="132" t="s">
        <v>589</v>
      </c>
      <c r="T243" s="126"/>
      <c r="U243" s="127"/>
      <c r="V243" s="296"/>
    </row>
    <row r="244" spans="1:22" ht="28.5" customHeight="1">
      <c r="A244" s="946" t="s">
        <v>410</v>
      </c>
      <c r="B244" s="946"/>
      <c r="C244" s="132"/>
      <c r="D244" s="365"/>
      <c r="E244" s="366" t="s">
        <v>391</v>
      </c>
      <c r="F244" s="366" t="s">
        <v>391</v>
      </c>
      <c r="G244" s="366" t="s">
        <v>391</v>
      </c>
      <c r="H244" s="366" t="s">
        <v>391</v>
      </c>
      <c r="I244" s="149">
        <f>SUM(I243)</f>
        <v>1279.2</v>
      </c>
      <c r="J244" s="149">
        <f t="shared" ref="J244:R244" si="37">SUM(J243)</f>
        <v>1137.9000000000001</v>
      </c>
      <c r="K244" s="149">
        <f t="shared" si="37"/>
        <v>230</v>
      </c>
      <c r="L244" s="167">
        <f t="shared" si="37"/>
        <v>1667000</v>
      </c>
      <c r="M244" s="149">
        <f t="shared" si="37"/>
        <v>0</v>
      </c>
      <c r="N244" s="149">
        <f t="shared" si="37"/>
        <v>0</v>
      </c>
      <c r="O244" s="149">
        <f t="shared" si="37"/>
        <v>0</v>
      </c>
      <c r="P244" s="149">
        <f t="shared" si="37"/>
        <v>1667000</v>
      </c>
      <c r="Q244" s="149">
        <f t="shared" si="37"/>
        <v>0</v>
      </c>
      <c r="R244" s="149">
        <f t="shared" si="37"/>
        <v>0</v>
      </c>
      <c r="S244" s="368"/>
      <c r="T244" s="126"/>
      <c r="U244" s="127"/>
      <c r="V244" s="296"/>
    </row>
    <row r="245" spans="1:22" ht="9" customHeight="1">
      <c r="A245" s="821" t="s">
        <v>295</v>
      </c>
      <c r="B245" s="821"/>
      <c r="C245" s="821"/>
      <c r="D245" s="821"/>
      <c r="E245" s="821"/>
      <c r="F245" s="821"/>
      <c r="G245" s="821"/>
      <c r="H245" s="821"/>
      <c r="I245" s="821"/>
      <c r="J245" s="821"/>
      <c r="K245" s="821"/>
      <c r="L245" s="821"/>
      <c r="M245" s="821"/>
      <c r="N245" s="821"/>
      <c r="O245" s="821"/>
      <c r="P245" s="821"/>
      <c r="Q245" s="821"/>
      <c r="R245" s="821"/>
      <c r="S245" s="821"/>
      <c r="T245" s="297"/>
      <c r="U245" s="297"/>
      <c r="V245" s="296"/>
    </row>
    <row r="246" spans="1:22" ht="9" customHeight="1">
      <c r="A246" s="366">
        <v>203</v>
      </c>
      <c r="B246" s="365" t="s">
        <v>862</v>
      </c>
      <c r="C246" s="132" t="s">
        <v>1155</v>
      </c>
      <c r="D246" s="207" t="s">
        <v>1154</v>
      </c>
      <c r="E246" s="366" t="s">
        <v>593</v>
      </c>
      <c r="F246" s="366" t="s">
        <v>90</v>
      </c>
      <c r="G246" s="130">
        <v>5</v>
      </c>
      <c r="H246" s="130">
        <v>6</v>
      </c>
      <c r="I246" s="368">
        <v>6330.1</v>
      </c>
      <c r="J246" s="368">
        <v>5744.2</v>
      </c>
      <c r="K246" s="133">
        <v>206</v>
      </c>
      <c r="L246" s="205">
        <f>'Приложение 2 КСП 2018-2019 гг'!H247</f>
        <v>5166033</v>
      </c>
      <c r="M246" s="368">
        <v>0</v>
      </c>
      <c r="N246" s="368">
        <v>0</v>
      </c>
      <c r="O246" s="368">
        <v>0</v>
      </c>
      <c r="P246" s="368">
        <f t="shared" ref="P246:P250" si="38">L246</f>
        <v>5166033</v>
      </c>
      <c r="Q246" s="368">
        <v>0</v>
      </c>
      <c r="R246" s="368">
        <v>0</v>
      </c>
      <c r="S246" s="132" t="s">
        <v>589</v>
      </c>
      <c r="T246" s="126"/>
      <c r="U246" s="127"/>
      <c r="V246" s="296"/>
    </row>
    <row r="247" spans="1:22" ht="9" customHeight="1">
      <c r="A247" s="366">
        <v>204</v>
      </c>
      <c r="B247" s="365" t="s">
        <v>863</v>
      </c>
      <c r="C247" s="132" t="s">
        <v>1155</v>
      </c>
      <c r="D247" s="207" t="s">
        <v>1154</v>
      </c>
      <c r="E247" s="366" t="s">
        <v>828</v>
      </c>
      <c r="F247" s="366" t="s">
        <v>90</v>
      </c>
      <c r="G247" s="130">
        <v>5</v>
      </c>
      <c r="H247" s="130">
        <v>6</v>
      </c>
      <c r="I247" s="368">
        <v>6737.5</v>
      </c>
      <c r="J247" s="368">
        <v>6094.5</v>
      </c>
      <c r="K247" s="133">
        <v>234</v>
      </c>
      <c r="L247" s="205">
        <f>'Приложение 2 КСП 2018-2019 гг'!H248</f>
        <v>5652130.2000000002</v>
      </c>
      <c r="M247" s="368">
        <v>0</v>
      </c>
      <c r="N247" s="368">
        <v>0</v>
      </c>
      <c r="O247" s="368">
        <v>0</v>
      </c>
      <c r="P247" s="368">
        <f t="shared" si="38"/>
        <v>5652130.2000000002</v>
      </c>
      <c r="Q247" s="368">
        <v>0</v>
      </c>
      <c r="R247" s="368">
        <v>0</v>
      </c>
      <c r="S247" s="132" t="s">
        <v>589</v>
      </c>
      <c r="T247" s="126"/>
      <c r="U247" s="127"/>
      <c r="V247" s="296"/>
    </row>
    <row r="248" spans="1:22" ht="9" customHeight="1">
      <c r="A248" s="366">
        <v>205</v>
      </c>
      <c r="B248" s="365" t="s">
        <v>864</v>
      </c>
      <c r="C248" s="132" t="s">
        <v>1155</v>
      </c>
      <c r="D248" s="207" t="s">
        <v>1154</v>
      </c>
      <c r="E248" s="366" t="s">
        <v>745</v>
      </c>
      <c r="F248" s="366" t="s">
        <v>88</v>
      </c>
      <c r="G248" s="130">
        <v>2</v>
      </c>
      <c r="H248" s="130">
        <v>2</v>
      </c>
      <c r="I248" s="368">
        <v>959.1</v>
      </c>
      <c r="J248" s="368">
        <v>922.2</v>
      </c>
      <c r="K248" s="133">
        <v>27</v>
      </c>
      <c r="L248" s="205">
        <f>'Приложение 2 КСП 2018-2019 гг'!H249</f>
        <v>3084589.2</v>
      </c>
      <c r="M248" s="368">
        <v>0</v>
      </c>
      <c r="N248" s="368">
        <v>0</v>
      </c>
      <c r="O248" s="368">
        <v>0</v>
      </c>
      <c r="P248" s="368">
        <f t="shared" si="38"/>
        <v>3084589.2</v>
      </c>
      <c r="Q248" s="368">
        <v>0</v>
      </c>
      <c r="R248" s="368">
        <v>0</v>
      </c>
      <c r="S248" s="132" t="s">
        <v>589</v>
      </c>
      <c r="T248" s="126"/>
      <c r="U248" s="127"/>
      <c r="V248" s="296"/>
    </row>
    <row r="249" spans="1:22" ht="9" customHeight="1">
      <c r="A249" s="366">
        <v>206</v>
      </c>
      <c r="B249" s="365" t="s">
        <v>865</v>
      </c>
      <c r="C249" s="132" t="s">
        <v>1155</v>
      </c>
      <c r="D249" s="207" t="s">
        <v>1154</v>
      </c>
      <c r="E249" s="366" t="s">
        <v>615</v>
      </c>
      <c r="F249" s="366" t="s">
        <v>88</v>
      </c>
      <c r="G249" s="130">
        <v>5</v>
      </c>
      <c r="H249" s="130">
        <v>2</v>
      </c>
      <c r="I249" s="368">
        <v>2010.5</v>
      </c>
      <c r="J249" s="368">
        <v>1816.3</v>
      </c>
      <c r="K249" s="133">
        <v>59</v>
      </c>
      <c r="L249" s="205">
        <f>'Приложение 2 КСП 2018-2019 гг'!H250</f>
        <v>2120210.4</v>
      </c>
      <c r="M249" s="368">
        <v>0</v>
      </c>
      <c r="N249" s="368">
        <v>0</v>
      </c>
      <c r="O249" s="368">
        <v>0</v>
      </c>
      <c r="P249" s="368">
        <f t="shared" si="38"/>
        <v>2120210.4</v>
      </c>
      <c r="Q249" s="368">
        <v>0</v>
      </c>
      <c r="R249" s="368">
        <v>0</v>
      </c>
      <c r="S249" s="132" t="s">
        <v>589</v>
      </c>
      <c r="T249" s="126"/>
      <c r="U249" s="127"/>
      <c r="V249" s="296"/>
    </row>
    <row r="250" spans="1:22" ht="9" customHeight="1">
      <c r="A250" s="366">
        <v>207</v>
      </c>
      <c r="B250" s="365" t="s">
        <v>866</v>
      </c>
      <c r="C250" s="132" t="s">
        <v>1155</v>
      </c>
      <c r="D250" s="207" t="s">
        <v>1154</v>
      </c>
      <c r="E250" s="366" t="s">
        <v>328</v>
      </c>
      <c r="F250" s="366" t="s">
        <v>776</v>
      </c>
      <c r="G250" s="130">
        <v>2</v>
      </c>
      <c r="H250" s="130">
        <v>2</v>
      </c>
      <c r="I250" s="368">
        <v>652.4</v>
      </c>
      <c r="J250" s="368">
        <v>640.4</v>
      </c>
      <c r="K250" s="133">
        <v>21</v>
      </c>
      <c r="L250" s="205">
        <f>'Приложение 2 КСП 2018-2019 гг'!H251</f>
        <v>1963038</v>
      </c>
      <c r="M250" s="368">
        <v>0</v>
      </c>
      <c r="N250" s="368">
        <v>0</v>
      </c>
      <c r="O250" s="368">
        <v>0</v>
      </c>
      <c r="P250" s="368">
        <f t="shared" si="38"/>
        <v>1963038</v>
      </c>
      <c r="Q250" s="368">
        <v>0</v>
      </c>
      <c r="R250" s="368">
        <v>0</v>
      </c>
      <c r="S250" s="132" t="s">
        <v>589</v>
      </c>
      <c r="T250" s="126"/>
      <c r="U250" s="127"/>
      <c r="V250" s="296"/>
    </row>
    <row r="251" spans="1:22" ht="9" customHeight="1">
      <c r="A251" s="366">
        <v>208</v>
      </c>
      <c r="B251" s="365" t="s">
        <v>867</v>
      </c>
      <c r="C251" s="132" t="s">
        <v>1155</v>
      </c>
      <c r="D251" s="207" t="s">
        <v>1154</v>
      </c>
      <c r="E251" s="366" t="s">
        <v>599</v>
      </c>
      <c r="F251" s="366" t="s">
        <v>88</v>
      </c>
      <c r="G251" s="130">
        <v>5</v>
      </c>
      <c r="H251" s="130">
        <v>4</v>
      </c>
      <c r="I251" s="368">
        <v>3714.8</v>
      </c>
      <c r="J251" s="368">
        <v>3115</v>
      </c>
      <c r="K251" s="133">
        <v>136</v>
      </c>
      <c r="L251" s="205">
        <f>'Приложение 2 КСП 2018-2019 гг'!H252</f>
        <v>4482970.8</v>
      </c>
      <c r="M251" s="368">
        <v>0</v>
      </c>
      <c r="N251" s="368">
        <v>0</v>
      </c>
      <c r="O251" s="368">
        <v>0</v>
      </c>
      <c r="P251" s="368">
        <f t="shared" ref="P251:P255" si="39">L251</f>
        <v>4482970.8</v>
      </c>
      <c r="Q251" s="368">
        <v>0</v>
      </c>
      <c r="R251" s="368">
        <v>0</v>
      </c>
      <c r="S251" s="132" t="s">
        <v>589</v>
      </c>
      <c r="T251" s="126"/>
      <c r="U251" s="127"/>
      <c r="V251" s="296"/>
    </row>
    <row r="252" spans="1:22" ht="9" customHeight="1">
      <c r="A252" s="366">
        <v>209</v>
      </c>
      <c r="B252" s="365" t="s">
        <v>868</v>
      </c>
      <c r="C252" s="132" t="s">
        <v>1155</v>
      </c>
      <c r="D252" s="207" t="s">
        <v>1154</v>
      </c>
      <c r="E252" s="366" t="s">
        <v>607</v>
      </c>
      <c r="F252" s="366" t="s">
        <v>88</v>
      </c>
      <c r="G252" s="130">
        <v>5</v>
      </c>
      <c r="H252" s="130">
        <v>1</v>
      </c>
      <c r="I252" s="368">
        <v>3974.1</v>
      </c>
      <c r="J252" s="368">
        <v>2545.1999999999998</v>
      </c>
      <c r="K252" s="133">
        <v>194</v>
      </c>
      <c r="L252" s="205">
        <f>'Приложение 2 КСП 2018-2019 гг'!H253</f>
        <v>7370797.3900000006</v>
      </c>
      <c r="M252" s="368">
        <v>0</v>
      </c>
      <c r="N252" s="368">
        <v>0</v>
      </c>
      <c r="O252" s="368">
        <v>0</v>
      </c>
      <c r="P252" s="368">
        <f t="shared" si="39"/>
        <v>7370797.3900000006</v>
      </c>
      <c r="Q252" s="368">
        <v>0</v>
      </c>
      <c r="R252" s="368">
        <v>0</v>
      </c>
      <c r="S252" s="132" t="s">
        <v>589</v>
      </c>
      <c r="T252" s="126"/>
      <c r="U252" s="127"/>
      <c r="V252" s="296"/>
    </row>
    <row r="253" spans="1:22" ht="9" customHeight="1">
      <c r="A253" s="366">
        <v>210</v>
      </c>
      <c r="B253" s="365" t="s">
        <v>869</v>
      </c>
      <c r="C253" s="132" t="s">
        <v>1155</v>
      </c>
      <c r="D253" s="207" t="s">
        <v>1154</v>
      </c>
      <c r="E253" s="366" t="s">
        <v>608</v>
      </c>
      <c r="F253" s="366" t="s">
        <v>88</v>
      </c>
      <c r="G253" s="130">
        <v>2</v>
      </c>
      <c r="H253" s="130">
        <v>1</v>
      </c>
      <c r="I253" s="368">
        <v>400.9</v>
      </c>
      <c r="J253" s="368">
        <v>372.7</v>
      </c>
      <c r="K253" s="133">
        <v>231</v>
      </c>
      <c r="L253" s="205">
        <f>'Приложение 2 КСП 2018-2019 гг'!H254</f>
        <v>980196</v>
      </c>
      <c r="M253" s="368">
        <v>0</v>
      </c>
      <c r="N253" s="368">
        <v>0</v>
      </c>
      <c r="O253" s="368">
        <v>0</v>
      </c>
      <c r="P253" s="368">
        <f t="shared" si="39"/>
        <v>980196</v>
      </c>
      <c r="Q253" s="368">
        <v>0</v>
      </c>
      <c r="R253" s="368">
        <v>0</v>
      </c>
      <c r="S253" s="132" t="s">
        <v>589</v>
      </c>
      <c r="T253" s="126"/>
      <c r="U253" s="127"/>
      <c r="V253" s="296"/>
    </row>
    <row r="254" spans="1:22" ht="9" customHeight="1">
      <c r="A254" s="366">
        <v>211</v>
      </c>
      <c r="B254" s="365" t="s">
        <v>870</v>
      </c>
      <c r="C254" s="132" t="s">
        <v>1155</v>
      </c>
      <c r="D254" s="207" t="s">
        <v>1154</v>
      </c>
      <c r="E254" s="366" t="s">
        <v>604</v>
      </c>
      <c r="F254" s="366" t="s">
        <v>88</v>
      </c>
      <c r="G254" s="130">
        <v>2</v>
      </c>
      <c r="H254" s="130">
        <v>3</v>
      </c>
      <c r="I254" s="368">
        <v>1050.9000000000001</v>
      </c>
      <c r="J254" s="368">
        <v>972.4</v>
      </c>
      <c r="K254" s="133">
        <v>184</v>
      </c>
      <c r="L254" s="205">
        <f>'Приложение 2 КСП 2018-2019 гг'!H255</f>
        <v>2164432.7999999998</v>
      </c>
      <c r="M254" s="368">
        <v>0</v>
      </c>
      <c r="N254" s="368">
        <v>0</v>
      </c>
      <c r="O254" s="368">
        <v>0</v>
      </c>
      <c r="P254" s="368">
        <f t="shared" si="39"/>
        <v>2164432.7999999998</v>
      </c>
      <c r="Q254" s="368">
        <v>0</v>
      </c>
      <c r="R254" s="368">
        <v>0</v>
      </c>
      <c r="S254" s="132" t="s">
        <v>589</v>
      </c>
      <c r="T254" s="126"/>
      <c r="U254" s="127"/>
      <c r="V254" s="296"/>
    </row>
    <row r="255" spans="1:22" ht="9" customHeight="1">
      <c r="A255" s="366">
        <v>212</v>
      </c>
      <c r="B255" s="365" t="s">
        <v>871</v>
      </c>
      <c r="C255" s="132" t="s">
        <v>1155</v>
      </c>
      <c r="D255" s="207" t="s">
        <v>1154</v>
      </c>
      <c r="E255" s="366" t="s">
        <v>608</v>
      </c>
      <c r="F255" s="366" t="s">
        <v>90</v>
      </c>
      <c r="G255" s="130">
        <v>2</v>
      </c>
      <c r="H255" s="130">
        <v>2</v>
      </c>
      <c r="I255" s="368">
        <v>676.1</v>
      </c>
      <c r="J255" s="368">
        <v>594.6</v>
      </c>
      <c r="K255" s="133">
        <v>23</v>
      </c>
      <c r="L255" s="205">
        <f>'Приложение 2 КСП 2018-2019 гг'!H256</f>
        <v>1269345</v>
      </c>
      <c r="M255" s="368">
        <v>0</v>
      </c>
      <c r="N255" s="368">
        <v>0</v>
      </c>
      <c r="O255" s="368">
        <v>0</v>
      </c>
      <c r="P255" s="368">
        <f t="shared" si="39"/>
        <v>1269345</v>
      </c>
      <c r="Q255" s="368">
        <v>0</v>
      </c>
      <c r="R255" s="368">
        <v>0</v>
      </c>
      <c r="S255" s="132" t="s">
        <v>589</v>
      </c>
      <c r="T255" s="126"/>
      <c r="U255" s="127"/>
      <c r="V255" s="296"/>
    </row>
    <row r="256" spans="1:22" ht="9" customHeight="1">
      <c r="A256" s="366">
        <v>213</v>
      </c>
      <c r="B256" s="365" t="s">
        <v>1081</v>
      </c>
      <c r="C256" s="132" t="s">
        <v>1155</v>
      </c>
      <c r="D256" s="207" t="s">
        <v>1154</v>
      </c>
      <c r="E256" s="366">
        <v>1986</v>
      </c>
      <c r="F256" s="366" t="s">
        <v>88</v>
      </c>
      <c r="G256" s="366">
        <v>9</v>
      </c>
      <c r="H256" s="366">
        <v>1</v>
      </c>
      <c r="I256" s="368">
        <v>7081.8</v>
      </c>
      <c r="J256" s="368">
        <v>3837.7999999999997</v>
      </c>
      <c r="K256" s="133">
        <v>345</v>
      </c>
      <c r="L256" s="205">
        <f>'Приложение 2 КСП 2018-2019 гг'!H257</f>
        <v>3927193.6000000001</v>
      </c>
      <c r="M256" s="368">
        <v>0</v>
      </c>
      <c r="N256" s="368">
        <v>0</v>
      </c>
      <c r="O256" s="368">
        <v>200000</v>
      </c>
      <c r="P256" s="368">
        <f>L256-O256</f>
        <v>3727193.6</v>
      </c>
      <c r="Q256" s="368">
        <v>0</v>
      </c>
      <c r="R256" s="368">
        <v>0</v>
      </c>
      <c r="S256" s="132" t="s">
        <v>589</v>
      </c>
      <c r="T256" s="126"/>
      <c r="U256" s="127"/>
      <c r="V256" s="296"/>
    </row>
    <row r="257" spans="1:22" ht="35.25" customHeight="1">
      <c r="A257" s="946" t="s">
        <v>301</v>
      </c>
      <c r="B257" s="946"/>
      <c r="C257" s="132"/>
      <c r="D257" s="366"/>
      <c r="E257" s="366" t="s">
        <v>391</v>
      </c>
      <c r="F257" s="366" t="s">
        <v>391</v>
      </c>
      <c r="G257" s="366" t="s">
        <v>391</v>
      </c>
      <c r="H257" s="366" t="s">
        <v>391</v>
      </c>
      <c r="I257" s="368">
        <f>SUM(I246:I256)</f>
        <v>33588.200000000004</v>
      </c>
      <c r="J257" s="368">
        <f t="shared" ref="J257:R257" si="40">SUM(J246:J256)</f>
        <v>26655.3</v>
      </c>
      <c r="K257" s="368">
        <f t="shared" si="40"/>
        <v>1660</v>
      </c>
      <c r="L257" s="368">
        <f t="shared" si="40"/>
        <v>38180936.390000001</v>
      </c>
      <c r="M257" s="368">
        <f t="shared" si="40"/>
        <v>0</v>
      </c>
      <c r="N257" s="368">
        <f t="shared" si="40"/>
        <v>0</v>
      </c>
      <c r="O257" s="368">
        <f t="shared" si="40"/>
        <v>200000</v>
      </c>
      <c r="P257" s="368">
        <f t="shared" si="40"/>
        <v>37980936.390000001</v>
      </c>
      <c r="Q257" s="368">
        <f t="shared" si="40"/>
        <v>0</v>
      </c>
      <c r="R257" s="368">
        <f t="shared" si="40"/>
        <v>0</v>
      </c>
      <c r="S257" s="368"/>
      <c r="T257" s="126"/>
      <c r="U257" s="127"/>
      <c r="V257" s="296"/>
    </row>
    <row r="258" spans="1:22" ht="9" customHeight="1">
      <c r="A258" s="821" t="s">
        <v>296</v>
      </c>
      <c r="B258" s="821"/>
      <c r="C258" s="821"/>
      <c r="D258" s="821"/>
      <c r="E258" s="821"/>
      <c r="F258" s="821"/>
      <c r="G258" s="821"/>
      <c r="H258" s="821"/>
      <c r="I258" s="821"/>
      <c r="J258" s="821"/>
      <c r="K258" s="821"/>
      <c r="L258" s="821"/>
      <c r="M258" s="821"/>
      <c r="N258" s="821"/>
      <c r="O258" s="821"/>
      <c r="P258" s="821"/>
      <c r="Q258" s="821"/>
      <c r="R258" s="821"/>
      <c r="S258" s="821"/>
      <c r="T258" s="297"/>
      <c r="U258" s="297"/>
      <c r="V258" s="296"/>
    </row>
    <row r="259" spans="1:22" ht="9" customHeight="1">
      <c r="A259" s="366">
        <v>214</v>
      </c>
      <c r="B259" s="156" t="s">
        <v>884</v>
      </c>
      <c r="C259" s="132" t="s">
        <v>1155</v>
      </c>
      <c r="D259" s="207" t="s">
        <v>1154</v>
      </c>
      <c r="E259" s="268" t="s">
        <v>608</v>
      </c>
      <c r="F259" s="268" t="s">
        <v>88</v>
      </c>
      <c r="G259" s="130">
        <v>5</v>
      </c>
      <c r="H259" s="130">
        <v>4</v>
      </c>
      <c r="I259" s="267">
        <v>3412.9</v>
      </c>
      <c r="J259" s="267">
        <v>3144</v>
      </c>
      <c r="K259" s="130">
        <v>17</v>
      </c>
      <c r="L259" s="205">
        <f>'Приложение 2 КСП 2018-2019 гг'!H260</f>
        <v>3113956</v>
      </c>
      <c r="M259" s="368">
        <v>0</v>
      </c>
      <c r="N259" s="368">
        <v>0</v>
      </c>
      <c r="O259" s="368">
        <v>0</v>
      </c>
      <c r="P259" s="368">
        <f t="shared" ref="P259" si="41">L259</f>
        <v>3113956</v>
      </c>
      <c r="Q259" s="267">
        <v>0</v>
      </c>
      <c r="R259" s="267">
        <v>0</v>
      </c>
      <c r="S259" s="132" t="s">
        <v>589</v>
      </c>
      <c r="T259" s="126"/>
      <c r="U259" s="127"/>
      <c r="V259" s="296"/>
    </row>
    <row r="260" spans="1:22" ht="35.25" customHeight="1">
      <c r="A260" s="946" t="s">
        <v>302</v>
      </c>
      <c r="B260" s="946"/>
      <c r="C260" s="132"/>
      <c r="D260" s="265"/>
      <c r="E260" s="268" t="s">
        <v>391</v>
      </c>
      <c r="F260" s="268" t="s">
        <v>391</v>
      </c>
      <c r="G260" s="268" t="s">
        <v>391</v>
      </c>
      <c r="H260" s="268" t="s">
        <v>391</v>
      </c>
      <c r="I260" s="368">
        <f>SUM(I259)</f>
        <v>3412.9</v>
      </c>
      <c r="J260" s="368">
        <f t="shared" ref="J260:R260" si="42">SUM(J259)</f>
        <v>3144</v>
      </c>
      <c r="K260" s="368">
        <f t="shared" si="42"/>
        <v>17</v>
      </c>
      <c r="L260" s="368">
        <f t="shared" si="42"/>
        <v>3113956</v>
      </c>
      <c r="M260" s="368">
        <f t="shared" si="42"/>
        <v>0</v>
      </c>
      <c r="N260" s="368">
        <f t="shared" si="42"/>
        <v>0</v>
      </c>
      <c r="O260" s="368">
        <f t="shared" si="42"/>
        <v>0</v>
      </c>
      <c r="P260" s="368">
        <f t="shared" si="42"/>
        <v>3113956</v>
      </c>
      <c r="Q260" s="368">
        <f t="shared" si="42"/>
        <v>0</v>
      </c>
      <c r="R260" s="368">
        <f t="shared" si="42"/>
        <v>0</v>
      </c>
      <c r="S260" s="267"/>
      <c r="T260" s="126"/>
      <c r="U260" s="127"/>
      <c r="V260" s="296"/>
    </row>
    <row r="261" spans="1:22" ht="9" customHeight="1">
      <c r="A261" s="821" t="s">
        <v>298</v>
      </c>
      <c r="B261" s="821"/>
      <c r="C261" s="821"/>
      <c r="D261" s="821"/>
      <c r="E261" s="821"/>
      <c r="F261" s="821"/>
      <c r="G261" s="821"/>
      <c r="H261" s="821"/>
      <c r="I261" s="821"/>
      <c r="J261" s="821"/>
      <c r="K261" s="821"/>
      <c r="L261" s="821"/>
      <c r="M261" s="821"/>
      <c r="N261" s="821"/>
      <c r="O261" s="821"/>
      <c r="P261" s="821"/>
      <c r="Q261" s="821"/>
      <c r="R261" s="821"/>
      <c r="S261" s="821"/>
      <c r="T261" s="297"/>
      <c r="U261" s="297"/>
      <c r="V261" s="296"/>
    </row>
    <row r="262" spans="1:22" ht="9" customHeight="1">
      <c r="A262" s="268">
        <v>215</v>
      </c>
      <c r="B262" s="265" t="s">
        <v>882</v>
      </c>
      <c r="C262" s="132" t="s">
        <v>1155</v>
      </c>
      <c r="D262" s="207" t="s">
        <v>1154</v>
      </c>
      <c r="E262" s="268" t="s">
        <v>299</v>
      </c>
      <c r="F262" s="268" t="s">
        <v>90</v>
      </c>
      <c r="G262" s="268" t="s">
        <v>76</v>
      </c>
      <c r="H262" s="268" t="s">
        <v>75</v>
      </c>
      <c r="I262" s="267">
        <v>4457.7</v>
      </c>
      <c r="J262" s="267">
        <v>3118.3</v>
      </c>
      <c r="K262" s="267">
        <v>128</v>
      </c>
      <c r="L262" s="205">
        <f>'Приложение 2 КСП 2018-2019 гг'!H263</f>
        <v>2757884.8</v>
      </c>
      <c r="M262" s="368">
        <v>0</v>
      </c>
      <c r="N262" s="368">
        <v>0</v>
      </c>
      <c r="O262" s="368">
        <v>0</v>
      </c>
      <c r="P262" s="368">
        <f t="shared" ref="P262" si="43">L262</f>
        <v>2757884.8</v>
      </c>
      <c r="Q262" s="267">
        <v>0</v>
      </c>
      <c r="R262" s="267">
        <v>0</v>
      </c>
      <c r="S262" s="132" t="s">
        <v>589</v>
      </c>
      <c r="T262" s="126"/>
      <c r="U262" s="127"/>
      <c r="V262" s="296"/>
    </row>
    <row r="263" spans="1:22" ht="34.5" customHeight="1">
      <c r="A263" s="946" t="s">
        <v>304</v>
      </c>
      <c r="B263" s="946"/>
      <c r="C263" s="132"/>
      <c r="D263" s="265"/>
      <c r="E263" s="268" t="s">
        <v>391</v>
      </c>
      <c r="F263" s="268" t="s">
        <v>391</v>
      </c>
      <c r="G263" s="268" t="s">
        <v>391</v>
      </c>
      <c r="H263" s="268" t="s">
        <v>391</v>
      </c>
      <c r="I263" s="368">
        <f>SUM(I262)</f>
        <v>4457.7</v>
      </c>
      <c r="J263" s="368">
        <f t="shared" ref="J263:R263" si="44">SUM(J262)</f>
        <v>3118.3</v>
      </c>
      <c r="K263" s="368">
        <f t="shared" si="44"/>
        <v>128</v>
      </c>
      <c r="L263" s="368">
        <f t="shared" si="44"/>
        <v>2757884.8</v>
      </c>
      <c r="M263" s="368">
        <f t="shared" si="44"/>
        <v>0</v>
      </c>
      <c r="N263" s="368">
        <f t="shared" si="44"/>
        <v>0</v>
      </c>
      <c r="O263" s="368">
        <f t="shared" si="44"/>
        <v>0</v>
      </c>
      <c r="P263" s="368">
        <f t="shared" si="44"/>
        <v>2757884.8</v>
      </c>
      <c r="Q263" s="368">
        <f t="shared" si="44"/>
        <v>0</v>
      </c>
      <c r="R263" s="368">
        <f t="shared" si="44"/>
        <v>0</v>
      </c>
      <c r="S263" s="267"/>
      <c r="T263" s="266"/>
      <c r="U263" s="127"/>
      <c r="V263" s="296"/>
    </row>
    <row r="264" spans="1:22" ht="9" customHeight="1">
      <c r="A264" s="828" t="s">
        <v>330</v>
      </c>
      <c r="B264" s="828"/>
      <c r="C264" s="828"/>
      <c r="D264" s="828"/>
      <c r="E264" s="828"/>
      <c r="F264" s="828"/>
      <c r="G264" s="828"/>
      <c r="H264" s="828"/>
      <c r="I264" s="828"/>
      <c r="J264" s="828"/>
      <c r="K264" s="828"/>
      <c r="L264" s="828"/>
      <c r="M264" s="828"/>
      <c r="N264" s="828"/>
      <c r="O264" s="828"/>
      <c r="P264" s="828"/>
      <c r="Q264" s="828"/>
      <c r="R264" s="828"/>
      <c r="S264" s="828"/>
      <c r="T264" s="327"/>
      <c r="U264" s="327"/>
      <c r="V264" s="296"/>
    </row>
    <row r="265" spans="1:22" ht="9" customHeight="1">
      <c r="A265" s="178">
        <v>216</v>
      </c>
      <c r="B265" s="265" t="s">
        <v>889</v>
      </c>
      <c r="C265" s="132" t="s">
        <v>1155</v>
      </c>
      <c r="D265" s="207" t="s">
        <v>1154</v>
      </c>
      <c r="E265" s="268" t="s">
        <v>608</v>
      </c>
      <c r="F265" s="268" t="s">
        <v>90</v>
      </c>
      <c r="G265" s="130">
        <v>5</v>
      </c>
      <c r="H265" s="130">
        <v>6</v>
      </c>
      <c r="I265" s="267">
        <v>6186.67</v>
      </c>
      <c r="J265" s="267">
        <f>4576.57+103.1</f>
        <v>4679.67</v>
      </c>
      <c r="K265" s="130">
        <v>157</v>
      </c>
      <c r="L265" s="205">
        <f>'Приложение 2 КСП 2018-2019 гг'!H266</f>
        <v>3904114</v>
      </c>
      <c r="M265" s="368">
        <v>0</v>
      </c>
      <c r="N265" s="368">
        <v>0</v>
      </c>
      <c r="O265" s="368">
        <v>0</v>
      </c>
      <c r="P265" s="368">
        <f t="shared" ref="P265:P268" si="45">L265</f>
        <v>3904114</v>
      </c>
      <c r="Q265" s="267">
        <v>0</v>
      </c>
      <c r="R265" s="267">
        <v>0</v>
      </c>
      <c r="S265" s="132" t="s">
        <v>589</v>
      </c>
      <c r="T265" s="126"/>
      <c r="U265" s="127"/>
      <c r="V265" s="296"/>
    </row>
    <row r="266" spans="1:22" ht="9" customHeight="1">
      <c r="A266" s="178">
        <v>217</v>
      </c>
      <c r="B266" s="265" t="s">
        <v>890</v>
      </c>
      <c r="C266" s="132" t="s">
        <v>1155</v>
      </c>
      <c r="D266" s="207" t="s">
        <v>1154</v>
      </c>
      <c r="E266" s="268" t="s">
        <v>604</v>
      </c>
      <c r="F266" s="268" t="s">
        <v>90</v>
      </c>
      <c r="G266" s="130">
        <v>5</v>
      </c>
      <c r="H266" s="130">
        <v>6</v>
      </c>
      <c r="I266" s="267">
        <v>5148.3</v>
      </c>
      <c r="J266" s="267">
        <v>3784</v>
      </c>
      <c r="K266" s="130">
        <v>130</v>
      </c>
      <c r="L266" s="205">
        <f>'Приложение 2 КСП 2018-2019 гг'!H267</f>
        <v>3273988</v>
      </c>
      <c r="M266" s="368">
        <v>0</v>
      </c>
      <c r="N266" s="368">
        <v>0</v>
      </c>
      <c r="O266" s="368">
        <v>0</v>
      </c>
      <c r="P266" s="368">
        <f t="shared" si="45"/>
        <v>3273988</v>
      </c>
      <c r="Q266" s="267">
        <v>0</v>
      </c>
      <c r="R266" s="267">
        <v>0</v>
      </c>
      <c r="S266" s="132" t="s">
        <v>589</v>
      </c>
      <c r="T266" s="126"/>
      <c r="U266" s="127"/>
      <c r="V266" s="296"/>
    </row>
    <row r="267" spans="1:22" ht="9" customHeight="1">
      <c r="A267" s="178">
        <v>218</v>
      </c>
      <c r="B267" s="265" t="s">
        <v>891</v>
      </c>
      <c r="C267" s="132" t="s">
        <v>1155</v>
      </c>
      <c r="D267" s="207" t="s">
        <v>1154</v>
      </c>
      <c r="E267" s="268" t="s">
        <v>608</v>
      </c>
      <c r="F267" s="268" t="s">
        <v>88</v>
      </c>
      <c r="G267" s="130">
        <v>5</v>
      </c>
      <c r="H267" s="130">
        <v>6</v>
      </c>
      <c r="I267" s="267">
        <v>5872.8</v>
      </c>
      <c r="J267" s="267">
        <v>4220.7</v>
      </c>
      <c r="K267" s="130">
        <v>164</v>
      </c>
      <c r="L267" s="205">
        <f>'Приложение 2 КСП 2018-2019 гг'!H268</f>
        <v>3974128</v>
      </c>
      <c r="M267" s="368">
        <v>0</v>
      </c>
      <c r="N267" s="368">
        <v>0</v>
      </c>
      <c r="O267" s="368">
        <v>0</v>
      </c>
      <c r="P267" s="368">
        <f t="shared" si="45"/>
        <v>3974128</v>
      </c>
      <c r="Q267" s="267">
        <v>0</v>
      </c>
      <c r="R267" s="267">
        <v>0</v>
      </c>
      <c r="S267" s="132" t="s">
        <v>589</v>
      </c>
      <c r="T267" s="126"/>
      <c r="U267" s="127"/>
      <c r="V267" s="296"/>
    </row>
    <row r="268" spans="1:22" ht="9" customHeight="1">
      <c r="A268" s="178">
        <v>219</v>
      </c>
      <c r="B268" s="265" t="s">
        <v>892</v>
      </c>
      <c r="C268" s="132" t="s">
        <v>1155</v>
      </c>
      <c r="D268" s="207" t="s">
        <v>1154</v>
      </c>
      <c r="E268" s="268" t="s">
        <v>614</v>
      </c>
      <c r="F268" s="268" t="s">
        <v>90</v>
      </c>
      <c r="G268" s="130">
        <v>5</v>
      </c>
      <c r="H268" s="130">
        <v>6</v>
      </c>
      <c r="I268" s="267">
        <v>6151.62</v>
      </c>
      <c r="J268" s="267">
        <f>4334.82+202.9</f>
        <v>4537.7199999999993</v>
      </c>
      <c r="K268" s="130">
        <v>151</v>
      </c>
      <c r="L268" s="205">
        <f>'Приложение 2 КСП 2018-2019 гг'!H269</f>
        <v>3767420</v>
      </c>
      <c r="M268" s="368">
        <v>0</v>
      </c>
      <c r="N268" s="368">
        <v>0</v>
      </c>
      <c r="O268" s="368">
        <v>0</v>
      </c>
      <c r="P268" s="368">
        <f t="shared" si="45"/>
        <v>3767420</v>
      </c>
      <c r="Q268" s="267">
        <v>0</v>
      </c>
      <c r="R268" s="267">
        <v>0</v>
      </c>
      <c r="S268" s="132" t="s">
        <v>589</v>
      </c>
      <c r="T268" s="126"/>
      <c r="U268" s="127"/>
      <c r="V268" s="296"/>
    </row>
    <row r="269" spans="1:22" ht="23.25" customHeight="1">
      <c r="A269" s="951" t="s">
        <v>331</v>
      </c>
      <c r="B269" s="951"/>
      <c r="C269" s="182"/>
      <c r="D269" s="178"/>
      <c r="E269" s="268" t="s">
        <v>391</v>
      </c>
      <c r="F269" s="268" t="s">
        <v>391</v>
      </c>
      <c r="G269" s="268" t="s">
        <v>391</v>
      </c>
      <c r="H269" s="268" t="s">
        <v>391</v>
      </c>
      <c r="I269" s="368">
        <f>SUM(I265:I268)</f>
        <v>23359.39</v>
      </c>
      <c r="J269" s="368">
        <f t="shared" ref="J269:R269" si="46">SUM(J265:J268)</f>
        <v>17222.089999999997</v>
      </c>
      <c r="K269" s="368">
        <f t="shared" si="46"/>
        <v>602</v>
      </c>
      <c r="L269" s="368">
        <f t="shared" si="46"/>
        <v>14919650</v>
      </c>
      <c r="M269" s="368">
        <f t="shared" si="46"/>
        <v>0</v>
      </c>
      <c r="N269" s="368">
        <f t="shared" si="46"/>
        <v>0</v>
      </c>
      <c r="O269" s="368">
        <f t="shared" si="46"/>
        <v>0</v>
      </c>
      <c r="P269" s="368">
        <f t="shared" si="46"/>
        <v>14919650</v>
      </c>
      <c r="Q269" s="368">
        <f t="shared" si="46"/>
        <v>0</v>
      </c>
      <c r="R269" s="368">
        <f t="shared" si="46"/>
        <v>0</v>
      </c>
      <c r="S269" s="267"/>
      <c r="T269" s="300"/>
      <c r="U269" s="301"/>
      <c r="V269" s="296"/>
    </row>
    <row r="270" spans="1:22" ht="9" customHeight="1">
      <c r="A270" s="821" t="s">
        <v>902</v>
      </c>
      <c r="B270" s="821"/>
      <c r="C270" s="821"/>
      <c r="D270" s="821"/>
      <c r="E270" s="821"/>
      <c r="F270" s="821"/>
      <c r="G270" s="821"/>
      <c r="H270" s="821"/>
      <c r="I270" s="821"/>
      <c r="J270" s="821"/>
      <c r="K270" s="821"/>
      <c r="L270" s="821"/>
      <c r="M270" s="821"/>
      <c r="N270" s="821"/>
      <c r="O270" s="821"/>
      <c r="P270" s="821"/>
      <c r="Q270" s="821"/>
      <c r="R270" s="821"/>
      <c r="S270" s="821"/>
      <c r="T270" s="297"/>
      <c r="U270" s="297"/>
      <c r="V270" s="296"/>
    </row>
    <row r="271" spans="1:22" ht="9" customHeight="1">
      <c r="A271" s="178">
        <v>220</v>
      </c>
      <c r="B271" s="265" t="s">
        <v>903</v>
      </c>
      <c r="C271" s="132" t="s">
        <v>1155</v>
      </c>
      <c r="D271" s="207" t="s">
        <v>1154</v>
      </c>
      <c r="E271" s="268" t="s">
        <v>614</v>
      </c>
      <c r="F271" s="268" t="s">
        <v>88</v>
      </c>
      <c r="G271" s="130">
        <v>2</v>
      </c>
      <c r="H271" s="130">
        <v>2</v>
      </c>
      <c r="I271" s="267">
        <v>535.29999999999995</v>
      </c>
      <c r="J271" s="267">
        <v>447.6</v>
      </c>
      <c r="K271" s="130">
        <v>12</v>
      </c>
      <c r="L271" s="205">
        <f>'Приложение 2 КСП 2018-2019 гг'!H272</f>
        <v>986370</v>
      </c>
      <c r="M271" s="368">
        <v>0</v>
      </c>
      <c r="N271" s="368">
        <v>0</v>
      </c>
      <c r="O271" s="368">
        <v>0</v>
      </c>
      <c r="P271" s="368">
        <f t="shared" ref="P271" si="47">L271</f>
        <v>986370</v>
      </c>
      <c r="Q271" s="267">
        <v>0</v>
      </c>
      <c r="R271" s="267">
        <v>0</v>
      </c>
      <c r="S271" s="132" t="s">
        <v>589</v>
      </c>
      <c r="T271" s="126"/>
      <c r="U271" s="127"/>
      <c r="V271" s="296"/>
    </row>
    <row r="272" spans="1:22" ht="35.25" customHeight="1">
      <c r="A272" s="951" t="s">
        <v>904</v>
      </c>
      <c r="B272" s="951"/>
      <c r="C272" s="182"/>
      <c r="D272" s="178"/>
      <c r="E272" s="268" t="s">
        <v>391</v>
      </c>
      <c r="F272" s="268" t="s">
        <v>391</v>
      </c>
      <c r="G272" s="268" t="s">
        <v>391</v>
      </c>
      <c r="H272" s="268" t="s">
        <v>391</v>
      </c>
      <c r="I272" s="368">
        <f>SUM(I271)</f>
        <v>535.29999999999995</v>
      </c>
      <c r="J272" s="368">
        <f t="shared" ref="J272:R272" si="48">SUM(J271)</f>
        <v>447.6</v>
      </c>
      <c r="K272" s="368">
        <f t="shared" si="48"/>
        <v>12</v>
      </c>
      <c r="L272" s="368">
        <f t="shared" si="48"/>
        <v>986370</v>
      </c>
      <c r="M272" s="368">
        <f t="shared" si="48"/>
        <v>0</v>
      </c>
      <c r="N272" s="368">
        <f t="shared" si="48"/>
        <v>0</v>
      </c>
      <c r="O272" s="368">
        <f t="shared" si="48"/>
        <v>0</v>
      </c>
      <c r="P272" s="368">
        <f t="shared" si="48"/>
        <v>986370</v>
      </c>
      <c r="Q272" s="368">
        <f t="shared" si="48"/>
        <v>0</v>
      </c>
      <c r="R272" s="368">
        <f t="shared" si="48"/>
        <v>0</v>
      </c>
      <c r="S272" s="267"/>
      <c r="T272" s="300"/>
      <c r="U272" s="301"/>
      <c r="V272" s="296"/>
    </row>
    <row r="273" spans="1:22" ht="9" customHeight="1">
      <c r="A273" s="821" t="s">
        <v>427</v>
      </c>
      <c r="B273" s="821"/>
      <c r="C273" s="821"/>
      <c r="D273" s="821"/>
      <c r="E273" s="821"/>
      <c r="F273" s="821"/>
      <c r="G273" s="821"/>
      <c r="H273" s="821"/>
      <c r="I273" s="821"/>
      <c r="J273" s="821"/>
      <c r="K273" s="821"/>
      <c r="L273" s="821"/>
      <c r="M273" s="821"/>
      <c r="N273" s="821"/>
      <c r="O273" s="821"/>
      <c r="P273" s="821"/>
      <c r="Q273" s="821"/>
      <c r="R273" s="821"/>
      <c r="S273" s="821"/>
      <c r="T273" s="297"/>
      <c r="U273" s="297"/>
      <c r="V273" s="296"/>
    </row>
    <row r="274" spans="1:22" ht="9" customHeight="1">
      <c r="A274" s="268">
        <v>221</v>
      </c>
      <c r="B274" s="156" t="s">
        <v>906</v>
      </c>
      <c r="C274" s="132" t="s">
        <v>1155</v>
      </c>
      <c r="D274" s="207" t="s">
        <v>1154</v>
      </c>
      <c r="E274" s="268" t="s">
        <v>748</v>
      </c>
      <c r="F274" s="268" t="s">
        <v>88</v>
      </c>
      <c r="G274" s="130">
        <v>2</v>
      </c>
      <c r="H274" s="130">
        <v>2</v>
      </c>
      <c r="I274" s="267">
        <v>846.5</v>
      </c>
      <c r="J274" s="267">
        <v>557.29999999999995</v>
      </c>
      <c r="K274" s="130">
        <v>14</v>
      </c>
      <c r="L274" s="205">
        <f>'Приложение 2 КСП 2018-2019 гг'!H275</f>
        <v>1811040</v>
      </c>
      <c r="M274" s="368">
        <v>0</v>
      </c>
      <c r="N274" s="368">
        <v>0</v>
      </c>
      <c r="O274" s="368">
        <v>0</v>
      </c>
      <c r="P274" s="368">
        <f t="shared" ref="P274" si="49">L274</f>
        <v>1811040</v>
      </c>
      <c r="Q274" s="267">
        <v>0</v>
      </c>
      <c r="R274" s="267">
        <v>0</v>
      </c>
      <c r="S274" s="132" t="s">
        <v>589</v>
      </c>
      <c r="T274" s="126"/>
      <c r="U274" s="127"/>
      <c r="V274" s="296"/>
    </row>
    <row r="275" spans="1:22" ht="9" customHeight="1">
      <c r="A275" s="268">
        <v>222</v>
      </c>
      <c r="B275" s="156" t="s">
        <v>907</v>
      </c>
      <c r="C275" s="132" t="s">
        <v>1155</v>
      </c>
      <c r="D275" s="207" t="s">
        <v>1154</v>
      </c>
      <c r="E275" s="268" t="s">
        <v>613</v>
      </c>
      <c r="F275" s="268" t="s">
        <v>88</v>
      </c>
      <c r="G275" s="130">
        <v>2</v>
      </c>
      <c r="H275" s="130">
        <v>1</v>
      </c>
      <c r="I275" s="267">
        <v>329.8</v>
      </c>
      <c r="J275" s="267">
        <v>301.8</v>
      </c>
      <c r="K275" s="130">
        <v>309</v>
      </c>
      <c r="L275" s="205">
        <f>'Приложение 2 КСП 2018-2019 гг'!H276</f>
        <v>970200</v>
      </c>
      <c r="M275" s="368">
        <v>0</v>
      </c>
      <c r="N275" s="368">
        <v>0</v>
      </c>
      <c r="O275" s="368">
        <v>0</v>
      </c>
      <c r="P275" s="368">
        <f t="shared" ref="P275:P279" si="50">L275</f>
        <v>970200</v>
      </c>
      <c r="Q275" s="267">
        <v>0</v>
      </c>
      <c r="R275" s="267">
        <v>0</v>
      </c>
      <c r="S275" s="132" t="s">
        <v>589</v>
      </c>
      <c r="T275" s="126"/>
      <c r="U275" s="127"/>
      <c r="V275" s="296"/>
    </row>
    <row r="276" spans="1:22" ht="9" customHeight="1">
      <c r="A276" s="366">
        <v>223</v>
      </c>
      <c r="B276" s="156" t="s">
        <v>908</v>
      </c>
      <c r="C276" s="132" t="s">
        <v>1155</v>
      </c>
      <c r="D276" s="207" t="s">
        <v>1154</v>
      </c>
      <c r="E276" s="268" t="s">
        <v>613</v>
      </c>
      <c r="F276" s="268" t="s">
        <v>88</v>
      </c>
      <c r="G276" s="130">
        <v>2</v>
      </c>
      <c r="H276" s="130">
        <v>2</v>
      </c>
      <c r="I276" s="267">
        <v>512.70000000000005</v>
      </c>
      <c r="J276" s="267">
        <v>473.3</v>
      </c>
      <c r="K276" s="130">
        <v>21</v>
      </c>
      <c r="L276" s="205">
        <f>'Приложение 2 КСП 2018-2019 гг'!H277</f>
        <v>1688148</v>
      </c>
      <c r="M276" s="368">
        <v>0</v>
      </c>
      <c r="N276" s="368">
        <v>0</v>
      </c>
      <c r="O276" s="368">
        <v>0</v>
      </c>
      <c r="P276" s="368">
        <f t="shared" si="50"/>
        <v>1688148</v>
      </c>
      <c r="Q276" s="267">
        <v>0</v>
      </c>
      <c r="R276" s="267">
        <v>0</v>
      </c>
      <c r="S276" s="132" t="s">
        <v>589</v>
      </c>
      <c r="T276" s="126"/>
      <c r="U276" s="127"/>
      <c r="V276" s="296"/>
    </row>
    <row r="277" spans="1:22" ht="9" customHeight="1">
      <c r="A277" s="366">
        <v>224</v>
      </c>
      <c r="B277" s="156" t="s">
        <v>909</v>
      </c>
      <c r="C277" s="132" t="s">
        <v>1155</v>
      </c>
      <c r="D277" s="207" t="s">
        <v>1154</v>
      </c>
      <c r="E277" s="268" t="s">
        <v>748</v>
      </c>
      <c r="F277" s="268" t="s">
        <v>88</v>
      </c>
      <c r="G277" s="130">
        <v>2</v>
      </c>
      <c r="H277" s="130">
        <v>2</v>
      </c>
      <c r="I277" s="267">
        <v>892.8</v>
      </c>
      <c r="J277" s="267">
        <v>638.6</v>
      </c>
      <c r="K277" s="130">
        <v>20</v>
      </c>
      <c r="L277" s="205">
        <f>'Приложение 2 КСП 2018-2019 гг'!H278</f>
        <v>1519980</v>
      </c>
      <c r="M277" s="368">
        <v>0</v>
      </c>
      <c r="N277" s="368">
        <v>0</v>
      </c>
      <c r="O277" s="368">
        <v>0</v>
      </c>
      <c r="P277" s="368">
        <f t="shared" si="50"/>
        <v>1519980</v>
      </c>
      <c r="Q277" s="267">
        <v>0</v>
      </c>
      <c r="R277" s="267">
        <v>0</v>
      </c>
      <c r="S277" s="132" t="s">
        <v>589</v>
      </c>
      <c r="T277" s="126"/>
      <c r="U277" s="127"/>
      <c r="V277" s="296"/>
    </row>
    <row r="278" spans="1:22" ht="9" customHeight="1">
      <c r="A278" s="366">
        <v>225</v>
      </c>
      <c r="B278" s="156" t="s">
        <v>910</v>
      </c>
      <c r="C278" s="132" t="s">
        <v>1155</v>
      </c>
      <c r="D278" s="207" t="s">
        <v>1154</v>
      </c>
      <c r="E278" s="268" t="s">
        <v>603</v>
      </c>
      <c r="F278" s="268" t="s">
        <v>88</v>
      </c>
      <c r="G278" s="130">
        <v>2</v>
      </c>
      <c r="H278" s="130">
        <v>1</v>
      </c>
      <c r="I278" s="267">
        <v>286.14</v>
      </c>
      <c r="J278" s="267">
        <v>263.39999999999998</v>
      </c>
      <c r="K278" s="130">
        <v>10</v>
      </c>
      <c r="L278" s="205">
        <f>'Приложение 2 КСП 2018-2019 гг'!H279</f>
        <v>941094</v>
      </c>
      <c r="M278" s="368">
        <v>0</v>
      </c>
      <c r="N278" s="368">
        <v>0</v>
      </c>
      <c r="O278" s="368">
        <v>0</v>
      </c>
      <c r="P278" s="368">
        <f t="shared" si="50"/>
        <v>941094</v>
      </c>
      <c r="Q278" s="267">
        <v>0</v>
      </c>
      <c r="R278" s="267">
        <v>0</v>
      </c>
      <c r="S278" s="132" t="s">
        <v>589</v>
      </c>
      <c r="T278" s="126"/>
      <c r="U278" s="127"/>
      <c r="V278" s="296"/>
    </row>
    <row r="279" spans="1:22" ht="9" customHeight="1">
      <c r="A279" s="366">
        <v>226</v>
      </c>
      <c r="B279" s="156" t="s">
        <v>911</v>
      </c>
      <c r="C279" s="132" t="s">
        <v>1155</v>
      </c>
      <c r="D279" s="207" t="s">
        <v>1154</v>
      </c>
      <c r="E279" s="268" t="s">
        <v>595</v>
      </c>
      <c r="F279" s="268" t="s">
        <v>88</v>
      </c>
      <c r="G279" s="130">
        <v>2</v>
      </c>
      <c r="H279" s="130">
        <v>2</v>
      </c>
      <c r="I279" s="267">
        <v>420.5</v>
      </c>
      <c r="J279" s="267">
        <v>382.9</v>
      </c>
      <c r="K279" s="130">
        <v>15</v>
      </c>
      <c r="L279" s="205">
        <f>'Приложение 2 КСП 2018-2019 гг'!H280</f>
        <v>1178663.6399999999</v>
      </c>
      <c r="M279" s="368">
        <v>0</v>
      </c>
      <c r="N279" s="368">
        <v>0</v>
      </c>
      <c r="O279" s="368">
        <v>0</v>
      </c>
      <c r="P279" s="368">
        <f t="shared" si="50"/>
        <v>1178663.6399999999</v>
      </c>
      <c r="Q279" s="267">
        <v>0</v>
      </c>
      <c r="R279" s="267">
        <v>0</v>
      </c>
      <c r="S279" s="132" t="s">
        <v>589</v>
      </c>
      <c r="T279" s="126"/>
      <c r="U279" s="127"/>
      <c r="V279" s="296"/>
    </row>
    <row r="280" spans="1:22" ht="24" customHeight="1">
      <c r="A280" s="946" t="s">
        <v>428</v>
      </c>
      <c r="B280" s="946"/>
      <c r="C280" s="132"/>
      <c r="D280" s="265"/>
      <c r="E280" s="141" t="s">
        <v>391</v>
      </c>
      <c r="F280" s="141" t="s">
        <v>391</v>
      </c>
      <c r="G280" s="141" t="s">
        <v>391</v>
      </c>
      <c r="H280" s="141" t="s">
        <v>391</v>
      </c>
      <c r="I280" s="362">
        <f>SUM(I274:I279)</f>
        <v>3288.44</v>
      </c>
      <c r="J280" s="362">
        <f t="shared" ref="J280:R280" si="51">SUM(J274:J279)</f>
        <v>2617.3000000000002</v>
      </c>
      <c r="K280" s="362">
        <f t="shared" si="51"/>
        <v>389</v>
      </c>
      <c r="L280" s="362">
        <f t="shared" si="51"/>
        <v>8109125.6399999997</v>
      </c>
      <c r="M280" s="362">
        <f t="shared" si="51"/>
        <v>0</v>
      </c>
      <c r="N280" s="362">
        <f t="shared" si="51"/>
        <v>0</v>
      </c>
      <c r="O280" s="362">
        <f t="shared" si="51"/>
        <v>0</v>
      </c>
      <c r="P280" s="362">
        <f t="shared" si="51"/>
        <v>8109125.6399999997</v>
      </c>
      <c r="Q280" s="362">
        <f t="shared" si="51"/>
        <v>0</v>
      </c>
      <c r="R280" s="362">
        <f t="shared" si="51"/>
        <v>0</v>
      </c>
      <c r="S280" s="267"/>
      <c r="T280" s="266"/>
      <c r="U280" s="127"/>
      <c r="V280" s="296"/>
    </row>
    <row r="281" spans="1:22" ht="9" customHeight="1">
      <c r="A281" s="821" t="s">
        <v>1082</v>
      </c>
      <c r="B281" s="821"/>
      <c r="C281" s="821"/>
      <c r="D281" s="821"/>
      <c r="E281" s="821"/>
      <c r="F281" s="821"/>
      <c r="G281" s="821"/>
      <c r="H281" s="821"/>
      <c r="I281" s="821"/>
      <c r="J281" s="821"/>
      <c r="K281" s="821"/>
      <c r="L281" s="821"/>
      <c r="M281" s="821"/>
      <c r="N281" s="821"/>
      <c r="O281" s="821"/>
      <c r="P281" s="821"/>
      <c r="Q281" s="821"/>
      <c r="R281" s="821"/>
      <c r="S281" s="821"/>
      <c r="T281" s="297"/>
      <c r="U281" s="297"/>
      <c r="V281" s="296"/>
    </row>
    <row r="282" spans="1:22" ht="9" customHeight="1">
      <c r="A282" s="268">
        <v>227</v>
      </c>
      <c r="B282" s="156" t="s">
        <v>918</v>
      </c>
      <c r="C282" s="132" t="s">
        <v>1155</v>
      </c>
      <c r="D282" s="207" t="s">
        <v>1154</v>
      </c>
      <c r="E282" s="268" t="s">
        <v>616</v>
      </c>
      <c r="F282" s="268" t="s">
        <v>88</v>
      </c>
      <c r="G282" s="130">
        <v>2</v>
      </c>
      <c r="H282" s="130">
        <v>3</v>
      </c>
      <c r="I282" s="267">
        <v>998.9</v>
      </c>
      <c r="J282" s="267">
        <v>909.2</v>
      </c>
      <c r="K282" s="130">
        <v>34</v>
      </c>
      <c r="L282" s="205">
        <f>'Приложение 2 КСП 2018-2019 гг'!H283</f>
        <v>2734282.32</v>
      </c>
      <c r="M282" s="368">
        <v>0</v>
      </c>
      <c r="N282" s="368">
        <v>0</v>
      </c>
      <c r="O282" s="368">
        <v>0</v>
      </c>
      <c r="P282" s="368">
        <f t="shared" ref="P282:P284" si="52">L282</f>
        <v>2734282.32</v>
      </c>
      <c r="Q282" s="267">
        <v>0</v>
      </c>
      <c r="R282" s="267">
        <v>0</v>
      </c>
      <c r="S282" s="132" t="s">
        <v>589</v>
      </c>
      <c r="T282" s="126"/>
      <c r="U282" s="127"/>
      <c r="V282" s="296"/>
    </row>
    <row r="283" spans="1:22" ht="9" customHeight="1">
      <c r="A283" s="268">
        <v>228</v>
      </c>
      <c r="B283" s="156" t="s">
        <v>919</v>
      </c>
      <c r="C283" s="132" t="s">
        <v>1155</v>
      </c>
      <c r="D283" s="207" t="s">
        <v>1154</v>
      </c>
      <c r="E283" s="268" t="s">
        <v>606</v>
      </c>
      <c r="F283" s="268" t="s">
        <v>88</v>
      </c>
      <c r="G283" s="130">
        <v>2</v>
      </c>
      <c r="H283" s="130">
        <v>2</v>
      </c>
      <c r="I283" s="267">
        <v>529.70000000000005</v>
      </c>
      <c r="J283" s="267">
        <f>444.5+117.9</f>
        <v>562.4</v>
      </c>
      <c r="K283" s="130">
        <v>25</v>
      </c>
      <c r="L283" s="205">
        <f>'Приложение 2 КСП 2018-2019 гг'!H284</f>
        <v>1488771.9</v>
      </c>
      <c r="M283" s="368">
        <v>0</v>
      </c>
      <c r="N283" s="368">
        <v>0</v>
      </c>
      <c r="O283" s="368">
        <v>0</v>
      </c>
      <c r="P283" s="368">
        <f t="shared" si="52"/>
        <v>1488771.9</v>
      </c>
      <c r="Q283" s="267">
        <v>0</v>
      </c>
      <c r="R283" s="267">
        <v>0</v>
      </c>
      <c r="S283" s="132" t="s">
        <v>589</v>
      </c>
      <c r="T283" s="126"/>
      <c r="U283" s="127"/>
      <c r="V283" s="296"/>
    </row>
    <row r="284" spans="1:22" ht="9" customHeight="1">
      <c r="A284" s="268">
        <v>229</v>
      </c>
      <c r="B284" s="156" t="s">
        <v>920</v>
      </c>
      <c r="C284" s="132" t="s">
        <v>1155</v>
      </c>
      <c r="D284" s="207" t="s">
        <v>1154</v>
      </c>
      <c r="E284" s="268" t="s">
        <v>606</v>
      </c>
      <c r="F284" s="268" t="s">
        <v>88</v>
      </c>
      <c r="G284" s="130">
        <v>2</v>
      </c>
      <c r="H284" s="130">
        <v>2</v>
      </c>
      <c r="I284" s="267">
        <v>669.1</v>
      </c>
      <c r="J284" s="267">
        <v>626.20000000000005</v>
      </c>
      <c r="K284" s="130">
        <v>28</v>
      </c>
      <c r="L284" s="205">
        <f>'Приложение 2 КСП 2018-2019 гг'!H285</f>
        <v>1910905.92</v>
      </c>
      <c r="M284" s="368">
        <v>0</v>
      </c>
      <c r="N284" s="368">
        <v>0</v>
      </c>
      <c r="O284" s="368">
        <v>0</v>
      </c>
      <c r="P284" s="368">
        <f t="shared" si="52"/>
        <v>1910905.92</v>
      </c>
      <c r="Q284" s="267">
        <v>0</v>
      </c>
      <c r="R284" s="267">
        <v>0</v>
      </c>
      <c r="S284" s="132" t="s">
        <v>589</v>
      </c>
      <c r="T284" s="126"/>
      <c r="U284" s="127"/>
      <c r="V284" s="296"/>
    </row>
    <row r="285" spans="1:22" ht="35.25" customHeight="1">
      <c r="A285" s="946" t="s">
        <v>1004</v>
      </c>
      <c r="B285" s="946"/>
      <c r="C285" s="132"/>
      <c r="D285" s="265"/>
      <c r="E285" s="141" t="s">
        <v>391</v>
      </c>
      <c r="F285" s="141" t="s">
        <v>391</v>
      </c>
      <c r="G285" s="141" t="s">
        <v>391</v>
      </c>
      <c r="H285" s="141" t="s">
        <v>391</v>
      </c>
      <c r="I285" s="362">
        <f>SUM(I282:I284)</f>
        <v>2197.6999999999998</v>
      </c>
      <c r="J285" s="362">
        <f t="shared" ref="J285:R285" si="53">SUM(J282:J284)</f>
        <v>2097.8000000000002</v>
      </c>
      <c r="K285" s="362">
        <f t="shared" si="53"/>
        <v>87</v>
      </c>
      <c r="L285" s="362">
        <f t="shared" si="53"/>
        <v>6133960.1399999997</v>
      </c>
      <c r="M285" s="362">
        <f t="shared" si="53"/>
        <v>0</v>
      </c>
      <c r="N285" s="362">
        <f t="shared" si="53"/>
        <v>0</v>
      </c>
      <c r="O285" s="362">
        <f t="shared" si="53"/>
        <v>0</v>
      </c>
      <c r="P285" s="362">
        <f t="shared" si="53"/>
        <v>6133960.1399999997</v>
      </c>
      <c r="Q285" s="362">
        <f t="shared" si="53"/>
        <v>0</v>
      </c>
      <c r="R285" s="362">
        <f t="shared" si="53"/>
        <v>0</v>
      </c>
      <c r="S285" s="267"/>
      <c r="T285" s="266"/>
      <c r="U285" s="127"/>
      <c r="V285" s="296"/>
    </row>
    <row r="286" spans="1:22" ht="9" customHeight="1">
      <c r="A286" s="821" t="s">
        <v>425</v>
      </c>
      <c r="B286" s="821"/>
      <c r="C286" s="821"/>
      <c r="D286" s="821"/>
      <c r="E286" s="821"/>
      <c r="F286" s="821"/>
      <c r="G286" s="821"/>
      <c r="H286" s="821"/>
      <c r="I286" s="821"/>
      <c r="J286" s="821"/>
      <c r="K286" s="821"/>
      <c r="L286" s="821"/>
      <c r="M286" s="821"/>
      <c r="N286" s="821"/>
      <c r="O286" s="821"/>
      <c r="P286" s="821"/>
      <c r="Q286" s="821"/>
      <c r="R286" s="821"/>
      <c r="S286" s="821"/>
      <c r="T286" s="297"/>
      <c r="U286" s="297"/>
      <c r="V286" s="296"/>
    </row>
    <row r="287" spans="1:22" ht="9" customHeight="1">
      <c r="A287" s="268">
        <v>230</v>
      </c>
      <c r="B287" s="156" t="s">
        <v>923</v>
      </c>
      <c r="C287" s="132" t="s">
        <v>1155</v>
      </c>
      <c r="D287" s="207" t="s">
        <v>1154</v>
      </c>
      <c r="E287" s="268" t="s">
        <v>598</v>
      </c>
      <c r="F287" s="268" t="s">
        <v>88</v>
      </c>
      <c r="G287" s="130">
        <v>2</v>
      </c>
      <c r="H287" s="130">
        <v>1</v>
      </c>
      <c r="I287" s="267">
        <v>390</v>
      </c>
      <c r="J287" s="267">
        <v>365</v>
      </c>
      <c r="K287" s="130">
        <v>12</v>
      </c>
      <c r="L287" s="205">
        <f>'Приложение 2 КСП 2018-2019 гг'!H288</f>
        <v>1300068</v>
      </c>
      <c r="M287" s="368">
        <v>0</v>
      </c>
      <c r="N287" s="368">
        <v>0</v>
      </c>
      <c r="O287" s="368">
        <v>0</v>
      </c>
      <c r="P287" s="368">
        <f t="shared" ref="P287" si="54">L287</f>
        <v>1300068</v>
      </c>
      <c r="Q287" s="267">
        <v>0</v>
      </c>
      <c r="R287" s="267">
        <v>0</v>
      </c>
      <c r="S287" s="132" t="s">
        <v>589</v>
      </c>
      <c r="T287" s="126"/>
      <c r="U287" s="127"/>
      <c r="V287" s="296"/>
    </row>
    <row r="288" spans="1:22" ht="30.75" customHeight="1">
      <c r="A288" s="946" t="s">
        <v>424</v>
      </c>
      <c r="B288" s="946"/>
      <c r="C288" s="132"/>
      <c r="D288" s="265"/>
      <c r="E288" s="141" t="s">
        <v>391</v>
      </c>
      <c r="F288" s="141" t="s">
        <v>391</v>
      </c>
      <c r="G288" s="141" t="s">
        <v>391</v>
      </c>
      <c r="H288" s="141" t="s">
        <v>391</v>
      </c>
      <c r="I288" s="362">
        <f>SUM(I287)</f>
        <v>390</v>
      </c>
      <c r="J288" s="362">
        <f t="shared" ref="J288:R288" si="55">SUM(J287)</f>
        <v>365</v>
      </c>
      <c r="K288" s="362">
        <f t="shared" si="55"/>
        <v>12</v>
      </c>
      <c r="L288" s="362">
        <f t="shared" si="55"/>
        <v>1300068</v>
      </c>
      <c r="M288" s="362">
        <f t="shared" si="55"/>
        <v>0</v>
      </c>
      <c r="N288" s="362">
        <f t="shared" si="55"/>
        <v>0</v>
      </c>
      <c r="O288" s="362">
        <f t="shared" si="55"/>
        <v>0</v>
      </c>
      <c r="P288" s="362">
        <f t="shared" si="55"/>
        <v>1300068</v>
      </c>
      <c r="Q288" s="362">
        <f t="shared" si="55"/>
        <v>0</v>
      </c>
      <c r="R288" s="362">
        <f t="shared" si="55"/>
        <v>0</v>
      </c>
      <c r="S288" s="267"/>
      <c r="T288" s="126"/>
      <c r="U288" s="126"/>
      <c r="V288" s="296"/>
    </row>
    <row r="289" spans="1:22" ht="9" customHeight="1">
      <c r="A289" s="821" t="s">
        <v>352</v>
      </c>
      <c r="B289" s="821"/>
      <c r="C289" s="821"/>
      <c r="D289" s="821"/>
      <c r="E289" s="821"/>
      <c r="F289" s="821"/>
      <c r="G289" s="821"/>
      <c r="H289" s="821"/>
      <c r="I289" s="821"/>
      <c r="J289" s="821"/>
      <c r="K289" s="821"/>
      <c r="L289" s="821"/>
      <c r="M289" s="821"/>
      <c r="N289" s="821"/>
      <c r="O289" s="821"/>
      <c r="P289" s="821"/>
      <c r="Q289" s="821"/>
      <c r="R289" s="821"/>
      <c r="S289" s="821"/>
      <c r="T289" s="297"/>
      <c r="U289" s="297"/>
      <c r="V289" s="296"/>
    </row>
    <row r="290" spans="1:22" ht="9" customHeight="1">
      <c r="A290" s="268">
        <v>231</v>
      </c>
      <c r="B290" s="156" t="s">
        <v>925</v>
      </c>
      <c r="C290" s="132" t="s">
        <v>1155</v>
      </c>
      <c r="D290" s="207" t="s">
        <v>1154</v>
      </c>
      <c r="E290" s="268" t="s">
        <v>594</v>
      </c>
      <c r="F290" s="268" t="s">
        <v>90</v>
      </c>
      <c r="G290" s="130">
        <v>2</v>
      </c>
      <c r="H290" s="130">
        <v>2</v>
      </c>
      <c r="I290" s="267">
        <v>621.23</v>
      </c>
      <c r="J290" s="267">
        <v>590.04</v>
      </c>
      <c r="K290" s="267">
        <v>19</v>
      </c>
      <c r="L290" s="205">
        <f>'Приложение 2 КСП 2018-2019 гг'!H291</f>
        <v>1827210</v>
      </c>
      <c r="M290" s="368">
        <v>0</v>
      </c>
      <c r="N290" s="368">
        <v>0</v>
      </c>
      <c r="O290" s="368">
        <v>0</v>
      </c>
      <c r="P290" s="368">
        <f t="shared" ref="P290" si="56">L290</f>
        <v>1827210</v>
      </c>
      <c r="Q290" s="267">
        <v>0</v>
      </c>
      <c r="R290" s="267">
        <v>0</v>
      </c>
      <c r="S290" s="132" t="s">
        <v>589</v>
      </c>
      <c r="T290" s="126"/>
      <c r="U290" s="127"/>
      <c r="V290" s="296"/>
    </row>
    <row r="291" spans="1:22" ht="25.5" customHeight="1">
      <c r="A291" s="946" t="s">
        <v>351</v>
      </c>
      <c r="B291" s="946"/>
      <c r="C291" s="132"/>
      <c r="D291" s="265"/>
      <c r="E291" s="141" t="s">
        <v>391</v>
      </c>
      <c r="F291" s="141" t="s">
        <v>391</v>
      </c>
      <c r="G291" s="141" t="s">
        <v>391</v>
      </c>
      <c r="H291" s="141" t="s">
        <v>391</v>
      </c>
      <c r="I291" s="362">
        <f>SUM(I290)</f>
        <v>621.23</v>
      </c>
      <c r="J291" s="362">
        <f t="shared" ref="J291:R291" si="57">SUM(J290)</f>
        <v>590.04</v>
      </c>
      <c r="K291" s="362">
        <f t="shared" si="57"/>
        <v>19</v>
      </c>
      <c r="L291" s="362">
        <f t="shared" si="57"/>
        <v>1827210</v>
      </c>
      <c r="M291" s="362">
        <f t="shared" si="57"/>
        <v>0</v>
      </c>
      <c r="N291" s="362">
        <f t="shared" si="57"/>
        <v>0</v>
      </c>
      <c r="O291" s="362">
        <f t="shared" si="57"/>
        <v>0</v>
      </c>
      <c r="P291" s="362">
        <f t="shared" si="57"/>
        <v>1827210</v>
      </c>
      <c r="Q291" s="362">
        <f t="shared" si="57"/>
        <v>0</v>
      </c>
      <c r="R291" s="362">
        <f t="shared" si="57"/>
        <v>0</v>
      </c>
      <c r="S291" s="267"/>
      <c r="T291" s="126"/>
      <c r="U291" s="127"/>
      <c r="V291" s="296"/>
    </row>
    <row r="292" spans="1:22" ht="9" customHeight="1">
      <c r="A292" s="821" t="s">
        <v>433</v>
      </c>
      <c r="B292" s="821"/>
      <c r="C292" s="821"/>
      <c r="D292" s="821"/>
      <c r="E292" s="821"/>
      <c r="F292" s="821"/>
      <c r="G292" s="821"/>
      <c r="H292" s="821"/>
      <c r="I292" s="821"/>
      <c r="J292" s="821"/>
      <c r="K292" s="821"/>
      <c r="L292" s="821"/>
      <c r="M292" s="821"/>
      <c r="N292" s="821"/>
      <c r="O292" s="821"/>
      <c r="P292" s="821"/>
      <c r="Q292" s="821"/>
      <c r="R292" s="821"/>
      <c r="S292" s="821"/>
      <c r="T292" s="297"/>
      <c r="U292" s="297"/>
      <c r="V292" s="296"/>
    </row>
    <row r="293" spans="1:22" ht="9" customHeight="1">
      <c r="A293" s="184">
        <v>232</v>
      </c>
      <c r="B293" s="271" t="s">
        <v>931</v>
      </c>
      <c r="C293" s="188" t="s">
        <v>1155</v>
      </c>
      <c r="D293" s="207" t="s">
        <v>1154</v>
      </c>
      <c r="E293" s="184" t="s">
        <v>617</v>
      </c>
      <c r="F293" s="184" t="s">
        <v>90</v>
      </c>
      <c r="G293" s="219">
        <v>2</v>
      </c>
      <c r="H293" s="219">
        <v>3</v>
      </c>
      <c r="I293" s="218">
        <v>1537.6</v>
      </c>
      <c r="J293" s="218">
        <v>923.2</v>
      </c>
      <c r="K293" s="219">
        <v>26</v>
      </c>
      <c r="L293" s="205">
        <f>'Приложение 2 КСП 2018-2019 гг'!H294</f>
        <v>279775.76</v>
      </c>
      <c r="M293" s="368">
        <v>0</v>
      </c>
      <c r="N293" s="368">
        <v>0</v>
      </c>
      <c r="O293" s="368">
        <v>0</v>
      </c>
      <c r="P293" s="368">
        <f t="shared" ref="P293" si="58">L293</f>
        <v>279775.76</v>
      </c>
      <c r="Q293" s="267">
        <v>0</v>
      </c>
      <c r="R293" s="267">
        <v>0</v>
      </c>
      <c r="S293" s="132" t="s">
        <v>589</v>
      </c>
      <c r="T293" s="126"/>
      <c r="U293" s="127"/>
      <c r="V293" s="296"/>
    </row>
    <row r="294" spans="1:22" ht="9" customHeight="1">
      <c r="A294" s="184">
        <v>233</v>
      </c>
      <c r="B294" s="271" t="s">
        <v>932</v>
      </c>
      <c r="C294" s="188" t="s">
        <v>1155</v>
      </c>
      <c r="D294" s="207" t="s">
        <v>1154</v>
      </c>
      <c r="E294" s="184" t="s">
        <v>607</v>
      </c>
      <c r="F294" s="184" t="s">
        <v>90</v>
      </c>
      <c r="G294" s="219">
        <v>2</v>
      </c>
      <c r="H294" s="219">
        <v>3</v>
      </c>
      <c r="I294" s="218">
        <v>1005.2</v>
      </c>
      <c r="J294" s="184">
        <v>918.48</v>
      </c>
      <c r="K294" s="219">
        <v>42</v>
      </c>
      <c r="L294" s="205">
        <f>'Приложение 2 КСП 2018-2019 гг'!H295</f>
        <v>278345.36</v>
      </c>
      <c r="M294" s="368">
        <v>0</v>
      </c>
      <c r="N294" s="368">
        <v>0</v>
      </c>
      <c r="O294" s="368">
        <v>0</v>
      </c>
      <c r="P294" s="368">
        <f t="shared" ref="P294:P297" si="59">L294</f>
        <v>278345.36</v>
      </c>
      <c r="Q294" s="267">
        <v>0</v>
      </c>
      <c r="R294" s="267">
        <v>0</v>
      </c>
      <c r="S294" s="132" t="s">
        <v>589</v>
      </c>
      <c r="T294" s="126"/>
      <c r="U294" s="127"/>
      <c r="V294" s="296"/>
    </row>
    <row r="295" spans="1:22" ht="9" customHeight="1">
      <c r="A295" s="184">
        <v>234</v>
      </c>
      <c r="B295" s="271" t="s">
        <v>933</v>
      </c>
      <c r="C295" s="188" t="s">
        <v>1155</v>
      </c>
      <c r="D295" s="207" t="s">
        <v>1154</v>
      </c>
      <c r="E295" s="184" t="s">
        <v>606</v>
      </c>
      <c r="F295" s="184" t="s">
        <v>88</v>
      </c>
      <c r="G295" s="219">
        <v>2</v>
      </c>
      <c r="H295" s="219">
        <v>1</v>
      </c>
      <c r="I295" s="218">
        <v>334.6</v>
      </c>
      <c r="J295" s="184">
        <v>270.23</v>
      </c>
      <c r="K295" s="219">
        <v>8</v>
      </c>
      <c r="L295" s="205">
        <f>'Приложение 2 КСП 2018-2019 гг'!H296</f>
        <v>56748.299999999996</v>
      </c>
      <c r="M295" s="368">
        <v>0</v>
      </c>
      <c r="N295" s="368">
        <v>0</v>
      </c>
      <c r="O295" s="368">
        <v>0</v>
      </c>
      <c r="P295" s="368">
        <f t="shared" si="59"/>
        <v>56748.299999999996</v>
      </c>
      <c r="Q295" s="267">
        <v>0</v>
      </c>
      <c r="R295" s="267">
        <v>0</v>
      </c>
      <c r="S295" s="132" t="s">
        <v>589</v>
      </c>
      <c r="T295" s="126"/>
      <c r="U295" s="127"/>
      <c r="V295" s="296"/>
    </row>
    <row r="296" spans="1:22" ht="9" customHeight="1">
      <c r="A296" s="184">
        <v>235</v>
      </c>
      <c r="B296" s="271" t="s">
        <v>934</v>
      </c>
      <c r="C296" s="188" t="s">
        <v>1155</v>
      </c>
      <c r="D296" s="207" t="s">
        <v>1154</v>
      </c>
      <c r="E296" s="184" t="s">
        <v>936</v>
      </c>
      <c r="F296" s="184" t="s">
        <v>88</v>
      </c>
      <c r="G296" s="219">
        <v>2</v>
      </c>
      <c r="H296" s="219">
        <v>2</v>
      </c>
      <c r="I296" s="218">
        <v>779.5</v>
      </c>
      <c r="J296" s="218">
        <v>724.7</v>
      </c>
      <c r="K296" s="184">
        <v>38</v>
      </c>
      <c r="L296" s="205">
        <f>'Приложение 2 КСП 2018-2019 гг'!H297</f>
        <v>234012.88</v>
      </c>
      <c r="M296" s="368">
        <v>0</v>
      </c>
      <c r="N296" s="368">
        <v>0</v>
      </c>
      <c r="O296" s="368">
        <v>0</v>
      </c>
      <c r="P296" s="368">
        <f t="shared" si="59"/>
        <v>234012.88</v>
      </c>
      <c r="Q296" s="267">
        <v>0</v>
      </c>
      <c r="R296" s="267">
        <v>0</v>
      </c>
      <c r="S296" s="132" t="s">
        <v>589</v>
      </c>
      <c r="T296" s="302"/>
      <c r="U296" s="127"/>
      <c r="V296" s="296"/>
    </row>
    <row r="297" spans="1:22" ht="9" customHeight="1">
      <c r="A297" s="184">
        <v>236</v>
      </c>
      <c r="B297" s="271" t="s">
        <v>935</v>
      </c>
      <c r="C297" s="188" t="s">
        <v>1155</v>
      </c>
      <c r="D297" s="207" t="s">
        <v>1154</v>
      </c>
      <c r="E297" s="184" t="s">
        <v>748</v>
      </c>
      <c r="F297" s="184" t="s">
        <v>88</v>
      </c>
      <c r="G297" s="219">
        <v>2</v>
      </c>
      <c r="H297" s="219">
        <v>1</v>
      </c>
      <c r="I297" s="218">
        <v>301.8</v>
      </c>
      <c r="J297" s="184">
        <v>274.32</v>
      </c>
      <c r="K297" s="184">
        <v>13</v>
      </c>
      <c r="L297" s="205">
        <f>'Приложение 2 КСП 2018-2019 гг'!H298</f>
        <v>57607.21</v>
      </c>
      <c r="M297" s="368">
        <v>0</v>
      </c>
      <c r="N297" s="368">
        <v>0</v>
      </c>
      <c r="O297" s="368">
        <v>0</v>
      </c>
      <c r="P297" s="368">
        <f t="shared" si="59"/>
        <v>57607.21</v>
      </c>
      <c r="Q297" s="267">
        <v>0</v>
      </c>
      <c r="R297" s="267">
        <v>0</v>
      </c>
      <c r="S297" s="132" t="s">
        <v>589</v>
      </c>
      <c r="T297" s="126"/>
      <c r="U297" s="127"/>
      <c r="V297" s="296"/>
    </row>
    <row r="298" spans="1:22" ht="36" customHeight="1">
      <c r="A298" s="952" t="s">
        <v>434</v>
      </c>
      <c r="B298" s="952"/>
      <c r="C298" s="188"/>
      <c r="D298" s="271"/>
      <c r="E298" s="184" t="s">
        <v>391</v>
      </c>
      <c r="F298" s="184" t="s">
        <v>391</v>
      </c>
      <c r="G298" s="184" t="s">
        <v>391</v>
      </c>
      <c r="H298" s="184" t="s">
        <v>391</v>
      </c>
      <c r="I298" s="189">
        <f>SUM(I293:I297)</f>
        <v>3958.7000000000003</v>
      </c>
      <c r="J298" s="189">
        <f t="shared" ref="J298:R298" si="60">SUM(J293:J297)</f>
        <v>3110.93</v>
      </c>
      <c r="K298" s="189">
        <f t="shared" si="60"/>
        <v>127</v>
      </c>
      <c r="L298" s="189">
        <f t="shared" si="60"/>
        <v>906489.51</v>
      </c>
      <c r="M298" s="189">
        <f t="shared" si="60"/>
        <v>0</v>
      </c>
      <c r="N298" s="189">
        <f t="shared" si="60"/>
        <v>0</v>
      </c>
      <c r="O298" s="189">
        <f t="shared" si="60"/>
        <v>0</v>
      </c>
      <c r="P298" s="189">
        <f t="shared" si="60"/>
        <v>906489.51</v>
      </c>
      <c r="Q298" s="189">
        <f t="shared" si="60"/>
        <v>0</v>
      </c>
      <c r="R298" s="189">
        <f t="shared" si="60"/>
        <v>0</v>
      </c>
      <c r="S298" s="267"/>
      <c r="T298" s="303"/>
      <c r="U298" s="304"/>
      <c r="V298" s="296"/>
    </row>
    <row r="299" spans="1:22" ht="9" customHeight="1">
      <c r="A299" s="823" t="s">
        <v>937</v>
      </c>
      <c r="B299" s="823"/>
      <c r="C299" s="823"/>
      <c r="D299" s="823"/>
      <c r="E299" s="823"/>
      <c r="F299" s="823"/>
      <c r="G299" s="823"/>
      <c r="H299" s="823"/>
      <c r="I299" s="823"/>
      <c r="J299" s="823"/>
      <c r="K299" s="823"/>
      <c r="L299" s="823"/>
      <c r="M299" s="823"/>
      <c r="N299" s="823"/>
      <c r="O299" s="823"/>
      <c r="P299" s="823"/>
      <c r="Q299" s="823"/>
      <c r="R299" s="823"/>
      <c r="S299" s="823"/>
      <c r="T299" s="326"/>
      <c r="U299" s="326"/>
      <c r="V299" s="296"/>
    </row>
    <row r="300" spans="1:22" ht="9" customHeight="1">
      <c r="A300" s="166">
        <v>237</v>
      </c>
      <c r="B300" s="270" t="s">
        <v>940</v>
      </c>
      <c r="C300" s="132" t="s">
        <v>1155</v>
      </c>
      <c r="D300" s="207" t="s">
        <v>1154</v>
      </c>
      <c r="E300" s="268" t="s">
        <v>618</v>
      </c>
      <c r="F300" s="166" t="s">
        <v>90</v>
      </c>
      <c r="G300" s="190">
        <v>2</v>
      </c>
      <c r="H300" s="190">
        <v>2</v>
      </c>
      <c r="I300" s="199">
        <v>661.2</v>
      </c>
      <c r="J300" s="199">
        <v>590.20000000000005</v>
      </c>
      <c r="K300" s="190">
        <v>24</v>
      </c>
      <c r="L300" s="205">
        <f>'Приложение 2 КСП 2018-2019 гг'!H301</f>
        <v>1667579.76</v>
      </c>
      <c r="M300" s="368">
        <v>0</v>
      </c>
      <c r="N300" s="368">
        <v>0</v>
      </c>
      <c r="O300" s="368">
        <v>0</v>
      </c>
      <c r="P300" s="368">
        <f t="shared" ref="P300" si="61">L300</f>
        <v>1667579.76</v>
      </c>
      <c r="Q300" s="267">
        <v>0</v>
      </c>
      <c r="R300" s="267">
        <v>0</v>
      </c>
      <c r="S300" s="132" t="s">
        <v>589</v>
      </c>
      <c r="T300" s="126"/>
      <c r="U300" s="127"/>
      <c r="V300" s="296"/>
    </row>
    <row r="301" spans="1:22" ht="36.75" customHeight="1">
      <c r="A301" s="952" t="s">
        <v>939</v>
      </c>
      <c r="B301" s="952"/>
      <c r="C301" s="188"/>
      <c r="D301" s="271"/>
      <c r="E301" s="184" t="s">
        <v>391</v>
      </c>
      <c r="F301" s="184" t="s">
        <v>391</v>
      </c>
      <c r="G301" s="184" t="s">
        <v>391</v>
      </c>
      <c r="H301" s="184" t="s">
        <v>391</v>
      </c>
      <c r="I301" s="368">
        <f>SUM(I300)</f>
        <v>661.2</v>
      </c>
      <c r="J301" s="368">
        <f t="shared" ref="J301:R301" si="62">SUM(J300)</f>
        <v>590.20000000000005</v>
      </c>
      <c r="K301" s="368">
        <f t="shared" si="62"/>
        <v>24</v>
      </c>
      <c r="L301" s="368">
        <f t="shared" si="62"/>
        <v>1667579.76</v>
      </c>
      <c r="M301" s="368">
        <f t="shared" si="62"/>
        <v>0</v>
      </c>
      <c r="N301" s="368">
        <f t="shared" si="62"/>
        <v>0</v>
      </c>
      <c r="O301" s="368">
        <f t="shared" si="62"/>
        <v>0</v>
      </c>
      <c r="P301" s="368">
        <f t="shared" si="62"/>
        <v>1667579.76</v>
      </c>
      <c r="Q301" s="368">
        <f t="shared" si="62"/>
        <v>0</v>
      </c>
      <c r="R301" s="368">
        <f t="shared" si="62"/>
        <v>0</v>
      </c>
      <c r="S301" s="189"/>
      <c r="T301" s="303"/>
      <c r="U301" s="304"/>
      <c r="V301" s="296"/>
    </row>
    <row r="302" spans="1:22" ht="9" customHeight="1">
      <c r="A302" s="823" t="s">
        <v>1033</v>
      </c>
      <c r="B302" s="823"/>
      <c r="C302" s="823"/>
      <c r="D302" s="823"/>
      <c r="E302" s="823"/>
      <c r="F302" s="823"/>
      <c r="G302" s="823"/>
      <c r="H302" s="823"/>
      <c r="I302" s="823"/>
      <c r="J302" s="823"/>
      <c r="K302" s="823"/>
      <c r="L302" s="823"/>
      <c r="M302" s="823"/>
      <c r="N302" s="823"/>
      <c r="O302" s="823"/>
      <c r="P302" s="823"/>
      <c r="Q302" s="823"/>
      <c r="R302" s="823"/>
      <c r="S302" s="823"/>
      <c r="T302" s="326"/>
      <c r="U302" s="326"/>
      <c r="V302" s="296"/>
    </row>
    <row r="303" spans="1:22" ht="9" customHeight="1">
      <c r="A303" s="271">
        <v>238</v>
      </c>
      <c r="B303" s="271" t="s">
        <v>941</v>
      </c>
      <c r="C303" s="132" t="s">
        <v>1155</v>
      </c>
      <c r="D303" s="207" t="s">
        <v>1154</v>
      </c>
      <c r="E303" s="184">
        <v>1976</v>
      </c>
      <c r="F303" s="191" t="s">
        <v>88</v>
      </c>
      <c r="G303" s="184">
        <v>2</v>
      </c>
      <c r="H303" s="184">
        <v>2</v>
      </c>
      <c r="I303" s="189">
        <v>906.4</v>
      </c>
      <c r="J303" s="189">
        <v>862.8</v>
      </c>
      <c r="K303" s="133">
        <v>46</v>
      </c>
      <c r="L303" s="205">
        <f>'Приложение 2 КСП 2018-2019 гг'!H304</f>
        <v>3121624.2</v>
      </c>
      <c r="M303" s="368">
        <v>0</v>
      </c>
      <c r="N303" s="368">
        <v>0</v>
      </c>
      <c r="O303" s="368">
        <v>0</v>
      </c>
      <c r="P303" s="368">
        <f t="shared" ref="P303:P304" si="63">L303</f>
        <v>3121624.2</v>
      </c>
      <c r="Q303" s="368">
        <v>0</v>
      </c>
      <c r="R303" s="267">
        <v>0</v>
      </c>
      <c r="S303" s="132" t="s">
        <v>589</v>
      </c>
      <c r="T303" s="126"/>
      <c r="U303" s="127"/>
      <c r="V303" s="296"/>
    </row>
    <row r="304" spans="1:22" ht="9" customHeight="1">
      <c r="A304" s="271">
        <v>239</v>
      </c>
      <c r="B304" s="271" t="s">
        <v>1035</v>
      </c>
      <c r="C304" s="132" t="s">
        <v>1155</v>
      </c>
      <c r="D304" s="207" t="s">
        <v>1154</v>
      </c>
      <c r="E304" s="184">
        <v>1987</v>
      </c>
      <c r="F304" s="191" t="s">
        <v>88</v>
      </c>
      <c r="G304" s="184">
        <v>5</v>
      </c>
      <c r="H304" s="184">
        <v>4</v>
      </c>
      <c r="I304" s="189">
        <v>3883.9399999999996</v>
      </c>
      <c r="J304" s="189">
        <v>2734.24</v>
      </c>
      <c r="K304" s="133">
        <v>126</v>
      </c>
      <c r="L304" s="205">
        <f>'Приложение 2 КСП 2018-2019 гг'!H305</f>
        <v>2590518</v>
      </c>
      <c r="M304" s="368">
        <v>0</v>
      </c>
      <c r="N304" s="368">
        <v>0</v>
      </c>
      <c r="O304" s="368">
        <v>0</v>
      </c>
      <c r="P304" s="368">
        <f t="shared" si="63"/>
        <v>2590518</v>
      </c>
      <c r="Q304" s="368">
        <v>0</v>
      </c>
      <c r="R304" s="267">
        <v>0</v>
      </c>
      <c r="S304" s="132" t="s">
        <v>589</v>
      </c>
      <c r="T304" s="126"/>
      <c r="U304" s="127"/>
      <c r="V304" s="296"/>
    </row>
    <row r="305" spans="1:22" ht="36.75" customHeight="1">
      <c r="A305" s="952" t="s">
        <v>1034</v>
      </c>
      <c r="B305" s="952"/>
      <c r="C305" s="188"/>
      <c r="D305" s="271"/>
      <c r="E305" s="184" t="s">
        <v>391</v>
      </c>
      <c r="F305" s="184" t="s">
        <v>391</v>
      </c>
      <c r="G305" s="184" t="s">
        <v>391</v>
      </c>
      <c r="H305" s="184" t="s">
        <v>391</v>
      </c>
      <c r="I305" s="189">
        <f>SUM(I303:I304)</f>
        <v>4790.3399999999992</v>
      </c>
      <c r="J305" s="189">
        <f t="shared" ref="J305:R305" si="64">SUM(J303:J304)</f>
        <v>3597.04</v>
      </c>
      <c r="K305" s="189">
        <f t="shared" si="64"/>
        <v>172</v>
      </c>
      <c r="L305" s="189">
        <f t="shared" si="64"/>
        <v>5712142.2000000002</v>
      </c>
      <c r="M305" s="189">
        <f t="shared" si="64"/>
        <v>0</v>
      </c>
      <c r="N305" s="189">
        <f t="shared" si="64"/>
        <v>0</v>
      </c>
      <c r="O305" s="189">
        <f t="shared" si="64"/>
        <v>0</v>
      </c>
      <c r="P305" s="189">
        <f t="shared" si="64"/>
        <v>5712142.2000000002</v>
      </c>
      <c r="Q305" s="189">
        <f t="shared" si="64"/>
        <v>0</v>
      </c>
      <c r="R305" s="189">
        <f t="shared" si="64"/>
        <v>0</v>
      </c>
      <c r="S305" s="189"/>
      <c r="T305" s="303"/>
      <c r="U305" s="304"/>
      <c r="V305" s="296"/>
    </row>
    <row r="306" spans="1:22" ht="9" customHeight="1">
      <c r="A306" s="826" t="s">
        <v>3</v>
      </c>
      <c r="B306" s="826"/>
      <c r="C306" s="826"/>
      <c r="D306" s="826"/>
      <c r="E306" s="826"/>
      <c r="F306" s="826"/>
      <c r="G306" s="826"/>
      <c r="H306" s="826"/>
      <c r="I306" s="826"/>
      <c r="J306" s="826"/>
      <c r="K306" s="826"/>
      <c r="L306" s="826"/>
      <c r="M306" s="826"/>
      <c r="N306" s="826"/>
      <c r="O306" s="826"/>
      <c r="P306" s="826"/>
      <c r="Q306" s="826"/>
      <c r="R306" s="826"/>
      <c r="S306" s="826"/>
      <c r="T306" s="328"/>
      <c r="U306" s="328"/>
      <c r="V306" s="296"/>
    </row>
    <row r="307" spans="1:22" ht="9" customHeight="1">
      <c r="A307" s="191">
        <v>240</v>
      </c>
      <c r="B307" s="192" t="s">
        <v>944</v>
      </c>
      <c r="C307" s="196" t="s">
        <v>1155</v>
      </c>
      <c r="D307" s="207" t="s">
        <v>1154</v>
      </c>
      <c r="E307" s="191" t="s">
        <v>614</v>
      </c>
      <c r="F307" s="191" t="s">
        <v>90</v>
      </c>
      <c r="G307" s="220">
        <v>2</v>
      </c>
      <c r="H307" s="220">
        <v>2</v>
      </c>
      <c r="I307" s="195">
        <v>1115.26</v>
      </c>
      <c r="J307" s="195">
        <v>577.1</v>
      </c>
      <c r="K307" s="220">
        <v>37</v>
      </c>
      <c r="L307" s="205">
        <f>'Приложение 2 КСП 2018-2019 гг'!H308</f>
        <v>1699790.4</v>
      </c>
      <c r="M307" s="368">
        <v>0</v>
      </c>
      <c r="N307" s="368">
        <v>0</v>
      </c>
      <c r="O307" s="368">
        <v>0</v>
      </c>
      <c r="P307" s="368">
        <f t="shared" ref="P307:P308" si="65">L307</f>
        <v>1699790.4</v>
      </c>
      <c r="Q307" s="267">
        <v>0</v>
      </c>
      <c r="R307" s="267">
        <v>0</v>
      </c>
      <c r="S307" s="132" t="s">
        <v>589</v>
      </c>
      <c r="T307" s="126"/>
      <c r="U307" s="127"/>
      <c r="V307" s="296"/>
    </row>
    <row r="308" spans="1:22" ht="9" customHeight="1">
      <c r="A308" s="191">
        <v>241</v>
      </c>
      <c r="B308" s="192" t="s">
        <v>945</v>
      </c>
      <c r="C308" s="196" t="s">
        <v>1155</v>
      </c>
      <c r="D308" s="207" t="s">
        <v>1154</v>
      </c>
      <c r="E308" s="191" t="s">
        <v>616</v>
      </c>
      <c r="F308" s="191" t="s">
        <v>88</v>
      </c>
      <c r="G308" s="220">
        <v>2</v>
      </c>
      <c r="H308" s="220">
        <v>3</v>
      </c>
      <c r="I308" s="195">
        <v>1965.66</v>
      </c>
      <c r="J308" s="195">
        <v>995.08</v>
      </c>
      <c r="K308" s="220">
        <v>96</v>
      </c>
      <c r="L308" s="205">
        <f>'Приложение 2 КСП 2018-2019 гг'!H309</f>
        <v>2858856</v>
      </c>
      <c r="M308" s="368">
        <v>0</v>
      </c>
      <c r="N308" s="368">
        <v>0</v>
      </c>
      <c r="O308" s="368">
        <v>0</v>
      </c>
      <c r="P308" s="368">
        <f t="shared" si="65"/>
        <v>2858856</v>
      </c>
      <c r="Q308" s="267">
        <v>0</v>
      </c>
      <c r="R308" s="267">
        <v>0</v>
      </c>
      <c r="S308" s="132" t="s">
        <v>589</v>
      </c>
      <c r="T308" s="126"/>
      <c r="U308" s="127"/>
      <c r="V308" s="296"/>
    </row>
    <row r="309" spans="1:22" ht="23.25" customHeight="1">
      <c r="A309" s="953" t="s">
        <v>6</v>
      </c>
      <c r="B309" s="953"/>
      <c r="C309" s="196"/>
      <c r="D309" s="272"/>
      <c r="E309" s="141" t="s">
        <v>391</v>
      </c>
      <c r="F309" s="141" t="s">
        <v>391</v>
      </c>
      <c r="G309" s="141" t="s">
        <v>391</v>
      </c>
      <c r="H309" s="141" t="s">
        <v>391</v>
      </c>
      <c r="I309" s="362">
        <f>SUM(I307:I308)</f>
        <v>3080.92</v>
      </c>
      <c r="J309" s="362">
        <f t="shared" ref="J309:R309" si="66">SUM(J307:J308)</f>
        <v>1572.18</v>
      </c>
      <c r="K309" s="362">
        <f t="shared" si="66"/>
        <v>133</v>
      </c>
      <c r="L309" s="362">
        <f t="shared" si="66"/>
        <v>4558646.4000000004</v>
      </c>
      <c r="M309" s="362">
        <f t="shared" si="66"/>
        <v>0</v>
      </c>
      <c r="N309" s="362">
        <f t="shared" si="66"/>
        <v>0</v>
      </c>
      <c r="O309" s="362">
        <f t="shared" si="66"/>
        <v>0</v>
      </c>
      <c r="P309" s="362">
        <f t="shared" si="66"/>
        <v>4558646.4000000004</v>
      </c>
      <c r="Q309" s="362">
        <f t="shared" si="66"/>
        <v>0</v>
      </c>
      <c r="R309" s="362">
        <f t="shared" si="66"/>
        <v>0</v>
      </c>
      <c r="S309" s="195"/>
      <c r="T309" s="305"/>
      <c r="U309" s="306"/>
      <c r="V309" s="296"/>
    </row>
    <row r="310" spans="1:22" ht="9" customHeight="1">
      <c r="A310" s="823" t="s">
        <v>9</v>
      </c>
      <c r="B310" s="823"/>
      <c r="C310" s="823"/>
      <c r="D310" s="823"/>
      <c r="E310" s="823"/>
      <c r="F310" s="823"/>
      <c r="G310" s="823"/>
      <c r="H310" s="823"/>
      <c r="I310" s="823"/>
      <c r="J310" s="823"/>
      <c r="K310" s="823"/>
      <c r="L310" s="823"/>
      <c r="M310" s="823"/>
      <c r="N310" s="823"/>
      <c r="O310" s="823"/>
      <c r="P310" s="823"/>
      <c r="Q310" s="823"/>
      <c r="R310" s="823"/>
      <c r="S310" s="823"/>
      <c r="T310" s="326"/>
      <c r="U310" s="326"/>
      <c r="V310" s="296"/>
    </row>
    <row r="311" spans="1:22" ht="9" customHeight="1">
      <c r="A311" s="166">
        <v>242</v>
      </c>
      <c r="B311" s="170" t="s">
        <v>947</v>
      </c>
      <c r="C311" s="174" t="s">
        <v>1155</v>
      </c>
      <c r="D311" s="207" t="s">
        <v>1154</v>
      </c>
      <c r="E311" s="166" t="s">
        <v>606</v>
      </c>
      <c r="F311" s="191" t="s">
        <v>88</v>
      </c>
      <c r="G311" s="190">
        <v>2</v>
      </c>
      <c r="H311" s="190">
        <v>2</v>
      </c>
      <c r="I311" s="167">
        <v>1084.0999999999999</v>
      </c>
      <c r="J311" s="167">
        <v>615.70000000000005</v>
      </c>
      <c r="K311" s="190">
        <v>27</v>
      </c>
      <c r="L311" s="205">
        <f>'Приложение 2 КСП 2018-2019 гг'!H312</f>
        <v>1512929.88</v>
      </c>
      <c r="M311" s="368">
        <v>0</v>
      </c>
      <c r="N311" s="368">
        <v>0</v>
      </c>
      <c r="O311" s="368">
        <v>0</v>
      </c>
      <c r="P311" s="368">
        <f t="shared" ref="P311:P312" si="67">L311</f>
        <v>1512929.88</v>
      </c>
      <c r="Q311" s="267">
        <v>0</v>
      </c>
      <c r="R311" s="267">
        <v>0</v>
      </c>
      <c r="S311" s="132" t="s">
        <v>589</v>
      </c>
      <c r="T311" s="126"/>
      <c r="U311" s="127"/>
      <c r="V311" s="296"/>
    </row>
    <row r="312" spans="1:22" ht="9" customHeight="1">
      <c r="A312" s="166">
        <v>243</v>
      </c>
      <c r="B312" s="170" t="s">
        <v>948</v>
      </c>
      <c r="C312" s="174" t="s">
        <v>1155</v>
      </c>
      <c r="D312" s="207" t="s">
        <v>1154</v>
      </c>
      <c r="E312" s="166" t="s">
        <v>107</v>
      </c>
      <c r="F312" s="191" t="s">
        <v>88</v>
      </c>
      <c r="G312" s="190">
        <v>2</v>
      </c>
      <c r="H312" s="190">
        <v>2</v>
      </c>
      <c r="I312" s="167">
        <v>1116.5</v>
      </c>
      <c r="J312" s="167">
        <v>648.1</v>
      </c>
      <c r="K312" s="190">
        <v>31</v>
      </c>
      <c r="L312" s="205">
        <f>'Приложение 2 КСП 2018-2019 гг'!H313</f>
        <v>1667127</v>
      </c>
      <c r="M312" s="368">
        <v>0</v>
      </c>
      <c r="N312" s="368">
        <v>0</v>
      </c>
      <c r="O312" s="368">
        <v>0</v>
      </c>
      <c r="P312" s="368">
        <f t="shared" si="67"/>
        <v>1667127</v>
      </c>
      <c r="Q312" s="267">
        <v>0</v>
      </c>
      <c r="R312" s="267">
        <v>0</v>
      </c>
      <c r="S312" s="132" t="s">
        <v>589</v>
      </c>
      <c r="T312" s="126"/>
      <c r="U312" s="127"/>
      <c r="V312" s="296"/>
    </row>
    <row r="313" spans="1:22" ht="24.75" customHeight="1">
      <c r="A313" s="950" t="s">
        <v>10</v>
      </c>
      <c r="B313" s="950"/>
      <c r="C313" s="174"/>
      <c r="D313" s="270"/>
      <c r="E313" s="141" t="s">
        <v>391</v>
      </c>
      <c r="F313" s="141" t="s">
        <v>391</v>
      </c>
      <c r="G313" s="141" t="s">
        <v>391</v>
      </c>
      <c r="H313" s="141" t="s">
        <v>391</v>
      </c>
      <c r="I313" s="362">
        <f>SUM(I311:I312)</f>
        <v>2200.6</v>
      </c>
      <c r="J313" s="362">
        <f t="shared" ref="J313:R313" si="68">SUM(J311:J312)</f>
        <v>1263.8000000000002</v>
      </c>
      <c r="K313" s="362">
        <f t="shared" si="68"/>
        <v>58</v>
      </c>
      <c r="L313" s="362">
        <f t="shared" si="68"/>
        <v>3180056.88</v>
      </c>
      <c r="M313" s="362">
        <f t="shared" si="68"/>
        <v>0</v>
      </c>
      <c r="N313" s="362">
        <f t="shared" si="68"/>
        <v>0</v>
      </c>
      <c r="O313" s="362">
        <f t="shared" si="68"/>
        <v>0</v>
      </c>
      <c r="P313" s="362">
        <f t="shared" si="68"/>
        <v>3180056.88</v>
      </c>
      <c r="Q313" s="362">
        <f t="shared" si="68"/>
        <v>0</v>
      </c>
      <c r="R313" s="362">
        <f t="shared" si="68"/>
        <v>0</v>
      </c>
      <c r="S313" s="267"/>
      <c r="T313" s="298"/>
      <c r="U313" s="307"/>
      <c r="V313" s="296"/>
    </row>
    <row r="314" spans="1:22" ht="9" customHeight="1">
      <c r="A314" s="823" t="s">
        <v>11</v>
      </c>
      <c r="B314" s="823"/>
      <c r="C314" s="823"/>
      <c r="D314" s="823"/>
      <c r="E314" s="823"/>
      <c r="F314" s="823"/>
      <c r="G314" s="823"/>
      <c r="H314" s="823"/>
      <c r="I314" s="823"/>
      <c r="J314" s="823"/>
      <c r="K314" s="823"/>
      <c r="L314" s="823"/>
      <c r="M314" s="823"/>
      <c r="N314" s="823"/>
      <c r="O314" s="823"/>
      <c r="P314" s="823"/>
      <c r="Q314" s="823"/>
      <c r="R314" s="823"/>
      <c r="S314" s="823"/>
      <c r="T314" s="326"/>
      <c r="U314" s="326"/>
      <c r="V314" s="296"/>
    </row>
    <row r="315" spans="1:22" ht="9" customHeight="1">
      <c r="A315" s="166">
        <v>244</v>
      </c>
      <c r="B315" s="170" t="s">
        <v>949</v>
      </c>
      <c r="C315" s="174" t="s">
        <v>1155</v>
      </c>
      <c r="D315" s="207" t="s">
        <v>1154</v>
      </c>
      <c r="E315" s="166" t="s">
        <v>952</v>
      </c>
      <c r="F315" s="191" t="s">
        <v>88</v>
      </c>
      <c r="G315" s="190">
        <v>2</v>
      </c>
      <c r="H315" s="190">
        <v>1</v>
      </c>
      <c r="I315" s="167">
        <v>398.1</v>
      </c>
      <c r="J315" s="167">
        <v>366.6</v>
      </c>
      <c r="K315" s="190">
        <v>13</v>
      </c>
      <c r="L315" s="205">
        <f>'Приложение 2 КСП 2018-2019 гг'!H316</f>
        <v>543312</v>
      </c>
      <c r="M315" s="368">
        <v>0</v>
      </c>
      <c r="N315" s="368">
        <v>0</v>
      </c>
      <c r="O315" s="368">
        <v>0</v>
      </c>
      <c r="P315" s="368">
        <f t="shared" ref="P315:P317" si="69">L315</f>
        <v>543312</v>
      </c>
      <c r="Q315" s="267">
        <v>0</v>
      </c>
      <c r="R315" s="267">
        <v>0</v>
      </c>
      <c r="S315" s="132" t="s">
        <v>589</v>
      </c>
      <c r="T315" s="126"/>
      <c r="U315" s="127"/>
      <c r="V315" s="296"/>
    </row>
    <row r="316" spans="1:22" ht="9" customHeight="1">
      <c r="A316" s="166">
        <v>245</v>
      </c>
      <c r="B316" s="170" t="s">
        <v>950</v>
      </c>
      <c r="C316" s="174" t="s">
        <v>1155</v>
      </c>
      <c r="D316" s="207" t="s">
        <v>1154</v>
      </c>
      <c r="E316" s="166" t="s">
        <v>611</v>
      </c>
      <c r="F316" s="191" t="s">
        <v>88</v>
      </c>
      <c r="G316" s="190">
        <v>2</v>
      </c>
      <c r="H316" s="190">
        <v>2</v>
      </c>
      <c r="I316" s="167">
        <v>907.9</v>
      </c>
      <c r="J316" s="167">
        <v>844.1</v>
      </c>
      <c r="K316" s="190">
        <v>37</v>
      </c>
      <c r="L316" s="205">
        <f>'Приложение 2 КСП 2018-2019 гг'!H317</f>
        <v>1775466</v>
      </c>
      <c r="M316" s="368">
        <v>0</v>
      </c>
      <c r="N316" s="368">
        <v>0</v>
      </c>
      <c r="O316" s="368">
        <v>0</v>
      </c>
      <c r="P316" s="368">
        <f t="shared" si="69"/>
        <v>1775466</v>
      </c>
      <c r="Q316" s="267">
        <v>0</v>
      </c>
      <c r="R316" s="267">
        <v>0</v>
      </c>
      <c r="S316" s="132" t="s">
        <v>589</v>
      </c>
      <c r="T316" s="126"/>
      <c r="U316" s="127"/>
      <c r="V316" s="296"/>
    </row>
    <row r="317" spans="1:22" ht="9" customHeight="1">
      <c r="A317" s="166">
        <v>246</v>
      </c>
      <c r="B317" s="170" t="s">
        <v>951</v>
      </c>
      <c r="C317" s="174" t="s">
        <v>1155</v>
      </c>
      <c r="D317" s="207" t="s">
        <v>1154</v>
      </c>
      <c r="E317" s="166" t="s">
        <v>591</v>
      </c>
      <c r="F317" s="191" t="s">
        <v>88</v>
      </c>
      <c r="G317" s="190">
        <v>2</v>
      </c>
      <c r="H317" s="190">
        <v>1</v>
      </c>
      <c r="I317" s="167">
        <v>353.8</v>
      </c>
      <c r="J317" s="167">
        <v>335.6</v>
      </c>
      <c r="K317" s="190">
        <v>21</v>
      </c>
      <c r="L317" s="205">
        <f>'Приложение 2 КСП 2018-2019 гг'!H318</f>
        <v>1209516</v>
      </c>
      <c r="M317" s="368">
        <v>0</v>
      </c>
      <c r="N317" s="368">
        <v>0</v>
      </c>
      <c r="O317" s="368">
        <v>0</v>
      </c>
      <c r="P317" s="368">
        <f t="shared" si="69"/>
        <v>1209516</v>
      </c>
      <c r="Q317" s="267">
        <v>0</v>
      </c>
      <c r="R317" s="267">
        <v>0</v>
      </c>
      <c r="S317" s="132" t="s">
        <v>589</v>
      </c>
      <c r="T317" s="126"/>
      <c r="U317" s="127"/>
      <c r="V317" s="296"/>
    </row>
    <row r="318" spans="1:22" ht="36.75" customHeight="1">
      <c r="A318" s="950" t="s">
        <v>12</v>
      </c>
      <c r="B318" s="950"/>
      <c r="C318" s="174"/>
      <c r="D318" s="270"/>
      <c r="E318" s="141" t="s">
        <v>391</v>
      </c>
      <c r="F318" s="141" t="s">
        <v>391</v>
      </c>
      <c r="G318" s="141" t="s">
        <v>391</v>
      </c>
      <c r="H318" s="141" t="s">
        <v>391</v>
      </c>
      <c r="I318" s="362">
        <f>SUM(I315:I317)</f>
        <v>1659.8</v>
      </c>
      <c r="J318" s="362">
        <f t="shared" ref="J318:R318" si="70">SUM(J315:J317)</f>
        <v>1546.3000000000002</v>
      </c>
      <c r="K318" s="362">
        <f t="shared" si="70"/>
        <v>71</v>
      </c>
      <c r="L318" s="362">
        <f t="shared" si="70"/>
        <v>3528294</v>
      </c>
      <c r="M318" s="362">
        <f t="shared" si="70"/>
        <v>0</v>
      </c>
      <c r="N318" s="362">
        <f t="shared" si="70"/>
        <v>0</v>
      </c>
      <c r="O318" s="362">
        <f t="shared" si="70"/>
        <v>0</v>
      </c>
      <c r="P318" s="362">
        <f t="shared" si="70"/>
        <v>3528294</v>
      </c>
      <c r="Q318" s="362">
        <f t="shared" si="70"/>
        <v>0</v>
      </c>
      <c r="R318" s="362">
        <f t="shared" si="70"/>
        <v>0</v>
      </c>
      <c r="S318" s="267"/>
      <c r="T318" s="298"/>
      <c r="U318" s="307"/>
      <c r="V318" s="296"/>
    </row>
    <row r="319" spans="1:22" ht="9" customHeight="1">
      <c r="A319" s="823" t="s">
        <v>1062</v>
      </c>
      <c r="B319" s="823"/>
      <c r="C319" s="823"/>
      <c r="D319" s="823"/>
      <c r="E319" s="823"/>
      <c r="F319" s="823"/>
      <c r="G319" s="823"/>
      <c r="H319" s="823"/>
      <c r="I319" s="823"/>
      <c r="J319" s="823"/>
      <c r="K319" s="823"/>
      <c r="L319" s="823"/>
      <c r="M319" s="823"/>
      <c r="N319" s="823"/>
      <c r="O319" s="823"/>
      <c r="P319" s="823"/>
      <c r="Q319" s="823"/>
      <c r="R319" s="823"/>
      <c r="S319" s="823"/>
      <c r="T319" s="326"/>
      <c r="U319" s="326"/>
      <c r="V319" s="296"/>
    </row>
    <row r="320" spans="1:22" ht="9" customHeight="1">
      <c r="A320" s="270">
        <v>247</v>
      </c>
      <c r="B320" s="270" t="s">
        <v>958</v>
      </c>
      <c r="C320" s="174" t="s">
        <v>1155</v>
      </c>
      <c r="D320" s="207" t="s">
        <v>1154</v>
      </c>
      <c r="E320" s="141" t="s">
        <v>618</v>
      </c>
      <c r="F320" s="141" t="s">
        <v>88</v>
      </c>
      <c r="G320" s="259">
        <v>2</v>
      </c>
      <c r="H320" s="259">
        <v>3</v>
      </c>
      <c r="I320" s="167">
        <v>934.9</v>
      </c>
      <c r="J320" s="167">
        <v>873.5</v>
      </c>
      <c r="K320" s="190">
        <v>27</v>
      </c>
      <c r="L320" s="205">
        <f>'Приложение 2 КСП 2018-2019 гг'!H321</f>
        <v>2790891.4</v>
      </c>
      <c r="M320" s="371">
        <v>0</v>
      </c>
      <c r="N320" s="371">
        <v>0</v>
      </c>
      <c r="O320" s="371">
        <v>0</v>
      </c>
      <c r="P320" s="371">
        <f t="shared" ref="P320" si="71">L320</f>
        <v>2790891.4</v>
      </c>
      <c r="Q320" s="371">
        <v>0</v>
      </c>
      <c r="R320" s="267">
        <v>0</v>
      </c>
      <c r="S320" s="132" t="s">
        <v>589</v>
      </c>
      <c r="T320" s="126"/>
      <c r="U320" s="127"/>
      <c r="V320" s="296"/>
    </row>
    <row r="321" spans="1:22" ht="36.75" customHeight="1">
      <c r="A321" s="950" t="s">
        <v>1063</v>
      </c>
      <c r="B321" s="950"/>
      <c r="C321" s="174"/>
      <c r="D321" s="270"/>
      <c r="E321" s="141" t="s">
        <v>391</v>
      </c>
      <c r="F321" s="141" t="s">
        <v>391</v>
      </c>
      <c r="G321" s="141" t="s">
        <v>391</v>
      </c>
      <c r="H321" s="141" t="s">
        <v>391</v>
      </c>
      <c r="I321" s="362">
        <f>SUM(I320)</f>
        <v>934.9</v>
      </c>
      <c r="J321" s="362">
        <f t="shared" ref="J321:R321" si="72">SUM(J320)</f>
        <v>873.5</v>
      </c>
      <c r="K321" s="362">
        <f t="shared" si="72"/>
        <v>27</v>
      </c>
      <c r="L321" s="362">
        <f t="shared" si="72"/>
        <v>2790891.4</v>
      </c>
      <c r="M321" s="362">
        <f t="shared" si="72"/>
        <v>0</v>
      </c>
      <c r="N321" s="362">
        <f t="shared" si="72"/>
        <v>0</v>
      </c>
      <c r="O321" s="362">
        <f t="shared" si="72"/>
        <v>0</v>
      </c>
      <c r="P321" s="362">
        <f t="shared" si="72"/>
        <v>2790891.4</v>
      </c>
      <c r="Q321" s="362">
        <f t="shared" si="72"/>
        <v>0</v>
      </c>
      <c r="R321" s="362">
        <f t="shared" si="72"/>
        <v>0</v>
      </c>
      <c r="S321" s="267"/>
      <c r="T321" s="298"/>
      <c r="U321" s="307"/>
      <c r="V321" s="296"/>
    </row>
    <row r="322" spans="1:22" ht="9" customHeight="1">
      <c r="A322" s="823" t="s">
        <v>429</v>
      </c>
      <c r="B322" s="823"/>
      <c r="C322" s="823"/>
      <c r="D322" s="823"/>
      <c r="E322" s="823"/>
      <c r="F322" s="823"/>
      <c r="G322" s="823"/>
      <c r="H322" s="823"/>
      <c r="I322" s="823"/>
      <c r="J322" s="823"/>
      <c r="K322" s="823"/>
      <c r="L322" s="823"/>
      <c r="M322" s="823"/>
      <c r="N322" s="823"/>
      <c r="O322" s="823"/>
      <c r="P322" s="823"/>
      <c r="Q322" s="823"/>
      <c r="R322" s="823"/>
      <c r="S322" s="823"/>
      <c r="T322" s="326"/>
      <c r="U322" s="326"/>
      <c r="V322" s="296"/>
    </row>
    <row r="323" spans="1:22" ht="9" customHeight="1">
      <c r="A323" s="268">
        <v>248</v>
      </c>
      <c r="B323" s="156" t="s">
        <v>960</v>
      </c>
      <c r="C323" s="132" t="s">
        <v>1155</v>
      </c>
      <c r="D323" s="207" t="s">
        <v>1154</v>
      </c>
      <c r="E323" s="268" t="s">
        <v>607</v>
      </c>
      <c r="F323" s="268" t="s">
        <v>88</v>
      </c>
      <c r="G323" s="130">
        <v>2</v>
      </c>
      <c r="H323" s="130">
        <v>3</v>
      </c>
      <c r="I323" s="267">
        <v>996.3</v>
      </c>
      <c r="J323" s="267">
        <v>894.2</v>
      </c>
      <c r="K323" s="268">
        <v>41</v>
      </c>
      <c r="L323" s="205">
        <f>'Приложение 2 КСП 2018-2019 гг'!H324</f>
        <v>2170014</v>
      </c>
      <c r="M323" s="371">
        <v>0</v>
      </c>
      <c r="N323" s="371">
        <v>0</v>
      </c>
      <c r="O323" s="371">
        <v>0</v>
      </c>
      <c r="P323" s="371">
        <f t="shared" ref="P323" si="73">L323</f>
        <v>2170014</v>
      </c>
      <c r="Q323" s="371">
        <v>0</v>
      </c>
      <c r="R323" s="267">
        <v>0</v>
      </c>
      <c r="S323" s="132" t="s">
        <v>589</v>
      </c>
      <c r="T323" s="126"/>
      <c r="U323" s="127"/>
      <c r="V323" s="296"/>
    </row>
    <row r="324" spans="1:22" ht="37.5" customHeight="1">
      <c r="A324" s="946" t="s">
        <v>430</v>
      </c>
      <c r="B324" s="946"/>
      <c r="C324" s="132"/>
      <c r="D324" s="265"/>
      <c r="E324" s="141" t="s">
        <v>391</v>
      </c>
      <c r="F324" s="141" t="s">
        <v>391</v>
      </c>
      <c r="G324" s="141" t="s">
        <v>391</v>
      </c>
      <c r="H324" s="141" t="s">
        <v>391</v>
      </c>
      <c r="I324" s="362">
        <f>SUM(I323)</f>
        <v>996.3</v>
      </c>
      <c r="J324" s="362">
        <f t="shared" ref="J324:R324" si="74">SUM(J323)</f>
        <v>894.2</v>
      </c>
      <c r="K324" s="362">
        <f t="shared" si="74"/>
        <v>41</v>
      </c>
      <c r="L324" s="362">
        <f t="shared" si="74"/>
        <v>2170014</v>
      </c>
      <c r="M324" s="362">
        <f t="shared" si="74"/>
        <v>0</v>
      </c>
      <c r="N324" s="362">
        <f t="shared" si="74"/>
        <v>0</v>
      </c>
      <c r="O324" s="362">
        <f t="shared" si="74"/>
        <v>0</v>
      </c>
      <c r="P324" s="362">
        <f t="shared" si="74"/>
        <v>2170014</v>
      </c>
      <c r="Q324" s="362">
        <f t="shared" si="74"/>
        <v>0</v>
      </c>
      <c r="R324" s="362">
        <f t="shared" si="74"/>
        <v>0</v>
      </c>
      <c r="S324" s="267"/>
      <c r="T324" s="124"/>
      <c r="U324" s="127"/>
      <c r="V324" s="296"/>
    </row>
    <row r="325" spans="1:22" ht="9" customHeight="1">
      <c r="A325" s="823" t="s">
        <v>1083</v>
      </c>
      <c r="B325" s="823"/>
      <c r="C325" s="823"/>
      <c r="D325" s="823"/>
      <c r="E325" s="823"/>
      <c r="F325" s="823"/>
      <c r="G325" s="823"/>
      <c r="H325" s="823"/>
      <c r="I325" s="823"/>
      <c r="J325" s="823"/>
      <c r="K325" s="823"/>
      <c r="L325" s="823"/>
      <c r="M325" s="823"/>
      <c r="N325" s="823"/>
      <c r="O325" s="823"/>
      <c r="P325" s="823"/>
      <c r="Q325" s="823"/>
      <c r="R325" s="823"/>
      <c r="S325" s="823"/>
      <c r="T325" s="326"/>
      <c r="U325" s="326"/>
      <c r="V325" s="296"/>
    </row>
    <row r="326" spans="1:22" ht="9" customHeight="1">
      <c r="A326" s="265">
        <v>249</v>
      </c>
      <c r="B326" s="265" t="s">
        <v>962</v>
      </c>
      <c r="C326" s="355" t="s">
        <v>1155</v>
      </c>
      <c r="D326" s="207" t="s">
        <v>1154</v>
      </c>
      <c r="E326" s="141" t="s">
        <v>612</v>
      </c>
      <c r="F326" s="141" t="s">
        <v>88</v>
      </c>
      <c r="G326" s="259">
        <v>2</v>
      </c>
      <c r="H326" s="259">
        <v>2</v>
      </c>
      <c r="I326" s="267">
        <v>311.3</v>
      </c>
      <c r="J326" s="267">
        <v>297.10000000000002</v>
      </c>
      <c r="K326" s="268">
        <v>12</v>
      </c>
      <c r="L326" s="205">
        <f>'Приложение 2 КСП 2018-2019 гг'!H327</f>
        <v>1067220</v>
      </c>
      <c r="M326" s="371">
        <v>0</v>
      </c>
      <c r="N326" s="371">
        <v>0</v>
      </c>
      <c r="O326" s="371">
        <v>0</v>
      </c>
      <c r="P326" s="371">
        <f t="shared" ref="P326" si="75">L326</f>
        <v>1067220</v>
      </c>
      <c r="Q326" s="371">
        <v>0</v>
      </c>
      <c r="R326" s="267">
        <v>0</v>
      </c>
      <c r="S326" s="132" t="s">
        <v>589</v>
      </c>
      <c r="T326" s="126"/>
      <c r="U326" s="127"/>
      <c r="V326" s="296"/>
    </row>
    <row r="327" spans="1:22" ht="39" customHeight="1">
      <c r="A327" s="946" t="s">
        <v>1084</v>
      </c>
      <c r="B327" s="946"/>
      <c r="C327" s="132"/>
      <c r="D327" s="268"/>
      <c r="E327" s="141" t="s">
        <v>391</v>
      </c>
      <c r="F327" s="141" t="s">
        <v>391</v>
      </c>
      <c r="G327" s="141" t="s">
        <v>391</v>
      </c>
      <c r="H327" s="141" t="s">
        <v>391</v>
      </c>
      <c r="I327" s="362">
        <f>SUM(I326)</f>
        <v>311.3</v>
      </c>
      <c r="J327" s="362">
        <f t="shared" ref="J327:R327" si="76">SUM(J326)</f>
        <v>297.10000000000002</v>
      </c>
      <c r="K327" s="362">
        <f t="shared" si="76"/>
        <v>12</v>
      </c>
      <c r="L327" s="362">
        <f t="shared" si="76"/>
        <v>1067220</v>
      </c>
      <c r="M327" s="362">
        <f t="shared" si="76"/>
        <v>0</v>
      </c>
      <c r="N327" s="362">
        <f t="shared" si="76"/>
        <v>0</v>
      </c>
      <c r="O327" s="362">
        <f t="shared" si="76"/>
        <v>0</v>
      </c>
      <c r="P327" s="362">
        <f t="shared" si="76"/>
        <v>1067220</v>
      </c>
      <c r="Q327" s="362">
        <f t="shared" si="76"/>
        <v>0</v>
      </c>
      <c r="R327" s="362">
        <f t="shared" si="76"/>
        <v>0</v>
      </c>
      <c r="S327" s="267"/>
      <c r="T327" s="124"/>
      <c r="U327" s="127"/>
      <c r="V327" s="296"/>
    </row>
    <row r="328" spans="1:22" ht="9" customHeight="1">
      <c r="A328" s="821" t="s">
        <v>29</v>
      </c>
      <c r="B328" s="821"/>
      <c r="C328" s="821"/>
      <c r="D328" s="821"/>
      <c r="E328" s="821"/>
      <c r="F328" s="821"/>
      <c r="G328" s="821"/>
      <c r="H328" s="821"/>
      <c r="I328" s="821"/>
      <c r="J328" s="821"/>
      <c r="K328" s="821"/>
      <c r="L328" s="821"/>
      <c r="M328" s="821"/>
      <c r="N328" s="821"/>
      <c r="O328" s="821"/>
      <c r="P328" s="821"/>
      <c r="Q328" s="821"/>
      <c r="R328" s="821"/>
      <c r="S328" s="821"/>
      <c r="T328" s="297"/>
      <c r="U328" s="297"/>
      <c r="V328" s="296"/>
    </row>
    <row r="329" spans="1:22" ht="9" customHeight="1">
      <c r="A329" s="268">
        <v>250</v>
      </c>
      <c r="B329" s="156" t="s">
        <v>963</v>
      </c>
      <c r="C329" s="132" t="s">
        <v>1155</v>
      </c>
      <c r="D329" s="207" t="s">
        <v>1154</v>
      </c>
      <c r="E329" s="268" t="s">
        <v>613</v>
      </c>
      <c r="F329" s="268" t="s">
        <v>88</v>
      </c>
      <c r="G329" s="130">
        <v>2</v>
      </c>
      <c r="H329" s="130">
        <v>1</v>
      </c>
      <c r="I329" s="267">
        <v>862.2</v>
      </c>
      <c r="J329" s="267">
        <v>656</v>
      </c>
      <c r="K329" s="130">
        <v>49</v>
      </c>
      <c r="L329" s="205">
        <f>'Приложение 2 КСП 2018-2019 гг'!H330</f>
        <v>2267034</v>
      </c>
      <c r="M329" s="371">
        <v>0</v>
      </c>
      <c r="N329" s="371">
        <v>0</v>
      </c>
      <c r="O329" s="371">
        <v>0</v>
      </c>
      <c r="P329" s="371">
        <f t="shared" ref="P329:P331" si="77">L329</f>
        <v>2267034</v>
      </c>
      <c r="Q329" s="371">
        <v>0</v>
      </c>
      <c r="R329" s="267">
        <v>0</v>
      </c>
      <c r="S329" s="132" t="s">
        <v>589</v>
      </c>
      <c r="T329" s="126"/>
      <c r="U329" s="127"/>
      <c r="V329" s="296"/>
    </row>
    <row r="330" spans="1:22" ht="9" customHeight="1">
      <c r="A330" s="268">
        <v>251</v>
      </c>
      <c r="B330" s="156" t="s">
        <v>964</v>
      </c>
      <c r="C330" s="132" t="s">
        <v>1155</v>
      </c>
      <c r="D330" s="207" t="s">
        <v>1154</v>
      </c>
      <c r="E330" s="268" t="s">
        <v>107</v>
      </c>
      <c r="F330" s="268" t="s">
        <v>88</v>
      </c>
      <c r="G330" s="130">
        <v>2</v>
      </c>
      <c r="H330" s="130">
        <v>1</v>
      </c>
      <c r="I330" s="267">
        <v>309</v>
      </c>
      <c r="J330" s="267">
        <v>284.5</v>
      </c>
      <c r="K330" s="130">
        <v>9</v>
      </c>
      <c r="L330" s="205">
        <f>'Приложение 2 КСП 2018-2019 гг'!H331</f>
        <v>853776</v>
      </c>
      <c r="M330" s="371">
        <v>0</v>
      </c>
      <c r="N330" s="371">
        <v>0</v>
      </c>
      <c r="O330" s="371">
        <v>0</v>
      </c>
      <c r="P330" s="371">
        <f t="shared" si="77"/>
        <v>853776</v>
      </c>
      <c r="Q330" s="371">
        <v>0</v>
      </c>
      <c r="R330" s="267">
        <v>0</v>
      </c>
      <c r="S330" s="132" t="s">
        <v>589</v>
      </c>
      <c r="T330" s="126"/>
      <c r="U330" s="127"/>
      <c r="V330" s="296"/>
    </row>
    <row r="331" spans="1:22" ht="9" customHeight="1">
      <c r="A331" s="268">
        <v>252</v>
      </c>
      <c r="B331" s="156" t="s">
        <v>965</v>
      </c>
      <c r="C331" s="132" t="s">
        <v>1155</v>
      </c>
      <c r="D331" s="207" t="s">
        <v>1154</v>
      </c>
      <c r="E331" s="268" t="s">
        <v>615</v>
      </c>
      <c r="F331" s="268" t="s">
        <v>88</v>
      </c>
      <c r="G331" s="130">
        <v>2</v>
      </c>
      <c r="H331" s="130">
        <v>2</v>
      </c>
      <c r="I331" s="267">
        <v>574</v>
      </c>
      <c r="J331" s="267">
        <v>525.6</v>
      </c>
      <c r="K331" s="130">
        <v>21</v>
      </c>
      <c r="L331" s="205">
        <f>'Приложение 2 КСП 2018-2019 гг'!H332</f>
        <v>1578192</v>
      </c>
      <c r="M331" s="371">
        <v>0</v>
      </c>
      <c r="N331" s="371">
        <v>0</v>
      </c>
      <c r="O331" s="371">
        <v>0</v>
      </c>
      <c r="P331" s="371">
        <f t="shared" si="77"/>
        <v>1578192</v>
      </c>
      <c r="Q331" s="371">
        <v>0</v>
      </c>
      <c r="R331" s="267">
        <v>0</v>
      </c>
      <c r="S331" s="132" t="s">
        <v>589</v>
      </c>
      <c r="T331" s="126"/>
      <c r="U331" s="127"/>
      <c r="V331" s="296"/>
    </row>
    <row r="332" spans="1:22" ht="36" customHeight="1">
      <c r="A332" s="946" t="s">
        <v>30</v>
      </c>
      <c r="B332" s="946"/>
      <c r="C332" s="132"/>
      <c r="D332" s="265"/>
      <c r="E332" s="141" t="s">
        <v>391</v>
      </c>
      <c r="F332" s="141" t="s">
        <v>391</v>
      </c>
      <c r="G332" s="141" t="s">
        <v>391</v>
      </c>
      <c r="H332" s="141" t="s">
        <v>391</v>
      </c>
      <c r="I332" s="362">
        <f>SUM(I329:I331)</f>
        <v>1745.2</v>
      </c>
      <c r="J332" s="362">
        <f t="shared" ref="J332:S332" si="78">SUM(J329:J331)</f>
        <v>1466.1</v>
      </c>
      <c r="K332" s="362">
        <f t="shared" si="78"/>
        <v>79</v>
      </c>
      <c r="L332" s="362">
        <f t="shared" si="78"/>
        <v>4699002</v>
      </c>
      <c r="M332" s="362">
        <f t="shared" si="78"/>
        <v>0</v>
      </c>
      <c r="N332" s="362">
        <f t="shared" si="78"/>
        <v>0</v>
      </c>
      <c r="O332" s="362">
        <f t="shared" si="78"/>
        <v>0</v>
      </c>
      <c r="P332" s="362">
        <f t="shared" si="78"/>
        <v>4699002</v>
      </c>
      <c r="Q332" s="362">
        <f t="shared" si="78"/>
        <v>0</v>
      </c>
      <c r="R332" s="362">
        <f t="shared" si="78"/>
        <v>0</v>
      </c>
      <c r="S332" s="362">
        <f t="shared" si="78"/>
        <v>0</v>
      </c>
      <c r="T332" s="126"/>
      <c r="U332" s="127"/>
      <c r="V332" s="296"/>
    </row>
    <row r="333" spans="1:22" ht="9" customHeight="1">
      <c r="A333" s="821" t="s">
        <v>35</v>
      </c>
      <c r="B333" s="821"/>
      <c r="C333" s="821"/>
      <c r="D333" s="821"/>
      <c r="E333" s="821"/>
      <c r="F333" s="821"/>
      <c r="G333" s="821"/>
      <c r="H333" s="821"/>
      <c r="I333" s="821"/>
      <c r="J333" s="821"/>
      <c r="K333" s="821"/>
      <c r="L333" s="821"/>
      <c r="M333" s="821"/>
      <c r="N333" s="821"/>
      <c r="O333" s="821"/>
      <c r="P333" s="821"/>
      <c r="Q333" s="821"/>
      <c r="R333" s="821"/>
      <c r="S333" s="821"/>
      <c r="T333" s="297"/>
      <c r="U333" s="297"/>
      <c r="V333" s="296"/>
    </row>
    <row r="334" spans="1:22" ht="9" customHeight="1">
      <c r="A334" s="268">
        <v>253</v>
      </c>
      <c r="B334" s="156" t="s">
        <v>968</v>
      </c>
      <c r="C334" s="132" t="s">
        <v>1155</v>
      </c>
      <c r="D334" s="207" t="s">
        <v>1154</v>
      </c>
      <c r="E334" s="268" t="s">
        <v>597</v>
      </c>
      <c r="F334" s="268" t="s">
        <v>88</v>
      </c>
      <c r="G334" s="130">
        <v>2</v>
      </c>
      <c r="H334" s="130">
        <v>1</v>
      </c>
      <c r="I334" s="267">
        <v>465</v>
      </c>
      <c r="J334" s="267">
        <v>360</v>
      </c>
      <c r="K334" s="130">
        <v>32</v>
      </c>
      <c r="L334" s="205">
        <f>'Приложение 2 КСП 2018-2019 гг'!H335</f>
        <v>1500300</v>
      </c>
      <c r="M334" s="371">
        <v>0</v>
      </c>
      <c r="N334" s="371">
        <v>0</v>
      </c>
      <c r="O334" s="371">
        <v>0</v>
      </c>
      <c r="P334" s="371">
        <f t="shared" ref="P334:P340" si="79">L334</f>
        <v>1500300</v>
      </c>
      <c r="Q334" s="371">
        <v>0</v>
      </c>
      <c r="R334" s="267">
        <v>0</v>
      </c>
      <c r="S334" s="132" t="s">
        <v>589</v>
      </c>
      <c r="T334" s="126"/>
      <c r="U334" s="127"/>
      <c r="V334" s="296"/>
    </row>
    <row r="335" spans="1:22" ht="9" customHeight="1">
      <c r="A335" s="268">
        <v>254</v>
      </c>
      <c r="B335" s="156" t="s">
        <v>969</v>
      </c>
      <c r="C335" s="132" t="s">
        <v>1155</v>
      </c>
      <c r="D335" s="207" t="s">
        <v>1154</v>
      </c>
      <c r="E335" s="268" t="s">
        <v>616</v>
      </c>
      <c r="F335" s="268" t="s">
        <v>88</v>
      </c>
      <c r="G335" s="130">
        <v>2</v>
      </c>
      <c r="H335" s="130">
        <v>1</v>
      </c>
      <c r="I335" s="267">
        <v>465</v>
      </c>
      <c r="J335" s="267">
        <v>368</v>
      </c>
      <c r="K335" s="130">
        <v>13</v>
      </c>
      <c r="L335" s="205">
        <f>'Приложение 2 КСП 2018-2019 гг'!H336</f>
        <v>1143562</v>
      </c>
      <c r="M335" s="371">
        <v>0</v>
      </c>
      <c r="N335" s="371">
        <v>0</v>
      </c>
      <c r="O335" s="371">
        <v>0</v>
      </c>
      <c r="P335" s="371">
        <f t="shared" si="79"/>
        <v>1143562</v>
      </c>
      <c r="Q335" s="371">
        <v>0</v>
      </c>
      <c r="R335" s="267">
        <v>0</v>
      </c>
      <c r="S335" s="132" t="s">
        <v>589</v>
      </c>
      <c r="T335" s="126"/>
      <c r="U335" s="127"/>
      <c r="V335" s="296"/>
    </row>
    <row r="336" spans="1:22" ht="9" customHeight="1">
      <c r="A336" s="372">
        <v>255</v>
      </c>
      <c r="B336" s="156" t="s">
        <v>970</v>
      </c>
      <c r="C336" s="132" t="s">
        <v>1155</v>
      </c>
      <c r="D336" s="207" t="s">
        <v>1154</v>
      </c>
      <c r="E336" s="268" t="s">
        <v>611</v>
      </c>
      <c r="F336" s="268" t="s">
        <v>88</v>
      </c>
      <c r="G336" s="130">
        <v>2</v>
      </c>
      <c r="H336" s="130">
        <v>1</v>
      </c>
      <c r="I336" s="267">
        <v>445.7</v>
      </c>
      <c r="J336" s="267">
        <v>373.1</v>
      </c>
      <c r="K336" s="130">
        <v>15</v>
      </c>
      <c r="L336" s="205">
        <f>'Приложение 2 КСП 2018-2019 гг'!H337</f>
        <v>1183644</v>
      </c>
      <c r="M336" s="371">
        <v>0</v>
      </c>
      <c r="N336" s="371">
        <v>0</v>
      </c>
      <c r="O336" s="371">
        <v>0</v>
      </c>
      <c r="P336" s="371">
        <f t="shared" si="79"/>
        <v>1183644</v>
      </c>
      <c r="Q336" s="371">
        <v>0</v>
      </c>
      <c r="R336" s="267">
        <v>0</v>
      </c>
      <c r="S336" s="132" t="s">
        <v>589</v>
      </c>
      <c r="T336" s="126"/>
      <c r="U336" s="127"/>
      <c r="V336" s="296"/>
    </row>
    <row r="337" spans="1:22" ht="9" customHeight="1">
      <c r="A337" s="372">
        <v>256</v>
      </c>
      <c r="B337" s="156" t="s">
        <v>971</v>
      </c>
      <c r="C337" s="132" t="s">
        <v>1155</v>
      </c>
      <c r="D337" s="207" t="s">
        <v>1154</v>
      </c>
      <c r="E337" s="268" t="s">
        <v>748</v>
      </c>
      <c r="F337" s="268" t="s">
        <v>88</v>
      </c>
      <c r="G337" s="130">
        <v>2</v>
      </c>
      <c r="H337" s="130">
        <v>1</v>
      </c>
      <c r="I337" s="267">
        <v>356.9</v>
      </c>
      <c r="J337" s="267">
        <v>327.7</v>
      </c>
      <c r="K337" s="130">
        <v>14</v>
      </c>
      <c r="L337" s="205">
        <f>'Приложение 2 КСП 2018-2019 гг'!H338</f>
        <v>1164563.3999999999</v>
      </c>
      <c r="M337" s="371">
        <v>0</v>
      </c>
      <c r="N337" s="371">
        <v>0</v>
      </c>
      <c r="O337" s="371">
        <v>0</v>
      </c>
      <c r="P337" s="371">
        <f t="shared" si="79"/>
        <v>1164563.3999999999</v>
      </c>
      <c r="Q337" s="371">
        <v>0</v>
      </c>
      <c r="R337" s="267">
        <v>0</v>
      </c>
      <c r="S337" s="132" t="s">
        <v>589</v>
      </c>
      <c r="T337" s="126"/>
      <c r="U337" s="127"/>
      <c r="V337" s="296"/>
    </row>
    <row r="338" spans="1:22" ht="9" customHeight="1">
      <c r="A338" s="372">
        <v>257</v>
      </c>
      <c r="B338" s="156" t="s">
        <v>972</v>
      </c>
      <c r="C338" s="132" t="s">
        <v>1155</v>
      </c>
      <c r="D338" s="207" t="s">
        <v>1154</v>
      </c>
      <c r="E338" s="268" t="s">
        <v>797</v>
      </c>
      <c r="F338" s="268" t="s">
        <v>88</v>
      </c>
      <c r="G338" s="130">
        <v>1</v>
      </c>
      <c r="H338" s="130">
        <v>1</v>
      </c>
      <c r="I338" s="267">
        <v>146.5</v>
      </c>
      <c r="J338" s="267">
        <v>136.6</v>
      </c>
      <c r="K338" s="130">
        <v>6</v>
      </c>
      <c r="L338" s="205">
        <f>'Приложение 2 КСП 2018-2019 гг'!H339</f>
        <v>478632</v>
      </c>
      <c r="M338" s="371">
        <v>0</v>
      </c>
      <c r="N338" s="371">
        <v>0</v>
      </c>
      <c r="O338" s="371">
        <v>0</v>
      </c>
      <c r="P338" s="371">
        <f t="shared" si="79"/>
        <v>478632</v>
      </c>
      <c r="Q338" s="371">
        <v>0</v>
      </c>
      <c r="R338" s="267">
        <v>0</v>
      </c>
      <c r="S338" s="132" t="s">
        <v>589</v>
      </c>
      <c r="T338" s="126"/>
      <c r="U338" s="127"/>
      <c r="V338" s="296"/>
    </row>
    <row r="339" spans="1:22" ht="9" customHeight="1">
      <c r="A339" s="372">
        <v>258</v>
      </c>
      <c r="B339" s="156" t="s">
        <v>973</v>
      </c>
      <c r="C339" s="132" t="s">
        <v>1155</v>
      </c>
      <c r="D339" s="207" t="s">
        <v>1154</v>
      </c>
      <c r="E339" s="268" t="s">
        <v>616</v>
      </c>
      <c r="F339" s="268" t="s">
        <v>88</v>
      </c>
      <c r="G339" s="130">
        <v>1</v>
      </c>
      <c r="H339" s="130">
        <v>2</v>
      </c>
      <c r="I339" s="267">
        <v>390.4</v>
      </c>
      <c r="J339" s="267">
        <v>340.4</v>
      </c>
      <c r="K339" s="130">
        <v>22</v>
      </c>
      <c r="L339" s="205">
        <f>'Приложение 2 КСП 2018-2019 гг'!H340</f>
        <v>708246</v>
      </c>
      <c r="M339" s="371">
        <v>0</v>
      </c>
      <c r="N339" s="371">
        <v>0</v>
      </c>
      <c r="O339" s="371">
        <v>0</v>
      </c>
      <c r="P339" s="371">
        <f t="shared" si="79"/>
        <v>708246</v>
      </c>
      <c r="Q339" s="371">
        <v>0</v>
      </c>
      <c r="R339" s="267">
        <v>0</v>
      </c>
      <c r="S339" s="132" t="s">
        <v>589</v>
      </c>
      <c r="T339" s="126"/>
      <c r="U339" s="127"/>
      <c r="V339" s="296"/>
    </row>
    <row r="340" spans="1:22" ht="9" customHeight="1">
      <c r="A340" s="372">
        <v>259</v>
      </c>
      <c r="B340" s="156" t="s">
        <v>974</v>
      </c>
      <c r="C340" s="132" t="s">
        <v>1155</v>
      </c>
      <c r="D340" s="372" t="s">
        <v>1154</v>
      </c>
      <c r="E340" s="372" t="s">
        <v>607</v>
      </c>
      <c r="F340" s="372" t="s">
        <v>88</v>
      </c>
      <c r="G340" s="130">
        <v>2</v>
      </c>
      <c r="H340" s="130">
        <v>1</v>
      </c>
      <c r="I340" s="371">
        <v>731.52</v>
      </c>
      <c r="J340" s="371">
        <v>601.9</v>
      </c>
      <c r="K340" s="130">
        <v>54</v>
      </c>
      <c r="L340" s="205">
        <f>'Приложение 2 КСП 2018-2019 гг'!H341</f>
        <v>1005774</v>
      </c>
      <c r="M340" s="371">
        <v>0</v>
      </c>
      <c r="N340" s="371">
        <v>0</v>
      </c>
      <c r="O340" s="371">
        <v>0</v>
      </c>
      <c r="P340" s="371">
        <f t="shared" si="79"/>
        <v>1005774</v>
      </c>
      <c r="Q340" s="371">
        <v>0</v>
      </c>
      <c r="R340" s="371">
        <v>0</v>
      </c>
      <c r="S340" s="132" t="s">
        <v>589</v>
      </c>
      <c r="T340" s="126"/>
      <c r="U340" s="127"/>
      <c r="V340" s="296"/>
    </row>
    <row r="341" spans="1:22" ht="39.75" customHeight="1">
      <c r="A341" s="946" t="s">
        <v>36</v>
      </c>
      <c r="B341" s="946"/>
      <c r="C341" s="132"/>
      <c r="D341" s="265"/>
      <c r="E341" s="141" t="s">
        <v>391</v>
      </c>
      <c r="F341" s="141" t="s">
        <v>391</v>
      </c>
      <c r="G341" s="141" t="s">
        <v>391</v>
      </c>
      <c r="H341" s="141" t="s">
        <v>391</v>
      </c>
      <c r="I341" s="362">
        <f>SUM(I334:I340)</f>
        <v>3001.02</v>
      </c>
      <c r="J341" s="362">
        <f t="shared" ref="J341:S341" si="80">SUM(J334:J340)</f>
        <v>2507.6999999999998</v>
      </c>
      <c r="K341" s="362">
        <f t="shared" si="80"/>
        <v>156</v>
      </c>
      <c r="L341" s="362">
        <f t="shared" si="80"/>
        <v>7184721.4000000004</v>
      </c>
      <c r="M341" s="362">
        <f t="shared" si="80"/>
        <v>0</v>
      </c>
      <c r="N341" s="362">
        <f t="shared" si="80"/>
        <v>0</v>
      </c>
      <c r="O341" s="362">
        <f t="shared" si="80"/>
        <v>0</v>
      </c>
      <c r="P341" s="362">
        <f t="shared" si="80"/>
        <v>7184721.4000000004</v>
      </c>
      <c r="Q341" s="362">
        <f t="shared" si="80"/>
        <v>0</v>
      </c>
      <c r="R341" s="362">
        <f t="shared" si="80"/>
        <v>0</v>
      </c>
      <c r="S341" s="362">
        <f t="shared" si="80"/>
        <v>0</v>
      </c>
      <c r="T341" s="126"/>
      <c r="U341" s="127"/>
      <c r="V341" s="296"/>
    </row>
    <row r="342" spans="1:22" ht="9" customHeight="1">
      <c r="A342" s="821" t="s">
        <v>40</v>
      </c>
      <c r="B342" s="821"/>
      <c r="C342" s="821"/>
      <c r="D342" s="821"/>
      <c r="E342" s="821"/>
      <c r="F342" s="821"/>
      <c r="G342" s="821"/>
      <c r="H342" s="821"/>
      <c r="I342" s="821"/>
      <c r="J342" s="821"/>
      <c r="K342" s="821"/>
      <c r="L342" s="821"/>
      <c r="M342" s="821"/>
      <c r="N342" s="821"/>
      <c r="O342" s="821"/>
      <c r="P342" s="821"/>
      <c r="Q342" s="821"/>
      <c r="R342" s="821"/>
      <c r="S342" s="821"/>
      <c r="T342" s="297"/>
      <c r="U342" s="297"/>
      <c r="V342" s="296"/>
    </row>
    <row r="343" spans="1:22" ht="9" customHeight="1">
      <c r="A343" s="268">
        <v>260</v>
      </c>
      <c r="B343" s="156" t="s">
        <v>980</v>
      </c>
      <c r="C343" s="132" t="s">
        <v>1155</v>
      </c>
      <c r="D343" s="207" t="s">
        <v>1154</v>
      </c>
      <c r="E343" s="268" t="s">
        <v>749</v>
      </c>
      <c r="F343" s="268" t="s">
        <v>776</v>
      </c>
      <c r="G343" s="130">
        <v>2</v>
      </c>
      <c r="H343" s="130">
        <v>2</v>
      </c>
      <c r="I343" s="267">
        <v>412.31</v>
      </c>
      <c r="J343" s="267">
        <v>366.74</v>
      </c>
      <c r="K343" s="130">
        <v>23</v>
      </c>
      <c r="L343" s="205">
        <f>'Приложение 2 КСП 2018-2019 гг'!H344</f>
        <v>1106028</v>
      </c>
      <c r="M343" s="371">
        <v>0</v>
      </c>
      <c r="N343" s="371">
        <v>0</v>
      </c>
      <c r="O343" s="371">
        <v>0</v>
      </c>
      <c r="P343" s="371">
        <f t="shared" ref="P343" si="81">L343</f>
        <v>1106028</v>
      </c>
      <c r="Q343" s="371">
        <v>0</v>
      </c>
      <c r="R343" s="267">
        <v>0</v>
      </c>
      <c r="S343" s="132" t="s">
        <v>589</v>
      </c>
      <c r="T343" s="126"/>
      <c r="U343" s="127"/>
      <c r="V343" s="296"/>
    </row>
    <row r="344" spans="1:22" ht="48.75" customHeight="1">
      <c r="A344" s="946" t="s">
        <v>39</v>
      </c>
      <c r="B344" s="946"/>
      <c r="C344" s="132"/>
      <c r="D344" s="265"/>
      <c r="E344" s="141" t="s">
        <v>391</v>
      </c>
      <c r="F344" s="141" t="s">
        <v>391</v>
      </c>
      <c r="G344" s="141" t="s">
        <v>391</v>
      </c>
      <c r="H344" s="141" t="s">
        <v>391</v>
      </c>
      <c r="I344" s="362">
        <f>SUM(I343)</f>
        <v>412.31</v>
      </c>
      <c r="J344" s="362">
        <f t="shared" ref="J344:S344" si="82">SUM(J343)</f>
        <v>366.74</v>
      </c>
      <c r="K344" s="362">
        <f t="shared" si="82"/>
        <v>23</v>
      </c>
      <c r="L344" s="362">
        <f t="shared" si="82"/>
        <v>1106028</v>
      </c>
      <c r="M344" s="362">
        <f t="shared" si="82"/>
        <v>0</v>
      </c>
      <c r="N344" s="362">
        <f t="shared" si="82"/>
        <v>0</v>
      </c>
      <c r="O344" s="362">
        <f t="shared" si="82"/>
        <v>0</v>
      </c>
      <c r="P344" s="362">
        <f t="shared" si="82"/>
        <v>1106028</v>
      </c>
      <c r="Q344" s="362">
        <f t="shared" si="82"/>
        <v>0</v>
      </c>
      <c r="R344" s="362">
        <f t="shared" si="82"/>
        <v>0</v>
      </c>
      <c r="S344" s="362">
        <f t="shared" si="82"/>
        <v>0</v>
      </c>
      <c r="T344" s="126"/>
      <c r="U344" s="127"/>
      <c r="V344" s="296"/>
    </row>
    <row r="345" spans="1:22" ht="9" customHeight="1">
      <c r="A345" s="821" t="s">
        <v>45</v>
      </c>
      <c r="B345" s="821"/>
      <c r="C345" s="821"/>
      <c r="D345" s="821"/>
      <c r="E345" s="821"/>
      <c r="F345" s="821"/>
      <c r="G345" s="821"/>
      <c r="H345" s="821"/>
      <c r="I345" s="821"/>
      <c r="J345" s="821"/>
      <c r="K345" s="821"/>
      <c r="L345" s="821"/>
      <c r="M345" s="821"/>
      <c r="N345" s="821"/>
      <c r="O345" s="821"/>
      <c r="P345" s="821"/>
      <c r="Q345" s="821"/>
      <c r="R345" s="821"/>
      <c r="S345" s="821"/>
      <c r="T345" s="297"/>
      <c r="U345" s="297"/>
      <c r="V345" s="296"/>
    </row>
    <row r="346" spans="1:22" ht="9" customHeight="1">
      <c r="A346" s="268">
        <v>261</v>
      </c>
      <c r="B346" s="156" t="s">
        <v>982</v>
      </c>
      <c r="C346" s="132" t="s">
        <v>1155</v>
      </c>
      <c r="D346" s="207" t="s">
        <v>1154</v>
      </c>
      <c r="E346" s="268" t="s">
        <v>611</v>
      </c>
      <c r="F346" s="268" t="s">
        <v>88</v>
      </c>
      <c r="G346" s="130">
        <v>4</v>
      </c>
      <c r="H346" s="130">
        <v>2</v>
      </c>
      <c r="I346" s="267">
        <v>1383</v>
      </c>
      <c r="J346" s="267">
        <v>1289.5999999999999</v>
      </c>
      <c r="K346" s="133">
        <v>56</v>
      </c>
      <c r="L346" s="205">
        <f>'Приложение 2 КСП 2018-2019 гг'!H347</f>
        <v>1487640</v>
      </c>
      <c r="M346" s="371">
        <v>0</v>
      </c>
      <c r="N346" s="371">
        <v>0</v>
      </c>
      <c r="O346" s="371">
        <v>0</v>
      </c>
      <c r="P346" s="371">
        <f t="shared" ref="P346:P349" si="83">L346</f>
        <v>1487640</v>
      </c>
      <c r="Q346" s="371">
        <v>0</v>
      </c>
      <c r="R346" s="267">
        <v>0</v>
      </c>
      <c r="S346" s="132" t="s">
        <v>589</v>
      </c>
      <c r="T346" s="126"/>
      <c r="U346" s="127"/>
      <c r="V346" s="296"/>
    </row>
    <row r="347" spans="1:22" ht="9" customHeight="1">
      <c r="A347" s="268">
        <v>262</v>
      </c>
      <c r="B347" s="156" t="s">
        <v>983</v>
      </c>
      <c r="C347" s="132" t="s">
        <v>1155</v>
      </c>
      <c r="D347" s="207" t="s">
        <v>1154</v>
      </c>
      <c r="E347" s="268" t="s">
        <v>607</v>
      </c>
      <c r="F347" s="268" t="s">
        <v>88</v>
      </c>
      <c r="G347" s="130">
        <v>5</v>
      </c>
      <c r="H347" s="130">
        <v>4</v>
      </c>
      <c r="I347" s="267">
        <v>2862.5</v>
      </c>
      <c r="J347" s="267">
        <v>2562</v>
      </c>
      <c r="K347" s="133">
        <v>88</v>
      </c>
      <c r="L347" s="205">
        <f>'Приложение 2 КСП 2018-2019 гг'!H348</f>
        <v>2450490</v>
      </c>
      <c r="M347" s="371">
        <v>0</v>
      </c>
      <c r="N347" s="371">
        <v>0</v>
      </c>
      <c r="O347" s="371">
        <v>0</v>
      </c>
      <c r="P347" s="371">
        <f t="shared" si="83"/>
        <v>2450490</v>
      </c>
      <c r="Q347" s="371">
        <v>0</v>
      </c>
      <c r="R347" s="267">
        <v>0</v>
      </c>
      <c r="S347" s="132" t="s">
        <v>589</v>
      </c>
      <c r="T347" s="126"/>
      <c r="U347" s="127"/>
      <c r="V347" s="296"/>
    </row>
    <row r="348" spans="1:22" ht="9" customHeight="1">
      <c r="A348" s="372">
        <v>263</v>
      </c>
      <c r="B348" s="156" t="s">
        <v>984</v>
      </c>
      <c r="C348" s="132" t="s">
        <v>1155</v>
      </c>
      <c r="D348" s="207" t="s">
        <v>1154</v>
      </c>
      <c r="E348" s="268" t="s">
        <v>749</v>
      </c>
      <c r="F348" s="268" t="s">
        <v>88</v>
      </c>
      <c r="G348" s="130">
        <v>2</v>
      </c>
      <c r="H348" s="130">
        <v>1</v>
      </c>
      <c r="I348" s="267">
        <v>241.2</v>
      </c>
      <c r="J348" s="267">
        <v>163.6</v>
      </c>
      <c r="K348" s="133">
        <v>6</v>
      </c>
      <c r="L348" s="205">
        <f>'Приложение 2 КСП 2018-2019 гг'!H349</f>
        <v>572418</v>
      </c>
      <c r="M348" s="371">
        <v>0</v>
      </c>
      <c r="N348" s="371">
        <v>0</v>
      </c>
      <c r="O348" s="371">
        <v>0</v>
      </c>
      <c r="P348" s="371">
        <f t="shared" si="83"/>
        <v>572418</v>
      </c>
      <c r="Q348" s="371">
        <v>0</v>
      </c>
      <c r="R348" s="267">
        <v>0</v>
      </c>
      <c r="S348" s="132" t="s">
        <v>589</v>
      </c>
      <c r="T348" s="126"/>
      <c r="U348" s="127"/>
      <c r="V348" s="296"/>
    </row>
    <row r="349" spans="1:22" ht="9" customHeight="1">
      <c r="A349" s="372">
        <v>264</v>
      </c>
      <c r="B349" s="156" t="s">
        <v>985</v>
      </c>
      <c r="C349" s="132" t="s">
        <v>1155</v>
      </c>
      <c r="D349" s="207" t="s">
        <v>1154</v>
      </c>
      <c r="E349" s="268" t="s">
        <v>598</v>
      </c>
      <c r="F349" s="268" t="s">
        <v>88</v>
      </c>
      <c r="G349" s="130">
        <v>3</v>
      </c>
      <c r="H349" s="130">
        <v>1</v>
      </c>
      <c r="I349" s="267">
        <v>397.8</v>
      </c>
      <c r="J349" s="267">
        <v>363.7</v>
      </c>
      <c r="K349" s="133">
        <v>36</v>
      </c>
      <c r="L349" s="205">
        <f>'Приложение 2 КСП 2018-2019 гг'!H350</f>
        <v>746382.58</v>
      </c>
      <c r="M349" s="371">
        <v>0</v>
      </c>
      <c r="N349" s="371">
        <v>0</v>
      </c>
      <c r="O349" s="371">
        <v>0</v>
      </c>
      <c r="P349" s="371">
        <f t="shared" si="83"/>
        <v>746382.58</v>
      </c>
      <c r="Q349" s="371">
        <v>0</v>
      </c>
      <c r="R349" s="267">
        <v>0</v>
      </c>
      <c r="S349" s="132" t="s">
        <v>589</v>
      </c>
      <c r="T349" s="126"/>
      <c r="U349" s="127"/>
      <c r="V349" s="296"/>
    </row>
    <row r="350" spans="1:22" ht="9" customHeight="1">
      <c r="A350" s="372">
        <v>265</v>
      </c>
      <c r="B350" s="156" t="s">
        <v>986</v>
      </c>
      <c r="C350" s="132" t="s">
        <v>1155</v>
      </c>
      <c r="D350" s="207" t="s">
        <v>1154</v>
      </c>
      <c r="E350" s="268" t="s">
        <v>608</v>
      </c>
      <c r="F350" s="268" t="s">
        <v>88</v>
      </c>
      <c r="G350" s="130">
        <v>2</v>
      </c>
      <c r="H350" s="130">
        <v>2</v>
      </c>
      <c r="I350" s="267">
        <v>597.79999999999995</v>
      </c>
      <c r="J350" s="267">
        <v>551.4</v>
      </c>
      <c r="K350" s="133">
        <v>29</v>
      </c>
      <c r="L350" s="205">
        <f>'Приложение 2 КСП 2018-2019 гг'!H351</f>
        <v>1463626</v>
      </c>
      <c r="M350" s="371">
        <v>0</v>
      </c>
      <c r="N350" s="371">
        <v>0</v>
      </c>
      <c r="O350" s="371">
        <v>0</v>
      </c>
      <c r="P350" s="371">
        <f t="shared" ref="P350:P351" si="84">L350</f>
        <v>1463626</v>
      </c>
      <c r="Q350" s="371">
        <v>0</v>
      </c>
      <c r="R350" s="267">
        <v>0</v>
      </c>
      <c r="S350" s="132" t="s">
        <v>589</v>
      </c>
      <c r="T350" s="126"/>
      <c r="U350" s="127"/>
      <c r="V350" s="296"/>
    </row>
    <row r="351" spans="1:22" ht="9" customHeight="1">
      <c r="A351" s="372">
        <v>266</v>
      </c>
      <c r="B351" s="156" t="s">
        <v>987</v>
      </c>
      <c r="C351" s="132" t="s">
        <v>1155</v>
      </c>
      <c r="D351" s="207" t="s">
        <v>1154</v>
      </c>
      <c r="E351" s="268" t="s">
        <v>219</v>
      </c>
      <c r="F351" s="268" t="s">
        <v>88</v>
      </c>
      <c r="G351" s="130">
        <v>2</v>
      </c>
      <c r="H351" s="130">
        <v>4</v>
      </c>
      <c r="I351" s="267">
        <v>1389.5</v>
      </c>
      <c r="J351" s="267">
        <v>1205</v>
      </c>
      <c r="K351" s="133">
        <v>126</v>
      </c>
      <c r="L351" s="205">
        <f>'Приложение 2 КСП 2018-2019 гг'!H352</f>
        <v>2826516</v>
      </c>
      <c r="M351" s="371">
        <v>0</v>
      </c>
      <c r="N351" s="371">
        <v>0</v>
      </c>
      <c r="O351" s="371">
        <v>0</v>
      </c>
      <c r="P351" s="371">
        <f t="shared" si="84"/>
        <v>2826516</v>
      </c>
      <c r="Q351" s="371">
        <v>0</v>
      </c>
      <c r="R351" s="267">
        <v>0</v>
      </c>
      <c r="S351" s="132" t="s">
        <v>589</v>
      </c>
      <c r="T351" s="126"/>
      <c r="U351" s="127"/>
      <c r="V351" s="296"/>
    </row>
    <row r="352" spans="1:22" ht="9" customHeight="1">
      <c r="A352" s="372">
        <v>267</v>
      </c>
      <c r="B352" s="156" t="s">
        <v>988</v>
      </c>
      <c r="C352" s="132" t="s">
        <v>1155</v>
      </c>
      <c r="D352" s="207" t="s">
        <v>1154</v>
      </c>
      <c r="E352" s="268" t="s">
        <v>611</v>
      </c>
      <c r="F352" s="268" t="s">
        <v>88</v>
      </c>
      <c r="G352" s="130">
        <v>4</v>
      </c>
      <c r="H352" s="130">
        <v>3</v>
      </c>
      <c r="I352" s="267">
        <v>2190.5</v>
      </c>
      <c r="J352" s="267">
        <v>1758.4</v>
      </c>
      <c r="K352" s="133">
        <v>174</v>
      </c>
      <c r="L352" s="205">
        <f>'Приложение 2 КСП 2018-2019 гг'!H353</f>
        <v>2373756</v>
      </c>
      <c r="M352" s="371">
        <v>0</v>
      </c>
      <c r="N352" s="371">
        <v>0</v>
      </c>
      <c r="O352" s="371">
        <v>0</v>
      </c>
      <c r="P352" s="371">
        <f t="shared" ref="P352:P353" si="85">L352</f>
        <v>2373756</v>
      </c>
      <c r="Q352" s="371">
        <v>0</v>
      </c>
      <c r="R352" s="267">
        <v>0</v>
      </c>
      <c r="S352" s="132" t="s">
        <v>589</v>
      </c>
      <c r="T352" s="126"/>
      <c r="U352" s="127"/>
      <c r="V352" s="296"/>
    </row>
    <row r="353" spans="1:22" ht="9" customHeight="1">
      <c r="A353" s="372">
        <v>268</v>
      </c>
      <c r="B353" s="156" t="s">
        <v>989</v>
      </c>
      <c r="C353" s="132" t="s">
        <v>1155</v>
      </c>
      <c r="D353" s="207" t="s">
        <v>1154</v>
      </c>
      <c r="E353" s="268" t="s">
        <v>797</v>
      </c>
      <c r="F353" s="268" t="s">
        <v>88</v>
      </c>
      <c r="G353" s="130">
        <v>2</v>
      </c>
      <c r="H353" s="130">
        <v>2</v>
      </c>
      <c r="I353" s="267">
        <v>637.34</v>
      </c>
      <c r="J353" s="267">
        <v>565.4</v>
      </c>
      <c r="K353" s="133">
        <v>26</v>
      </c>
      <c r="L353" s="205">
        <f>'Приложение 2 КСП 2018-2019 гг'!H354</f>
        <v>1791636</v>
      </c>
      <c r="M353" s="371">
        <v>0</v>
      </c>
      <c r="N353" s="371">
        <v>0</v>
      </c>
      <c r="O353" s="371">
        <v>0</v>
      </c>
      <c r="P353" s="371">
        <f t="shared" si="85"/>
        <v>1791636</v>
      </c>
      <c r="Q353" s="371">
        <v>0</v>
      </c>
      <c r="R353" s="267">
        <v>0</v>
      </c>
      <c r="S353" s="132" t="s">
        <v>589</v>
      </c>
      <c r="T353" s="126"/>
      <c r="U353" s="127"/>
      <c r="V353" s="296"/>
    </row>
    <row r="354" spans="1:22" ht="9" customHeight="1">
      <c r="A354" s="372">
        <v>269</v>
      </c>
      <c r="B354" s="156" t="s">
        <v>990</v>
      </c>
      <c r="C354" s="132" t="s">
        <v>1155</v>
      </c>
      <c r="D354" s="207" t="s">
        <v>1154</v>
      </c>
      <c r="E354" s="268" t="s">
        <v>748</v>
      </c>
      <c r="F354" s="268" t="s">
        <v>88</v>
      </c>
      <c r="G354" s="130">
        <v>2</v>
      </c>
      <c r="H354" s="130">
        <v>2</v>
      </c>
      <c r="I354" s="267">
        <v>586.5</v>
      </c>
      <c r="J354" s="267">
        <v>508.1</v>
      </c>
      <c r="K354" s="133">
        <v>24</v>
      </c>
      <c r="L354" s="205">
        <f>'Приложение 2 КСП 2018-2019 гг'!H355</f>
        <v>1636404</v>
      </c>
      <c r="M354" s="371">
        <v>0</v>
      </c>
      <c r="N354" s="371">
        <v>0</v>
      </c>
      <c r="O354" s="371">
        <v>0</v>
      </c>
      <c r="P354" s="371">
        <f t="shared" ref="P354:P355" si="86">L354</f>
        <v>1636404</v>
      </c>
      <c r="Q354" s="371">
        <v>0</v>
      </c>
      <c r="R354" s="267">
        <v>0</v>
      </c>
      <c r="S354" s="132" t="s">
        <v>589</v>
      </c>
      <c r="T354" s="126"/>
      <c r="U354" s="127"/>
      <c r="V354" s="296"/>
    </row>
    <row r="355" spans="1:22" ht="9" customHeight="1">
      <c r="A355" s="372">
        <v>270</v>
      </c>
      <c r="B355" s="156" t="s">
        <v>1055</v>
      </c>
      <c r="C355" s="132" t="s">
        <v>1155</v>
      </c>
      <c r="D355" s="207" t="s">
        <v>1154</v>
      </c>
      <c r="E355" s="268">
        <v>1962</v>
      </c>
      <c r="F355" s="268" t="s">
        <v>88</v>
      </c>
      <c r="G355" s="268">
        <v>2</v>
      </c>
      <c r="H355" s="268">
        <v>2</v>
      </c>
      <c r="I355" s="267">
        <v>579</v>
      </c>
      <c r="J355" s="267">
        <v>572</v>
      </c>
      <c r="K355" s="133">
        <v>22</v>
      </c>
      <c r="L355" s="205">
        <f>'Приложение 2 КСП 2018-2019 гг'!H356</f>
        <v>2163766</v>
      </c>
      <c r="M355" s="371">
        <v>0</v>
      </c>
      <c r="N355" s="371">
        <v>0</v>
      </c>
      <c r="O355" s="371">
        <v>0</v>
      </c>
      <c r="P355" s="371">
        <f t="shared" si="86"/>
        <v>2163766</v>
      </c>
      <c r="Q355" s="371">
        <v>0</v>
      </c>
      <c r="R355" s="267">
        <v>0</v>
      </c>
      <c r="S355" s="132" t="s">
        <v>589</v>
      </c>
      <c r="T355" s="126"/>
      <c r="U355" s="127"/>
      <c r="V355" s="296"/>
    </row>
    <row r="356" spans="1:22" ht="24" customHeight="1">
      <c r="A356" s="946" t="s">
        <v>44</v>
      </c>
      <c r="B356" s="946"/>
      <c r="C356" s="132"/>
      <c r="D356" s="265"/>
      <c r="E356" s="141" t="s">
        <v>391</v>
      </c>
      <c r="F356" s="141" t="s">
        <v>391</v>
      </c>
      <c r="G356" s="141" t="s">
        <v>391</v>
      </c>
      <c r="H356" s="141" t="s">
        <v>391</v>
      </c>
      <c r="I356" s="362">
        <f>SUM(I346:I355)</f>
        <v>10865.14</v>
      </c>
      <c r="J356" s="362">
        <f t="shared" ref="J356:S356" si="87">SUM(J346:J355)</f>
        <v>9539.1999999999989</v>
      </c>
      <c r="K356" s="362">
        <f t="shared" si="87"/>
        <v>587</v>
      </c>
      <c r="L356" s="362">
        <f t="shared" si="87"/>
        <v>17512634.579999998</v>
      </c>
      <c r="M356" s="362">
        <f t="shared" si="87"/>
        <v>0</v>
      </c>
      <c r="N356" s="362">
        <f t="shared" si="87"/>
        <v>0</v>
      </c>
      <c r="O356" s="362">
        <f t="shared" si="87"/>
        <v>0</v>
      </c>
      <c r="P356" s="362">
        <f t="shared" si="87"/>
        <v>17512634.579999998</v>
      </c>
      <c r="Q356" s="362">
        <f t="shared" si="87"/>
        <v>0</v>
      </c>
      <c r="R356" s="362">
        <f t="shared" si="87"/>
        <v>0</v>
      </c>
      <c r="S356" s="362">
        <f t="shared" si="87"/>
        <v>0</v>
      </c>
      <c r="T356" s="126"/>
      <c r="U356" s="127"/>
      <c r="V356" s="296"/>
    </row>
    <row r="357" spans="1:22" ht="17.25" customHeight="1">
      <c r="A357" s="821" t="s">
        <v>1029</v>
      </c>
      <c r="B357" s="821"/>
      <c r="C357" s="821"/>
      <c r="D357" s="821"/>
      <c r="E357" s="821"/>
      <c r="F357" s="821"/>
      <c r="G357" s="821"/>
      <c r="H357" s="821"/>
      <c r="I357" s="821"/>
      <c r="J357" s="821"/>
      <c r="K357" s="821"/>
      <c r="L357" s="821"/>
      <c r="M357" s="821"/>
      <c r="N357" s="821"/>
      <c r="O357" s="821"/>
      <c r="P357" s="821"/>
      <c r="Q357" s="821"/>
      <c r="R357" s="821"/>
      <c r="S357" s="821"/>
      <c r="T357" s="128"/>
      <c r="U357" s="128"/>
      <c r="V357" s="296"/>
    </row>
    <row r="358" spans="1:22" ht="9" customHeight="1">
      <c r="A358" s="822" t="s">
        <v>1026</v>
      </c>
      <c r="B358" s="822"/>
      <c r="C358" s="132"/>
      <c r="D358" s="268"/>
      <c r="E358" s="268" t="s">
        <v>391</v>
      </c>
      <c r="F358" s="268" t="s">
        <v>391</v>
      </c>
      <c r="G358" s="268" t="s">
        <v>391</v>
      </c>
      <c r="H358" s="268" t="s">
        <v>391</v>
      </c>
      <c r="I358" s="407">
        <f>I492+I501+I515+I520+I527+I531+I546+I549+I553+I557+I563+I567+I570+I573+I584+I587+I590+I593+I601+I604+I612+I616+I619+I623+I628+I631+I635+I639+I642+I649+I652+I655+I658+I662+I669+I674+I677+I687+I690</f>
        <v>811933.84999999986</v>
      </c>
      <c r="J358" s="407">
        <f t="shared" ref="J358:R358" si="88">J492+J501+J515+J520+J527+J531+J546+J549+J553+J557+J563+J567+J570+J573+J584+J587+J590+J593+J601+J604+J612+J616+J619+J623+J628+J631+J635+J639+J642+J649+J652+J655+J658+J662+J669+J674+J677+J687+J690</f>
        <v>690517.78000000014</v>
      </c>
      <c r="K358" s="407">
        <f t="shared" si="88"/>
        <v>30508</v>
      </c>
      <c r="L358" s="407">
        <f t="shared" si="88"/>
        <v>785987364.85000026</v>
      </c>
      <c r="M358" s="407">
        <f t="shared" si="88"/>
        <v>0</v>
      </c>
      <c r="N358" s="407">
        <f t="shared" si="88"/>
        <v>0</v>
      </c>
      <c r="O358" s="407">
        <f t="shared" si="88"/>
        <v>0</v>
      </c>
      <c r="P358" s="407">
        <f t="shared" si="88"/>
        <v>785987364.85000026</v>
      </c>
      <c r="Q358" s="407">
        <f t="shared" si="88"/>
        <v>0</v>
      </c>
      <c r="R358" s="407">
        <f t="shared" si="88"/>
        <v>0</v>
      </c>
      <c r="S358" s="267"/>
      <c r="T358" s="126"/>
      <c r="U358" s="127"/>
    </row>
    <row r="359" spans="1:22" ht="9" customHeight="1">
      <c r="A359" s="821" t="s">
        <v>217</v>
      </c>
      <c r="B359" s="821"/>
      <c r="C359" s="821"/>
      <c r="D359" s="821"/>
      <c r="E359" s="821"/>
      <c r="F359" s="821"/>
      <c r="G359" s="821"/>
      <c r="H359" s="821"/>
      <c r="I359" s="821"/>
      <c r="J359" s="821"/>
      <c r="K359" s="821"/>
      <c r="L359" s="821"/>
      <c r="M359" s="821"/>
      <c r="N359" s="821"/>
      <c r="O359" s="821"/>
      <c r="P359" s="821"/>
      <c r="Q359" s="821"/>
      <c r="R359" s="821"/>
      <c r="S359" s="821"/>
      <c r="T359" s="297"/>
      <c r="U359" s="297"/>
    </row>
    <row r="360" spans="1:22" ht="9" customHeight="1">
      <c r="A360" s="268">
        <v>1</v>
      </c>
      <c r="B360" s="206" t="s">
        <v>622</v>
      </c>
      <c r="C360" s="350" t="s">
        <v>1155</v>
      </c>
      <c r="D360" s="207" t="s">
        <v>1154</v>
      </c>
      <c r="E360" s="212" t="s">
        <v>591</v>
      </c>
      <c r="F360" s="209" t="s">
        <v>88</v>
      </c>
      <c r="G360" s="210">
        <v>5</v>
      </c>
      <c r="H360" s="210">
        <v>4</v>
      </c>
      <c r="I360" s="211">
        <v>3330.4</v>
      </c>
      <c r="J360" s="211">
        <v>2697.2</v>
      </c>
      <c r="K360" s="211">
        <v>147</v>
      </c>
      <c r="L360" s="205">
        <f>'Приложение 2 КСП 2018-2019 гг'!H361</f>
        <v>3680292</v>
      </c>
      <c r="M360" s="407">
        <v>0</v>
      </c>
      <c r="N360" s="407">
        <v>0</v>
      </c>
      <c r="O360" s="407">
        <v>0</v>
      </c>
      <c r="P360" s="407">
        <f t="shared" ref="P360" si="89">L360</f>
        <v>3680292</v>
      </c>
      <c r="Q360" s="407">
        <v>0</v>
      </c>
      <c r="R360" s="267">
        <v>0</v>
      </c>
      <c r="S360" s="132" t="s">
        <v>590</v>
      </c>
      <c r="T360" s="126"/>
      <c r="U360" s="127"/>
    </row>
    <row r="361" spans="1:22" ht="9" customHeight="1">
      <c r="A361" s="268">
        <v>2</v>
      </c>
      <c r="B361" s="206" t="s">
        <v>623</v>
      </c>
      <c r="C361" s="350" t="s">
        <v>1155</v>
      </c>
      <c r="D361" s="207" t="s">
        <v>1154</v>
      </c>
      <c r="E361" s="212" t="s">
        <v>591</v>
      </c>
      <c r="F361" s="209" t="s">
        <v>88</v>
      </c>
      <c r="G361" s="210">
        <v>5</v>
      </c>
      <c r="H361" s="210">
        <v>4</v>
      </c>
      <c r="I361" s="211">
        <v>2794.8</v>
      </c>
      <c r="J361" s="211">
        <v>2154.1</v>
      </c>
      <c r="K361" s="211">
        <v>75</v>
      </c>
      <c r="L361" s="205">
        <f>'Приложение 2 КСП 2018-2019 гг'!H362</f>
        <v>2865324</v>
      </c>
      <c r="M361" s="407">
        <v>0</v>
      </c>
      <c r="N361" s="407">
        <v>0</v>
      </c>
      <c r="O361" s="407">
        <v>0</v>
      </c>
      <c r="P361" s="407">
        <f t="shared" ref="P361:P424" si="90">L361</f>
        <v>2865324</v>
      </c>
      <c r="Q361" s="407">
        <v>0</v>
      </c>
      <c r="R361" s="267">
        <v>0</v>
      </c>
      <c r="S361" s="132" t="s">
        <v>590</v>
      </c>
      <c r="T361" s="126"/>
      <c r="U361" s="127"/>
    </row>
    <row r="362" spans="1:22" ht="9" customHeight="1">
      <c r="A362" s="268">
        <v>3</v>
      </c>
      <c r="B362" s="206" t="s">
        <v>624</v>
      </c>
      <c r="C362" s="350" t="s">
        <v>1155</v>
      </c>
      <c r="D362" s="207" t="s">
        <v>1154</v>
      </c>
      <c r="E362" s="212" t="s">
        <v>605</v>
      </c>
      <c r="F362" s="209" t="s">
        <v>88</v>
      </c>
      <c r="G362" s="210">
        <v>9</v>
      </c>
      <c r="H362" s="210">
        <v>1</v>
      </c>
      <c r="I362" s="211">
        <v>5104.6000000000004</v>
      </c>
      <c r="J362" s="211">
        <v>4019.9</v>
      </c>
      <c r="K362" s="211">
        <v>38</v>
      </c>
      <c r="L362" s="205">
        <f>'Приложение 2 КСП 2018-2019 гг'!H363</f>
        <v>4520904</v>
      </c>
      <c r="M362" s="407">
        <v>0</v>
      </c>
      <c r="N362" s="407">
        <v>0</v>
      </c>
      <c r="O362" s="407">
        <v>0</v>
      </c>
      <c r="P362" s="407">
        <f t="shared" si="90"/>
        <v>4520904</v>
      </c>
      <c r="Q362" s="407">
        <v>0</v>
      </c>
      <c r="R362" s="267">
        <v>0</v>
      </c>
      <c r="S362" s="132" t="s">
        <v>590</v>
      </c>
      <c r="T362" s="126"/>
      <c r="U362" s="127"/>
    </row>
    <row r="363" spans="1:22" ht="9" customHeight="1">
      <c r="A363" s="406">
        <v>4</v>
      </c>
      <c r="B363" s="206" t="s">
        <v>625</v>
      </c>
      <c r="C363" s="350" t="s">
        <v>1155</v>
      </c>
      <c r="D363" s="207" t="s">
        <v>1154</v>
      </c>
      <c r="E363" s="212" t="s">
        <v>594</v>
      </c>
      <c r="F363" s="209" t="s">
        <v>90</v>
      </c>
      <c r="G363" s="210">
        <v>9</v>
      </c>
      <c r="H363" s="210">
        <v>5</v>
      </c>
      <c r="I363" s="211">
        <v>11213.9</v>
      </c>
      <c r="J363" s="211">
        <v>9829.9</v>
      </c>
      <c r="K363" s="211">
        <v>36</v>
      </c>
      <c r="L363" s="205">
        <f>'Приложение 2 КСП 2018-2019 гг'!H364</f>
        <v>5677802</v>
      </c>
      <c r="M363" s="407">
        <v>0</v>
      </c>
      <c r="N363" s="407">
        <v>0</v>
      </c>
      <c r="O363" s="407">
        <v>0</v>
      </c>
      <c r="P363" s="407">
        <f t="shared" si="90"/>
        <v>5677802</v>
      </c>
      <c r="Q363" s="407">
        <v>0</v>
      </c>
      <c r="R363" s="267">
        <v>0</v>
      </c>
      <c r="S363" s="132" t="s">
        <v>590</v>
      </c>
      <c r="T363" s="126"/>
      <c r="U363" s="127"/>
    </row>
    <row r="364" spans="1:22" ht="9" customHeight="1">
      <c r="A364" s="406">
        <v>5</v>
      </c>
      <c r="B364" s="206" t="s">
        <v>626</v>
      </c>
      <c r="C364" s="350" t="s">
        <v>1155</v>
      </c>
      <c r="D364" s="207" t="s">
        <v>1154</v>
      </c>
      <c r="E364" s="212" t="s">
        <v>600</v>
      </c>
      <c r="F364" s="209" t="s">
        <v>90</v>
      </c>
      <c r="G364" s="210">
        <v>9</v>
      </c>
      <c r="H364" s="210">
        <v>6</v>
      </c>
      <c r="I364" s="211">
        <v>13854.3</v>
      </c>
      <c r="J364" s="211">
        <v>11948.5</v>
      </c>
      <c r="K364" s="211">
        <v>36</v>
      </c>
      <c r="L364" s="205">
        <f>'Приложение 2 КСП 2018-2019 гг'!H365</f>
        <v>6988730.7999999998</v>
      </c>
      <c r="M364" s="407">
        <v>0</v>
      </c>
      <c r="N364" s="407">
        <v>0</v>
      </c>
      <c r="O364" s="407">
        <v>0</v>
      </c>
      <c r="P364" s="407">
        <f t="shared" si="90"/>
        <v>6988730.7999999998</v>
      </c>
      <c r="Q364" s="407">
        <v>0</v>
      </c>
      <c r="R364" s="267">
        <v>0</v>
      </c>
      <c r="S364" s="132" t="s">
        <v>590</v>
      </c>
      <c r="T364" s="126"/>
      <c r="U364" s="127"/>
    </row>
    <row r="365" spans="1:22" ht="9" customHeight="1">
      <c r="A365" s="406">
        <v>6</v>
      </c>
      <c r="B365" s="206" t="s">
        <v>627</v>
      </c>
      <c r="C365" s="350" t="s">
        <v>1155</v>
      </c>
      <c r="D365" s="207" t="s">
        <v>1154</v>
      </c>
      <c r="E365" s="212" t="s">
        <v>601</v>
      </c>
      <c r="F365" s="209" t="s">
        <v>90</v>
      </c>
      <c r="G365" s="210">
        <v>5</v>
      </c>
      <c r="H365" s="210">
        <v>5</v>
      </c>
      <c r="I365" s="211">
        <v>3853.1</v>
      </c>
      <c r="J365" s="211">
        <v>3415</v>
      </c>
      <c r="K365" s="211">
        <v>193</v>
      </c>
      <c r="L365" s="205">
        <f>'Приложение 2 КСП 2018-2019 гг'!H366</f>
        <v>3450690</v>
      </c>
      <c r="M365" s="407">
        <v>0</v>
      </c>
      <c r="N365" s="407">
        <v>0</v>
      </c>
      <c r="O365" s="407">
        <v>0</v>
      </c>
      <c r="P365" s="407">
        <f t="shared" si="90"/>
        <v>3450690</v>
      </c>
      <c r="Q365" s="407">
        <v>0</v>
      </c>
      <c r="R365" s="267">
        <v>0</v>
      </c>
      <c r="S365" s="132" t="s">
        <v>590</v>
      </c>
      <c r="T365" s="126"/>
      <c r="U365" s="127"/>
    </row>
    <row r="366" spans="1:22" ht="9" customHeight="1">
      <c r="A366" s="406">
        <v>7</v>
      </c>
      <c r="B366" s="206" t="s">
        <v>628</v>
      </c>
      <c r="C366" s="350" t="s">
        <v>1155</v>
      </c>
      <c r="D366" s="207" t="s">
        <v>1154</v>
      </c>
      <c r="E366" s="212" t="s">
        <v>599</v>
      </c>
      <c r="F366" s="209" t="s">
        <v>90</v>
      </c>
      <c r="G366" s="210">
        <v>5</v>
      </c>
      <c r="H366" s="210">
        <v>3</v>
      </c>
      <c r="I366" s="211">
        <v>2324.1</v>
      </c>
      <c r="J366" s="211">
        <v>2028</v>
      </c>
      <c r="K366" s="211">
        <v>134</v>
      </c>
      <c r="L366" s="205">
        <f>'Приложение 2 КСП 2018-2019 гг'!H367</f>
        <v>2077082</v>
      </c>
      <c r="M366" s="407">
        <v>0</v>
      </c>
      <c r="N366" s="407">
        <v>0</v>
      </c>
      <c r="O366" s="407">
        <v>0</v>
      </c>
      <c r="P366" s="407">
        <f t="shared" si="90"/>
        <v>2077082</v>
      </c>
      <c r="Q366" s="407">
        <v>0</v>
      </c>
      <c r="R366" s="267">
        <v>0</v>
      </c>
      <c r="S366" s="132" t="s">
        <v>590</v>
      </c>
      <c r="T366" s="126"/>
      <c r="U366" s="127"/>
    </row>
    <row r="367" spans="1:22" ht="9" customHeight="1">
      <c r="A367" s="406">
        <v>8</v>
      </c>
      <c r="B367" s="206" t="s">
        <v>629</v>
      </c>
      <c r="C367" s="350" t="s">
        <v>1155</v>
      </c>
      <c r="D367" s="207" t="s">
        <v>1154</v>
      </c>
      <c r="E367" s="212" t="s">
        <v>614</v>
      </c>
      <c r="F367" s="209" t="s">
        <v>90</v>
      </c>
      <c r="G367" s="210">
        <v>5</v>
      </c>
      <c r="H367" s="210">
        <v>5</v>
      </c>
      <c r="I367" s="211">
        <v>3880.5</v>
      </c>
      <c r="J367" s="211">
        <v>3393</v>
      </c>
      <c r="K367" s="211">
        <v>206</v>
      </c>
      <c r="L367" s="205">
        <f>'Приложение 2 КСП 2018-2019 гг'!H368</f>
        <v>3540708</v>
      </c>
      <c r="M367" s="407">
        <v>0</v>
      </c>
      <c r="N367" s="407">
        <v>0</v>
      </c>
      <c r="O367" s="407">
        <v>0</v>
      </c>
      <c r="P367" s="407">
        <f t="shared" si="90"/>
        <v>3540708</v>
      </c>
      <c r="Q367" s="407">
        <v>0</v>
      </c>
      <c r="R367" s="267">
        <v>0</v>
      </c>
      <c r="S367" s="132" t="s">
        <v>590</v>
      </c>
      <c r="T367" s="126"/>
      <c r="U367" s="127"/>
    </row>
    <row r="368" spans="1:22" ht="9" customHeight="1">
      <c r="A368" s="406">
        <v>9</v>
      </c>
      <c r="B368" s="206" t="s">
        <v>630</v>
      </c>
      <c r="C368" s="350" t="s">
        <v>1155</v>
      </c>
      <c r="D368" s="207" t="s">
        <v>1154</v>
      </c>
      <c r="E368" s="212" t="s">
        <v>611</v>
      </c>
      <c r="F368" s="209" t="s">
        <v>90</v>
      </c>
      <c r="G368" s="210">
        <v>5</v>
      </c>
      <c r="H368" s="210">
        <v>4</v>
      </c>
      <c r="I368" s="211">
        <v>3971.9</v>
      </c>
      <c r="J368" s="211">
        <v>3576.9</v>
      </c>
      <c r="K368" s="211">
        <v>158</v>
      </c>
      <c r="L368" s="205">
        <f>'Приложение 2 КСП 2018-2019 гг'!H369</f>
        <v>3337334</v>
      </c>
      <c r="M368" s="407">
        <v>0</v>
      </c>
      <c r="N368" s="407">
        <v>0</v>
      </c>
      <c r="O368" s="407">
        <v>0</v>
      </c>
      <c r="P368" s="407">
        <f t="shared" si="90"/>
        <v>3337334</v>
      </c>
      <c r="Q368" s="407">
        <v>0</v>
      </c>
      <c r="R368" s="267">
        <v>0</v>
      </c>
      <c r="S368" s="132" t="s">
        <v>590</v>
      </c>
      <c r="T368" s="126"/>
      <c r="U368" s="127"/>
    </row>
    <row r="369" spans="1:21" ht="9" customHeight="1">
      <c r="A369" s="406">
        <v>10</v>
      </c>
      <c r="B369" s="206" t="s">
        <v>631</v>
      </c>
      <c r="C369" s="350" t="s">
        <v>1155</v>
      </c>
      <c r="D369" s="207" t="s">
        <v>1154</v>
      </c>
      <c r="E369" s="212" t="s">
        <v>607</v>
      </c>
      <c r="F369" s="209" t="s">
        <v>90</v>
      </c>
      <c r="G369" s="210">
        <v>5</v>
      </c>
      <c r="H369" s="210">
        <v>4</v>
      </c>
      <c r="I369" s="211">
        <v>3650.4</v>
      </c>
      <c r="J369" s="211">
        <v>3222.6</v>
      </c>
      <c r="K369" s="211">
        <v>156</v>
      </c>
      <c r="L369" s="205">
        <f>'Приложение 2 КСП 2018-2019 гг'!H370</f>
        <v>2770554</v>
      </c>
      <c r="M369" s="407">
        <v>0</v>
      </c>
      <c r="N369" s="407">
        <v>0</v>
      </c>
      <c r="O369" s="407">
        <v>0</v>
      </c>
      <c r="P369" s="407">
        <f t="shared" si="90"/>
        <v>2770554</v>
      </c>
      <c r="Q369" s="407">
        <v>0</v>
      </c>
      <c r="R369" s="267">
        <v>0</v>
      </c>
      <c r="S369" s="132" t="s">
        <v>590</v>
      </c>
      <c r="T369" s="126"/>
      <c r="U369" s="127"/>
    </row>
    <row r="370" spans="1:21" ht="9" customHeight="1">
      <c r="A370" s="406">
        <v>11</v>
      </c>
      <c r="B370" s="206" t="s">
        <v>632</v>
      </c>
      <c r="C370" s="350" t="s">
        <v>1155</v>
      </c>
      <c r="D370" s="207" t="s">
        <v>1154</v>
      </c>
      <c r="E370" s="212" t="s">
        <v>299</v>
      </c>
      <c r="F370" s="209" t="s">
        <v>90</v>
      </c>
      <c r="G370" s="210">
        <v>5</v>
      </c>
      <c r="H370" s="210">
        <v>4</v>
      </c>
      <c r="I370" s="211">
        <v>3192.4</v>
      </c>
      <c r="J370" s="211">
        <v>2850.4</v>
      </c>
      <c r="K370" s="211">
        <v>128</v>
      </c>
      <c r="L370" s="205">
        <f>'Приложение 2 КСП 2018-2019 гг'!H371</f>
        <v>2427152</v>
      </c>
      <c r="M370" s="407">
        <v>0</v>
      </c>
      <c r="N370" s="407">
        <v>0</v>
      </c>
      <c r="O370" s="407">
        <v>0</v>
      </c>
      <c r="P370" s="407">
        <f t="shared" si="90"/>
        <v>2427152</v>
      </c>
      <c r="Q370" s="407">
        <v>0</v>
      </c>
      <c r="R370" s="267">
        <v>0</v>
      </c>
      <c r="S370" s="132" t="s">
        <v>590</v>
      </c>
      <c r="T370" s="126"/>
      <c r="U370" s="127"/>
    </row>
    <row r="371" spans="1:21" ht="9" customHeight="1">
      <c r="A371" s="406">
        <v>12</v>
      </c>
      <c r="B371" s="206" t="s">
        <v>633</v>
      </c>
      <c r="C371" s="350" t="s">
        <v>1155</v>
      </c>
      <c r="D371" s="207" t="s">
        <v>1154</v>
      </c>
      <c r="E371" s="212" t="s">
        <v>592</v>
      </c>
      <c r="F371" s="209" t="s">
        <v>90</v>
      </c>
      <c r="G371" s="210">
        <v>5</v>
      </c>
      <c r="H371" s="210">
        <v>4</v>
      </c>
      <c r="I371" s="211">
        <v>3636.8</v>
      </c>
      <c r="J371" s="211">
        <v>3206</v>
      </c>
      <c r="K371" s="211">
        <v>152</v>
      </c>
      <c r="L371" s="205">
        <f>'Приложение 2 КСП 2018-2019 гг'!H372</f>
        <v>2770554</v>
      </c>
      <c r="M371" s="407">
        <v>0</v>
      </c>
      <c r="N371" s="407">
        <v>0</v>
      </c>
      <c r="O371" s="407">
        <v>0</v>
      </c>
      <c r="P371" s="407">
        <f t="shared" si="90"/>
        <v>2770554</v>
      </c>
      <c r="Q371" s="407">
        <v>0</v>
      </c>
      <c r="R371" s="267">
        <v>0</v>
      </c>
      <c r="S371" s="132" t="s">
        <v>590</v>
      </c>
      <c r="T371" s="126"/>
      <c r="U371" s="127"/>
    </row>
    <row r="372" spans="1:21" ht="9" customHeight="1">
      <c r="A372" s="406">
        <v>13</v>
      </c>
      <c r="B372" s="206" t="s">
        <v>634</v>
      </c>
      <c r="C372" s="350" t="s">
        <v>1155</v>
      </c>
      <c r="D372" s="207" t="s">
        <v>1154</v>
      </c>
      <c r="E372" s="212" t="s">
        <v>618</v>
      </c>
      <c r="F372" s="209" t="s">
        <v>88</v>
      </c>
      <c r="G372" s="210">
        <v>5</v>
      </c>
      <c r="H372" s="210">
        <v>1</v>
      </c>
      <c r="I372" s="211">
        <v>2532.6</v>
      </c>
      <c r="J372" s="211">
        <v>2455.5</v>
      </c>
      <c r="K372" s="211">
        <v>145</v>
      </c>
      <c r="L372" s="205">
        <f>'Приложение 2 КСП 2018-2019 гг'!H373</f>
        <v>2847236</v>
      </c>
      <c r="M372" s="407">
        <v>0</v>
      </c>
      <c r="N372" s="407">
        <v>0</v>
      </c>
      <c r="O372" s="407">
        <v>0</v>
      </c>
      <c r="P372" s="407">
        <f t="shared" si="90"/>
        <v>2847236</v>
      </c>
      <c r="Q372" s="407">
        <v>0</v>
      </c>
      <c r="R372" s="267">
        <v>0</v>
      </c>
      <c r="S372" s="132" t="s">
        <v>590</v>
      </c>
      <c r="T372" s="126"/>
      <c r="U372" s="127"/>
    </row>
    <row r="373" spans="1:21" ht="9" customHeight="1">
      <c r="A373" s="406">
        <v>14</v>
      </c>
      <c r="B373" s="206" t="s">
        <v>635</v>
      </c>
      <c r="C373" s="350" t="s">
        <v>1155</v>
      </c>
      <c r="D373" s="207" t="s">
        <v>1154</v>
      </c>
      <c r="E373" s="212" t="s">
        <v>594</v>
      </c>
      <c r="F373" s="209" t="s">
        <v>88</v>
      </c>
      <c r="G373" s="210">
        <v>5</v>
      </c>
      <c r="H373" s="210">
        <v>1</v>
      </c>
      <c r="I373" s="211">
        <v>2511.1999999999998</v>
      </c>
      <c r="J373" s="211">
        <v>2443.9</v>
      </c>
      <c r="K373" s="211">
        <v>164</v>
      </c>
      <c r="L373" s="205">
        <f>'Приложение 2 КСП 2018-2019 гг'!H374</f>
        <v>2847236</v>
      </c>
      <c r="M373" s="407">
        <v>0</v>
      </c>
      <c r="N373" s="407">
        <v>0</v>
      </c>
      <c r="O373" s="407">
        <v>0</v>
      </c>
      <c r="P373" s="407">
        <f t="shared" si="90"/>
        <v>2847236</v>
      </c>
      <c r="Q373" s="407">
        <v>0</v>
      </c>
      <c r="R373" s="267">
        <v>0</v>
      </c>
      <c r="S373" s="132" t="s">
        <v>590</v>
      </c>
      <c r="T373" s="126"/>
      <c r="U373" s="127"/>
    </row>
    <row r="374" spans="1:21" ht="9" customHeight="1">
      <c r="A374" s="406">
        <v>15</v>
      </c>
      <c r="B374" s="206" t="s">
        <v>636</v>
      </c>
      <c r="C374" s="350" t="s">
        <v>1155</v>
      </c>
      <c r="D374" s="207" t="s">
        <v>1154</v>
      </c>
      <c r="E374" s="212" t="s">
        <v>591</v>
      </c>
      <c r="F374" s="209" t="s">
        <v>90</v>
      </c>
      <c r="G374" s="210">
        <v>5</v>
      </c>
      <c r="H374" s="210">
        <v>4</v>
      </c>
      <c r="I374" s="211">
        <v>3834.3</v>
      </c>
      <c r="J374" s="211">
        <v>3555.3</v>
      </c>
      <c r="K374" s="211">
        <v>180</v>
      </c>
      <c r="L374" s="205">
        <f>'Приложение 2 КСП 2018-2019 гг'!H375</f>
        <v>3317330</v>
      </c>
      <c r="M374" s="407">
        <v>0</v>
      </c>
      <c r="N374" s="407">
        <v>0</v>
      </c>
      <c r="O374" s="407">
        <v>0</v>
      </c>
      <c r="P374" s="407">
        <f t="shared" si="90"/>
        <v>3317330</v>
      </c>
      <c r="Q374" s="407">
        <v>0</v>
      </c>
      <c r="R374" s="267">
        <v>0</v>
      </c>
      <c r="S374" s="132" t="s">
        <v>590</v>
      </c>
      <c r="T374" s="126"/>
      <c r="U374" s="127"/>
    </row>
    <row r="375" spans="1:21" ht="9" customHeight="1">
      <c r="A375" s="406">
        <v>16</v>
      </c>
      <c r="B375" s="206" t="s">
        <v>637</v>
      </c>
      <c r="C375" s="350" t="s">
        <v>1155</v>
      </c>
      <c r="D375" s="207" t="s">
        <v>1154</v>
      </c>
      <c r="E375" s="212" t="s">
        <v>591</v>
      </c>
      <c r="F375" s="209" t="s">
        <v>90</v>
      </c>
      <c r="G375" s="210">
        <v>5</v>
      </c>
      <c r="H375" s="210">
        <v>4</v>
      </c>
      <c r="I375" s="211">
        <v>3894</v>
      </c>
      <c r="J375" s="211">
        <v>3588</v>
      </c>
      <c r="K375" s="211">
        <v>188</v>
      </c>
      <c r="L375" s="205">
        <f>'Приложение 2 КСП 2018-2019 гг'!H376</f>
        <v>3330666</v>
      </c>
      <c r="M375" s="407">
        <v>0</v>
      </c>
      <c r="N375" s="407">
        <v>0</v>
      </c>
      <c r="O375" s="407">
        <v>0</v>
      </c>
      <c r="P375" s="407">
        <f t="shared" si="90"/>
        <v>3330666</v>
      </c>
      <c r="Q375" s="407">
        <v>0</v>
      </c>
      <c r="R375" s="267">
        <v>0</v>
      </c>
      <c r="S375" s="132" t="s">
        <v>590</v>
      </c>
      <c r="T375" s="126"/>
      <c r="U375" s="127"/>
    </row>
    <row r="376" spans="1:21" ht="9" customHeight="1">
      <c r="A376" s="406">
        <v>17</v>
      </c>
      <c r="B376" s="206" t="s">
        <v>639</v>
      </c>
      <c r="C376" s="350" t="s">
        <v>1155</v>
      </c>
      <c r="D376" s="207" t="s">
        <v>1154</v>
      </c>
      <c r="E376" s="212" t="s">
        <v>591</v>
      </c>
      <c r="F376" s="209" t="s">
        <v>90</v>
      </c>
      <c r="G376" s="210">
        <v>5</v>
      </c>
      <c r="H376" s="210">
        <v>4</v>
      </c>
      <c r="I376" s="211">
        <v>3868.7</v>
      </c>
      <c r="J376" s="211">
        <v>3569.7</v>
      </c>
      <c r="K376" s="211">
        <v>170</v>
      </c>
      <c r="L376" s="205">
        <f>'Приложение 2 КСП 2018-2019 гг'!H377</f>
        <v>3000600</v>
      </c>
      <c r="M376" s="407">
        <v>0</v>
      </c>
      <c r="N376" s="407">
        <v>0</v>
      </c>
      <c r="O376" s="407">
        <v>0</v>
      </c>
      <c r="P376" s="407">
        <f t="shared" si="90"/>
        <v>3000600</v>
      </c>
      <c r="Q376" s="407">
        <v>0</v>
      </c>
      <c r="R376" s="267">
        <v>0</v>
      </c>
      <c r="S376" s="132" t="s">
        <v>590</v>
      </c>
      <c r="T376" s="126"/>
      <c r="U376" s="127"/>
    </row>
    <row r="377" spans="1:21" ht="9" customHeight="1">
      <c r="A377" s="406">
        <v>18</v>
      </c>
      <c r="B377" s="206" t="s">
        <v>640</v>
      </c>
      <c r="C377" s="350" t="s">
        <v>1155</v>
      </c>
      <c r="D377" s="207" t="s">
        <v>1154</v>
      </c>
      <c r="E377" s="212" t="s">
        <v>591</v>
      </c>
      <c r="F377" s="209" t="s">
        <v>90</v>
      </c>
      <c r="G377" s="210">
        <v>5</v>
      </c>
      <c r="H377" s="210">
        <v>4</v>
      </c>
      <c r="I377" s="211">
        <v>3864.6</v>
      </c>
      <c r="J377" s="211">
        <v>3545.6</v>
      </c>
      <c r="K377" s="211">
        <v>164</v>
      </c>
      <c r="L377" s="205">
        <f>'Приложение 2 КСП 2018-2019 гг'!H378</f>
        <v>3247316</v>
      </c>
      <c r="M377" s="407">
        <v>0</v>
      </c>
      <c r="N377" s="407">
        <v>0</v>
      </c>
      <c r="O377" s="407">
        <v>0</v>
      </c>
      <c r="P377" s="407">
        <f t="shared" si="90"/>
        <v>3247316</v>
      </c>
      <c r="Q377" s="407">
        <v>0</v>
      </c>
      <c r="R377" s="267">
        <v>0</v>
      </c>
      <c r="S377" s="132" t="s">
        <v>590</v>
      </c>
      <c r="T377" s="126"/>
      <c r="U377" s="127"/>
    </row>
    <row r="378" spans="1:21" ht="9" customHeight="1">
      <c r="A378" s="406">
        <v>19</v>
      </c>
      <c r="B378" s="206" t="s">
        <v>641</v>
      </c>
      <c r="C378" s="350" t="s">
        <v>1155</v>
      </c>
      <c r="D378" s="207" t="s">
        <v>1154</v>
      </c>
      <c r="E378" s="212" t="s">
        <v>600</v>
      </c>
      <c r="F378" s="209" t="s">
        <v>88</v>
      </c>
      <c r="G378" s="210">
        <v>9</v>
      </c>
      <c r="H378" s="210">
        <v>3</v>
      </c>
      <c r="I378" s="211">
        <v>6369.7</v>
      </c>
      <c r="J378" s="211">
        <v>5711</v>
      </c>
      <c r="K378" s="211">
        <v>188</v>
      </c>
      <c r="L378" s="205">
        <f>'Приложение 2 КСП 2018-2019 гг'!H379</f>
        <v>7001400</v>
      </c>
      <c r="M378" s="407">
        <v>0</v>
      </c>
      <c r="N378" s="407">
        <v>0</v>
      </c>
      <c r="O378" s="407">
        <v>0</v>
      </c>
      <c r="P378" s="407">
        <f t="shared" si="90"/>
        <v>7001400</v>
      </c>
      <c r="Q378" s="407">
        <v>0</v>
      </c>
      <c r="R378" s="267">
        <v>0</v>
      </c>
      <c r="S378" s="132" t="s">
        <v>590</v>
      </c>
      <c r="T378" s="126"/>
      <c r="U378" s="127"/>
    </row>
    <row r="379" spans="1:21" ht="9" customHeight="1">
      <c r="A379" s="406">
        <v>20</v>
      </c>
      <c r="B379" s="206" t="s">
        <v>642</v>
      </c>
      <c r="C379" s="350" t="s">
        <v>1155</v>
      </c>
      <c r="D379" s="207" t="s">
        <v>1154</v>
      </c>
      <c r="E379" s="212" t="s">
        <v>612</v>
      </c>
      <c r="F379" s="209" t="s">
        <v>90</v>
      </c>
      <c r="G379" s="210">
        <v>5</v>
      </c>
      <c r="H379" s="210">
        <v>3</v>
      </c>
      <c r="I379" s="211">
        <v>3163.8</v>
      </c>
      <c r="J379" s="211">
        <v>1992.5</v>
      </c>
      <c r="K379" s="211">
        <v>262</v>
      </c>
      <c r="L379" s="205">
        <f>'Приложение 2 КСП 2018-2019 гг'!H380</f>
        <v>2610522</v>
      </c>
      <c r="M379" s="407">
        <v>0</v>
      </c>
      <c r="N379" s="407">
        <v>0</v>
      </c>
      <c r="O379" s="407">
        <v>0</v>
      </c>
      <c r="P379" s="407">
        <f t="shared" si="90"/>
        <v>2610522</v>
      </c>
      <c r="Q379" s="407">
        <v>0</v>
      </c>
      <c r="R379" s="267">
        <v>0</v>
      </c>
      <c r="S379" s="132" t="s">
        <v>590</v>
      </c>
      <c r="T379" s="126"/>
      <c r="U379" s="127"/>
    </row>
    <row r="380" spans="1:21" ht="9" customHeight="1">
      <c r="A380" s="406">
        <v>21</v>
      </c>
      <c r="B380" s="206" t="s">
        <v>643</v>
      </c>
      <c r="C380" s="350" t="s">
        <v>1155</v>
      </c>
      <c r="D380" s="207" t="s">
        <v>1154</v>
      </c>
      <c r="E380" s="212" t="s">
        <v>613</v>
      </c>
      <c r="F380" s="209" t="s">
        <v>90</v>
      </c>
      <c r="G380" s="210">
        <v>5</v>
      </c>
      <c r="H380" s="210">
        <v>4</v>
      </c>
      <c r="I380" s="211">
        <v>3732.2</v>
      </c>
      <c r="J380" s="211">
        <v>3489</v>
      </c>
      <c r="K380" s="211">
        <v>188</v>
      </c>
      <c r="L380" s="205">
        <f>'Приложение 2 КСП 2018-2019 гг'!H381</f>
        <v>3218310.2</v>
      </c>
      <c r="M380" s="407">
        <v>0</v>
      </c>
      <c r="N380" s="407">
        <v>0</v>
      </c>
      <c r="O380" s="407">
        <v>0</v>
      </c>
      <c r="P380" s="407">
        <f t="shared" si="90"/>
        <v>3218310.2</v>
      </c>
      <c r="Q380" s="407">
        <v>0</v>
      </c>
      <c r="R380" s="267">
        <v>0</v>
      </c>
      <c r="S380" s="132" t="s">
        <v>590</v>
      </c>
      <c r="T380" s="126"/>
      <c r="U380" s="127"/>
    </row>
    <row r="381" spans="1:21" ht="9" customHeight="1">
      <c r="A381" s="406">
        <v>22</v>
      </c>
      <c r="B381" s="206" t="s">
        <v>644</v>
      </c>
      <c r="C381" s="350" t="s">
        <v>1155</v>
      </c>
      <c r="D381" s="207" t="s">
        <v>1154</v>
      </c>
      <c r="E381" s="212" t="s">
        <v>604</v>
      </c>
      <c r="F381" s="209" t="s">
        <v>90</v>
      </c>
      <c r="G381" s="210">
        <v>5</v>
      </c>
      <c r="H381" s="210">
        <v>6</v>
      </c>
      <c r="I381" s="211">
        <v>4641.3999999999996</v>
      </c>
      <c r="J381" s="211">
        <v>4272.3999999999996</v>
      </c>
      <c r="K381" s="211">
        <v>206</v>
      </c>
      <c r="L381" s="205">
        <f>'Приложение 2 КСП 2018-2019 гг'!H382</f>
        <v>3931786.2</v>
      </c>
      <c r="M381" s="407">
        <v>0</v>
      </c>
      <c r="N381" s="407">
        <v>0</v>
      </c>
      <c r="O381" s="407">
        <v>0</v>
      </c>
      <c r="P381" s="407">
        <f t="shared" si="90"/>
        <v>3931786.2</v>
      </c>
      <c r="Q381" s="407">
        <v>0</v>
      </c>
      <c r="R381" s="267">
        <v>0</v>
      </c>
      <c r="S381" s="132" t="s">
        <v>590</v>
      </c>
      <c r="T381" s="126"/>
      <c r="U381" s="127"/>
    </row>
    <row r="382" spans="1:21" ht="9" customHeight="1">
      <c r="A382" s="406">
        <v>23</v>
      </c>
      <c r="B382" s="206" t="s">
        <v>645</v>
      </c>
      <c r="C382" s="350" t="s">
        <v>1155</v>
      </c>
      <c r="D382" s="207" t="s">
        <v>1154</v>
      </c>
      <c r="E382" s="212" t="s">
        <v>618</v>
      </c>
      <c r="F382" s="209" t="s">
        <v>90</v>
      </c>
      <c r="G382" s="210">
        <v>5</v>
      </c>
      <c r="H382" s="210">
        <v>10</v>
      </c>
      <c r="I382" s="211">
        <v>7313</v>
      </c>
      <c r="J382" s="211">
        <v>6688</v>
      </c>
      <c r="K382" s="211">
        <v>378</v>
      </c>
      <c r="L382" s="205">
        <f>'Приложение 2 КСП 2018-2019 гг'!H383</f>
        <v>11589702.08</v>
      </c>
      <c r="M382" s="407">
        <v>0</v>
      </c>
      <c r="N382" s="407">
        <v>0</v>
      </c>
      <c r="O382" s="407">
        <v>0</v>
      </c>
      <c r="P382" s="407">
        <f t="shared" si="90"/>
        <v>11589702.08</v>
      </c>
      <c r="Q382" s="407">
        <v>0</v>
      </c>
      <c r="R382" s="267">
        <v>0</v>
      </c>
      <c r="S382" s="132" t="s">
        <v>590</v>
      </c>
      <c r="T382" s="126"/>
      <c r="U382" s="127"/>
    </row>
    <row r="383" spans="1:21" ht="9" customHeight="1">
      <c r="A383" s="406">
        <v>24</v>
      </c>
      <c r="B383" s="206" t="s">
        <v>646</v>
      </c>
      <c r="C383" s="350" t="s">
        <v>1155</v>
      </c>
      <c r="D383" s="207" t="s">
        <v>1154</v>
      </c>
      <c r="E383" s="212" t="s">
        <v>597</v>
      </c>
      <c r="F383" s="209" t="s">
        <v>88</v>
      </c>
      <c r="G383" s="210">
        <v>5</v>
      </c>
      <c r="H383" s="210">
        <v>1</v>
      </c>
      <c r="I383" s="211">
        <v>4081.3</v>
      </c>
      <c r="J383" s="211">
        <v>2691.4</v>
      </c>
      <c r="K383" s="211">
        <v>286</v>
      </c>
      <c r="L383" s="205">
        <f>'Приложение 2 КСП 2018-2019 гг'!H384</f>
        <v>3604054</v>
      </c>
      <c r="M383" s="407">
        <v>0</v>
      </c>
      <c r="N383" s="407">
        <v>0</v>
      </c>
      <c r="O383" s="407">
        <v>0</v>
      </c>
      <c r="P383" s="407">
        <f t="shared" si="90"/>
        <v>3604054</v>
      </c>
      <c r="Q383" s="407">
        <v>0</v>
      </c>
      <c r="R383" s="267">
        <v>0</v>
      </c>
      <c r="S383" s="132" t="s">
        <v>590</v>
      </c>
      <c r="T383" s="126"/>
      <c r="U383" s="127"/>
    </row>
    <row r="384" spans="1:21" ht="9" customHeight="1">
      <c r="A384" s="406">
        <v>25</v>
      </c>
      <c r="B384" s="206" t="s">
        <v>647</v>
      </c>
      <c r="C384" s="350" t="s">
        <v>1155</v>
      </c>
      <c r="D384" s="207" t="s">
        <v>1154</v>
      </c>
      <c r="E384" s="212" t="s">
        <v>299</v>
      </c>
      <c r="F384" s="209" t="s">
        <v>88</v>
      </c>
      <c r="G384" s="210">
        <v>5</v>
      </c>
      <c r="H384" s="210">
        <v>1</v>
      </c>
      <c r="I384" s="211">
        <v>2731.4</v>
      </c>
      <c r="J384" s="211">
        <v>2434.4</v>
      </c>
      <c r="K384" s="211">
        <v>18</v>
      </c>
      <c r="L384" s="205">
        <f>'Приложение 2 КСП 2018-2019 гг'!H385</f>
        <v>2770554</v>
      </c>
      <c r="M384" s="407">
        <v>0</v>
      </c>
      <c r="N384" s="407">
        <v>0</v>
      </c>
      <c r="O384" s="407">
        <v>0</v>
      </c>
      <c r="P384" s="407">
        <f t="shared" si="90"/>
        <v>2770554</v>
      </c>
      <c r="Q384" s="407">
        <v>0</v>
      </c>
      <c r="R384" s="267">
        <v>0</v>
      </c>
      <c r="S384" s="132" t="s">
        <v>590</v>
      </c>
      <c r="T384" s="126"/>
      <c r="U384" s="127"/>
    </row>
    <row r="385" spans="1:21" ht="9" customHeight="1">
      <c r="A385" s="406">
        <v>26</v>
      </c>
      <c r="B385" s="206" t="s">
        <v>648</v>
      </c>
      <c r="C385" s="350" t="s">
        <v>1155</v>
      </c>
      <c r="D385" s="207" t="s">
        <v>1154</v>
      </c>
      <c r="E385" s="212" t="s">
        <v>611</v>
      </c>
      <c r="F385" s="209" t="s">
        <v>90</v>
      </c>
      <c r="G385" s="210">
        <v>5</v>
      </c>
      <c r="H385" s="210">
        <v>4</v>
      </c>
      <c r="I385" s="211">
        <v>3816.8</v>
      </c>
      <c r="J385" s="211">
        <v>3524.8</v>
      </c>
      <c r="K385" s="211">
        <v>70</v>
      </c>
      <c r="L385" s="205">
        <f>'Приложение 2 КСП 2018-2019 гг'!H386</f>
        <v>3237314</v>
      </c>
      <c r="M385" s="407">
        <v>0</v>
      </c>
      <c r="N385" s="407">
        <v>0</v>
      </c>
      <c r="O385" s="407">
        <v>0</v>
      </c>
      <c r="P385" s="407">
        <f t="shared" si="90"/>
        <v>3237314</v>
      </c>
      <c r="Q385" s="407">
        <v>0</v>
      </c>
      <c r="R385" s="267">
        <v>0</v>
      </c>
      <c r="S385" s="132" t="s">
        <v>590</v>
      </c>
      <c r="T385" s="126"/>
      <c r="U385" s="127"/>
    </row>
    <row r="386" spans="1:21" ht="9" customHeight="1">
      <c r="A386" s="406">
        <v>27</v>
      </c>
      <c r="B386" s="206" t="s">
        <v>649</v>
      </c>
      <c r="C386" s="350" t="s">
        <v>1155</v>
      </c>
      <c r="D386" s="207" t="s">
        <v>1154</v>
      </c>
      <c r="E386" s="212" t="s">
        <v>613</v>
      </c>
      <c r="F386" s="209" t="s">
        <v>90</v>
      </c>
      <c r="G386" s="210">
        <v>5</v>
      </c>
      <c r="H386" s="210">
        <v>4</v>
      </c>
      <c r="I386" s="211">
        <v>3781</v>
      </c>
      <c r="J386" s="211">
        <v>3483</v>
      </c>
      <c r="K386" s="211">
        <v>17</v>
      </c>
      <c r="L386" s="205">
        <f>'Приложение 2 КСП 2018-2019 гг'!H387</f>
        <v>3000600</v>
      </c>
      <c r="M386" s="407">
        <v>0</v>
      </c>
      <c r="N386" s="407">
        <v>0</v>
      </c>
      <c r="O386" s="407">
        <v>0</v>
      </c>
      <c r="P386" s="407">
        <f t="shared" si="90"/>
        <v>3000600</v>
      </c>
      <c r="Q386" s="407">
        <v>0</v>
      </c>
      <c r="R386" s="267">
        <v>0</v>
      </c>
      <c r="S386" s="132" t="s">
        <v>590</v>
      </c>
      <c r="T386" s="126"/>
      <c r="U386" s="127"/>
    </row>
    <row r="387" spans="1:21" ht="9" customHeight="1">
      <c r="A387" s="406">
        <v>28</v>
      </c>
      <c r="B387" s="206" t="s">
        <v>650</v>
      </c>
      <c r="C387" s="350" t="s">
        <v>1155</v>
      </c>
      <c r="D387" s="207" t="s">
        <v>1154</v>
      </c>
      <c r="E387" s="212" t="s">
        <v>745</v>
      </c>
      <c r="F387" s="209" t="s">
        <v>88</v>
      </c>
      <c r="G387" s="210">
        <v>5</v>
      </c>
      <c r="H387" s="210">
        <v>2</v>
      </c>
      <c r="I387" s="211">
        <v>1877.2</v>
      </c>
      <c r="J387" s="211">
        <v>1660.4</v>
      </c>
      <c r="K387" s="211">
        <v>78</v>
      </c>
      <c r="L387" s="205">
        <f>'Приложение 2 КСП 2018-2019 гг'!H388</f>
        <v>2092398</v>
      </c>
      <c r="M387" s="407">
        <v>0</v>
      </c>
      <c r="N387" s="407">
        <v>0</v>
      </c>
      <c r="O387" s="407">
        <v>0</v>
      </c>
      <c r="P387" s="407">
        <f t="shared" si="90"/>
        <v>2092398</v>
      </c>
      <c r="Q387" s="407">
        <v>0</v>
      </c>
      <c r="R387" s="267">
        <v>0</v>
      </c>
      <c r="S387" s="132" t="s">
        <v>590</v>
      </c>
      <c r="T387" s="126"/>
      <c r="U387" s="127"/>
    </row>
    <row r="388" spans="1:21" ht="9" customHeight="1">
      <c r="A388" s="406">
        <v>29</v>
      </c>
      <c r="B388" s="206" t="s">
        <v>651</v>
      </c>
      <c r="C388" s="350" t="s">
        <v>1155</v>
      </c>
      <c r="D388" s="207" t="s">
        <v>1154</v>
      </c>
      <c r="E388" s="212" t="s">
        <v>595</v>
      </c>
      <c r="F388" s="209" t="s">
        <v>90</v>
      </c>
      <c r="G388" s="210">
        <v>5</v>
      </c>
      <c r="H388" s="210">
        <v>4</v>
      </c>
      <c r="I388" s="211">
        <v>3829.9</v>
      </c>
      <c r="J388" s="211">
        <v>3517.9</v>
      </c>
      <c r="K388" s="211">
        <v>100</v>
      </c>
      <c r="L388" s="205">
        <f>'Приложение 2 КСП 2018-2019 гг'!H389</f>
        <v>3213976</v>
      </c>
      <c r="M388" s="407">
        <v>0</v>
      </c>
      <c r="N388" s="407">
        <v>0</v>
      </c>
      <c r="O388" s="407">
        <v>0</v>
      </c>
      <c r="P388" s="407">
        <f t="shared" si="90"/>
        <v>3213976</v>
      </c>
      <c r="Q388" s="407">
        <v>0</v>
      </c>
      <c r="R388" s="267">
        <v>0</v>
      </c>
      <c r="S388" s="132" t="s">
        <v>590</v>
      </c>
      <c r="T388" s="126"/>
      <c r="U388" s="127"/>
    </row>
    <row r="389" spans="1:21" ht="9" customHeight="1">
      <c r="A389" s="406">
        <v>30</v>
      </c>
      <c r="B389" s="206" t="s">
        <v>652</v>
      </c>
      <c r="C389" s="350" t="s">
        <v>1155</v>
      </c>
      <c r="D389" s="207" t="s">
        <v>1154</v>
      </c>
      <c r="E389" s="212" t="s">
        <v>596</v>
      </c>
      <c r="F389" s="209" t="s">
        <v>90</v>
      </c>
      <c r="G389" s="210">
        <v>5</v>
      </c>
      <c r="H389" s="210">
        <v>4</v>
      </c>
      <c r="I389" s="211">
        <v>3854</v>
      </c>
      <c r="J389" s="211">
        <v>3543</v>
      </c>
      <c r="K389" s="211">
        <v>36</v>
      </c>
      <c r="L389" s="205">
        <f>'Приложение 2 КСП 2018-2019 гг'!H390</f>
        <v>3270654</v>
      </c>
      <c r="M389" s="407">
        <v>0</v>
      </c>
      <c r="N389" s="407">
        <v>0</v>
      </c>
      <c r="O389" s="407">
        <v>0</v>
      </c>
      <c r="P389" s="407">
        <f t="shared" si="90"/>
        <v>3270654</v>
      </c>
      <c r="Q389" s="407">
        <v>0</v>
      </c>
      <c r="R389" s="267">
        <v>0</v>
      </c>
      <c r="S389" s="132" t="s">
        <v>590</v>
      </c>
      <c r="T389" s="126"/>
      <c r="U389" s="127"/>
    </row>
    <row r="390" spans="1:21" ht="9" customHeight="1">
      <c r="A390" s="406">
        <v>31</v>
      </c>
      <c r="B390" s="206" t="s">
        <v>653</v>
      </c>
      <c r="C390" s="350" t="s">
        <v>1155</v>
      </c>
      <c r="D390" s="207" t="s">
        <v>1154</v>
      </c>
      <c r="E390" s="212" t="s">
        <v>596</v>
      </c>
      <c r="F390" s="209" t="s">
        <v>90</v>
      </c>
      <c r="G390" s="210">
        <v>5</v>
      </c>
      <c r="H390" s="210">
        <v>4</v>
      </c>
      <c r="I390" s="211">
        <v>3847.5</v>
      </c>
      <c r="J390" s="211">
        <v>3546.1</v>
      </c>
      <c r="K390" s="211">
        <v>28</v>
      </c>
      <c r="L390" s="205">
        <f>'Приложение 2 КСП 2018-2019 гг'!H391</f>
        <v>3243982</v>
      </c>
      <c r="M390" s="407">
        <v>0</v>
      </c>
      <c r="N390" s="407">
        <v>0</v>
      </c>
      <c r="O390" s="407">
        <v>0</v>
      </c>
      <c r="P390" s="407">
        <f t="shared" si="90"/>
        <v>3243982</v>
      </c>
      <c r="Q390" s="407">
        <v>0</v>
      </c>
      <c r="R390" s="267">
        <v>0</v>
      </c>
      <c r="S390" s="132" t="s">
        <v>590</v>
      </c>
      <c r="T390" s="126"/>
      <c r="U390" s="127"/>
    </row>
    <row r="391" spans="1:21" ht="9" customHeight="1">
      <c r="A391" s="406">
        <v>32</v>
      </c>
      <c r="B391" s="206" t="s">
        <v>654</v>
      </c>
      <c r="C391" s="350" t="s">
        <v>1155</v>
      </c>
      <c r="D391" s="207" t="s">
        <v>1154</v>
      </c>
      <c r="E391" s="212" t="s">
        <v>607</v>
      </c>
      <c r="F391" s="209" t="s">
        <v>88</v>
      </c>
      <c r="G391" s="210">
        <v>5</v>
      </c>
      <c r="H391" s="210">
        <v>2</v>
      </c>
      <c r="I391" s="211">
        <v>4825.3999999999996</v>
      </c>
      <c r="J391" s="211">
        <v>2552.8000000000002</v>
      </c>
      <c r="K391" s="211">
        <v>268</v>
      </c>
      <c r="L391" s="205">
        <f>'Приложение 2 КСП 2018-2019 гг'!H392</f>
        <v>3800760</v>
      </c>
      <c r="M391" s="407">
        <v>0</v>
      </c>
      <c r="N391" s="407">
        <v>0</v>
      </c>
      <c r="O391" s="407">
        <v>0</v>
      </c>
      <c r="P391" s="407">
        <f t="shared" si="90"/>
        <v>3800760</v>
      </c>
      <c r="Q391" s="407">
        <v>0</v>
      </c>
      <c r="R391" s="267">
        <v>0</v>
      </c>
      <c r="S391" s="132" t="s">
        <v>590</v>
      </c>
      <c r="T391" s="126"/>
      <c r="U391" s="127"/>
    </row>
    <row r="392" spans="1:21" ht="9" customHeight="1">
      <c r="A392" s="406">
        <v>33</v>
      </c>
      <c r="B392" s="206" t="s">
        <v>655</v>
      </c>
      <c r="C392" s="350" t="s">
        <v>1155</v>
      </c>
      <c r="D392" s="207" t="s">
        <v>1154</v>
      </c>
      <c r="E392" s="212" t="s">
        <v>607</v>
      </c>
      <c r="F392" s="209" t="s">
        <v>88</v>
      </c>
      <c r="G392" s="210">
        <v>5</v>
      </c>
      <c r="H392" s="210">
        <v>1</v>
      </c>
      <c r="I392" s="211">
        <v>3991.3</v>
      </c>
      <c r="J392" s="211">
        <v>2652.1</v>
      </c>
      <c r="K392" s="211">
        <v>222</v>
      </c>
      <c r="L392" s="205">
        <f>'Приложение 2 КСП 2018-2019 гг'!H393</f>
        <v>3764086</v>
      </c>
      <c r="M392" s="407">
        <v>0</v>
      </c>
      <c r="N392" s="407">
        <v>0</v>
      </c>
      <c r="O392" s="407">
        <v>0</v>
      </c>
      <c r="P392" s="407">
        <f t="shared" si="90"/>
        <v>3764086</v>
      </c>
      <c r="Q392" s="407">
        <v>0</v>
      </c>
      <c r="R392" s="267">
        <v>0</v>
      </c>
      <c r="S392" s="132" t="s">
        <v>590</v>
      </c>
      <c r="T392" s="126"/>
      <c r="U392" s="127"/>
    </row>
    <row r="393" spans="1:21" ht="9" customHeight="1">
      <c r="A393" s="406">
        <v>34</v>
      </c>
      <c r="B393" s="206" t="s">
        <v>656</v>
      </c>
      <c r="C393" s="350" t="s">
        <v>1155</v>
      </c>
      <c r="D393" s="207" t="s">
        <v>1154</v>
      </c>
      <c r="E393" s="212" t="s">
        <v>592</v>
      </c>
      <c r="F393" s="209" t="s">
        <v>88</v>
      </c>
      <c r="G393" s="210">
        <v>9</v>
      </c>
      <c r="H393" s="210">
        <v>1</v>
      </c>
      <c r="I393" s="211">
        <v>6731.6</v>
      </c>
      <c r="J393" s="211">
        <v>3633.5</v>
      </c>
      <c r="K393" s="211">
        <v>349</v>
      </c>
      <c r="L393" s="205">
        <f>'Приложение 2 КСП 2018-2019 гг'!H394</f>
        <v>4117490</v>
      </c>
      <c r="M393" s="407">
        <v>0</v>
      </c>
      <c r="N393" s="407">
        <v>0</v>
      </c>
      <c r="O393" s="407">
        <v>0</v>
      </c>
      <c r="P393" s="407">
        <f t="shared" si="90"/>
        <v>4117490</v>
      </c>
      <c r="Q393" s="407">
        <v>0</v>
      </c>
      <c r="R393" s="267">
        <v>0</v>
      </c>
      <c r="S393" s="132" t="s">
        <v>590</v>
      </c>
      <c r="T393" s="126"/>
      <c r="U393" s="127"/>
    </row>
    <row r="394" spans="1:21" ht="9" customHeight="1">
      <c r="A394" s="406">
        <v>35</v>
      </c>
      <c r="B394" s="206" t="s">
        <v>657</v>
      </c>
      <c r="C394" s="350" t="s">
        <v>1155</v>
      </c>
      <c r="D394" s="207" t="s">
        <v>1154</v>
      </c>
      <c r="E394" s="212" t="s">
        <v>608</v>
      </c>
      <c r="F394" s="209" t="s">
        <v>88</v>
      </c>
      <c r="G394" s="210">
        <v>6</v>
      </c>
      <c r="H394" s="210">
        <v>1</v>
      </c>
      <c r="I394" s="211">
        <v>1214.25</v>
      </c>
      <c r="J394" s="211">
        <v>1072.0999999999999</v>
      </c>
      <c r="K394" s="211">
        <v>37</v>
      </c>
      <c r="L394" s="205">
        <f>'Приложение 2 КСП 2018-2019 гг'!H395</f>
        <v>833500</v>
      </c>
      <c r="M394" s="407">
        <v>0</v>
      </c>
      <c r="N394" s="407">
        <v>0</v>
      </c>
      <c r="O394" s="407">
        <v>0</v>
      </c>
      <c r="P394" s="407">
        <f t="shared" si="90"/>
        <v>833500</v>
      </c>
      <c r="Q394" s="407">
        <v>0</v>
      </c>
      <c r="R394" s="267">
        <v>0</v>
      </c>
      <c r="S394" s="132" t="s">
        <v>590</v>
      </c>
      <c r="T394" s="126"/>
      <c r="U394" s="127"/>
    </row>
    <row r="395" spans="1:21" ht="9" customHeight="1">
      <c r="A395" s="406">
        <v>36</v>
      </c>
      <c r="B395" s="206" t="s">
        <v>658</v>
      </c>
      <c r="C395" s="350" t="s">
        <v>1155</v>
      </c>
      <c r="D395" s="207" t="s">
        <v>1154</v>
      </c>
      <c r="E395" s="212" t="s">
        <v>595</v>
      </c>
      <c r="F395" s="209" t="s">
        <v>88</v>
      </c>
      <c r="G395" s="210">
        <v>5</v>
      </c>
      <c r="H395" s="210">
        <v>3</v>
      </c>
      <c r="I395" s="211">
        <v>2702.8</v>
      </c>
      <c r="J395" s="211">
        <v>2518.3000000000002</v>
      </c>
      <c r="K395" s="211">
        <v>122</v>
      </c>
      <c r="L395" s="205">
        <f>'Приложение 2 КСП 2018-2019 гг'!H396</f>
        <v>3104640</v>
      </c>
      <c r="M395" s="407">
        <v>0</v>
      </c>
      <c r="N395" s="407">
        <v>0</v>
      </c>
      <c r="O395" s="407">
        <v>0</v>
      </c>
      <c r="P395" s="407">
        <f t="shared" si="90"/>
        <v>3104640</v>
      </c>
      <c r="Q395" s="407">
        <v>0</v>
      </c>
      <c r="R395" s="267">
        <v>0</v>
      </c>
      <c r="S395" s="132" t="s">
        <v>590</v>
      </c>
      <c r="T395" s="126"/>
      <c r="U395" s="127"/>
    </row>
    <row r="396" spans="1:21" ht="9" customHeight="1">
      <c r="A396" s="406">
        <v>37</v>
      </c>
      <c r="B396" s="206" t="s">
        <v>659</v>
      </c>
      <c r="C396" s="350" t="s">
        <v>1155</v>
      </c>
      <c r="D396" s="207" t="s">
        <v>1154</v>
      </c>
      <c r="E396" s="212" t="s">
        <v>610</v>
      </c>
      <c r="F396" s="209" t="s">
        <v>88</v>
      </c>
      <c r="G396" s="210">
        <v>5</v>
      </c>
      <c r="H396" s="210">
        <v>4</v>
      </c>
      <c r="I396" s="211">
        <v>3634.1</v>
      </c>
      <c r="J396" s="211">
        <v>3239.1</v>
      </c>
      <c r="K396" s="211">
        <v>150</v>
      </c>
      <c r="L396" s="205">
        <f>'Приложение 2 КСП 2018-2019 гг'!H397</f>
        <v>3386677.2</v>
      </c>
      <c r="M396" s="407">
        <v>0</v>
      </c>
      <c r="N396" s="407">
        <v>0</v>
      </c>
      <c r="O396" s="407">
        <v>0</v>
      </c>
      <c r="P396" s="407">
        <f t="shared" si="90"/>
        <v>3386677.2</v>
      </c>
      <c r="Q396" s="407">
        <v>0</v>
      </c>
      <c r="R396" s="267">
        <v>0</v>
      </c>
      <c r="S396" s="132" t="s">
        <v>590</v>
      </c>
      <c r="T396" s="126"/>
      <c r="U396" s="127"/>
    </row>
    <row r="397" spans="1:21" ht="9" customHeight="1">
      <c r="A397" s="406">
        <v>38</v>
      </c>
      <c r="B397" s="206" t="s">
        <v>660</v>
      </c>
      <c r="C397" s="350" t="s">
        <v>1155</v>
      </c>
      <c r="D397" s="207" t="s">
        <v>1154</v>
      </c>
      <c r="E397" s="212" t="s">
        <v>591</v>
      </c>
      <c r="F397" s="209" t="s">
        <v>88</v>
      </c>
      <c r="G397" s="210">
        <v>5</v>
      </c>
      <c r="H397" s="210">
        <v>4</v>
      </c>
      <c r="I397" s="211">
        <v>3711.1</v>
      </c>
      <c r="J397" s="211">
        <v>3151.3</v>
      </c>
      <c r="K397" s="211">
        <v>147</v>
      </c>
      <c r="L397" s="205">
        <f>'Приложение 2 КСП 2018-2019 гг'!H398</f>
        <v>3484030</v>
      </c>
      <c r="M397" s="407">
        <v>0</v>
      </c>
      <c r="N397" s="407">
        <v>0</v>
      </c>
      <c r="O397" s="407">
        <v>0</v>
      </c>
      <c r="P397" s="407">
        <f t="shared" si="90"/>
        <v>3484030</v>
      </c>
      <c r="Q397" s="407">
        <v>0</v>
      </c>
      <c r="R397" s="267">
        <v>0</v>
      </c>
      <c r="S397" s="132" t="s">
        <v>590</v>
      </c>
      <c r="T397" s="126"/>
      <c r="U397" s="127"/>
    </row>
    <row r="398" spans="1:21" ht="9" customHeight="1">
      <c r="A398" s="406">
        <v>39</v>
      </c>
      <c r="B398" s="206" t="s">
        <v>661</v>
      </c>
      <c r="C398" s="350" t="s">
        <v>1155</v>
      </c>
      <c r="D398" s="207" t="s">
        <v>1154</v>
      </c>
      <c r="E398" s="212" t="s">
        <v>745</v>
      </c>
      <c r="F398" s="209" t="s">
        <v>88</v>
      </c>
      <c r="G398" s="210">
        <v>5</v>
      </c>
      <c r="H398" s="210">
        <v>3</v>
      </c>
      <c r="I398" s="211">
        <v>2830.5</v>
      </c>
      <c r="J398" s="211">
        <v>2529.1999999999998</v>
      </c>
      <c r="K398" s="211">
        <v>128</v>
      </c>
      <c r="L398" s="205">
        <f>'Приложение 2 КСП 2018-2019 гг'!H399</f>
        <v>2297126</v>
      </c>
      <c r="M398" s="407">
        <v>0</v>
      </c>
      <c r="N398" s="407">
        <v>0</v>
      </c>
      <c r="O398" s="407">
        <v>0</v>
      </c>
      <c r="P398" s="407">
        <f t="shared" si="90"/>
        <v>2297126</v>
      </c>
      <c r="Q398" s="407">
        <v>0</v>
      </c>
      <c r="R398" s="267">
        <v>0</v>
      </c>
      <c r="S398" s="132" t="s">
        <v>590</v>
      </c>
      <c r="T398" s="126"/>
      <c r="U398" s="127"/>
    </row>
    <row r="399" spans="1:21" ht="9" customHeight="1">
      <c r="A399" s="406">
        <v>40</v>
      </c>
      <c r="B399" s="206" t="s">
        <v>662</v>
      </c>
      <c r="C399" s="350" t="s">
        <v>1155</v>
      </c>
      <c r="D399" s="207" t="s">
        <v>1154</v>
      </c>
      <c r="E399" s="212" t="s">
        <v>606</v>
      </c>
      <c r="F399" s="209" t="s">
        <v>88</v>
      </c>
      <c r="G399" s="210">
        <v>5</v>
      </c>
      <c r="H399" s="210">
        <v>3</v>
      </c>
      <c r="I399" s="211">
        <v>3061.1</v>
      </c>
      <c r="J399" s="211">
        <v>2706.6</v>
      </c>
      <c r="K399" s="211">
        <v>58</v>
      </c>
      <c r="L399" s="205">
        <f>'Приложение 2 КСП 2018-2019 гг'!H400</f>
        <v>3453912</v>
      </c>
      <c r="M399" s="407">
        <v>0</v>
      </c>
      <c r="N399" s="407">
        <v>0</v>
      </c>
      <c r="O399" s="407">
        <v>0</v>
      </c>
      <c r="P399" s="407">
        <f t="shared" si="90"/>
        <v>3453912</v>
      </c>
      <c r="Q399" s="407">
        <v>0</v>
      </c>
      <c r="R399" s="267">
        <v>0</v>
      </c>
      <c r="S399" s="132" t="s">
        <v>590</v>
      </c>
      <c r="T399" s="126"/>
      <c r="U399" s="127"/>
    </row>
    <row r="400" spans="1:21" ht="9" customHeight="1">
      <c r="A400" s="406">
        <v>41</v>
      </c>
      <c r="B400" s="206" t="s">
        <v>663</v>
      </c>
      <c r="C400" s="350" t="s">
        <v>1155</v>
      </c>
      <c r="D400" s="207" t="s">
        <v>1154</v>
      </c>
      <c r="E400" s="212" t="s">
        <v>611</v>
      </c>
      <c r="F400" s="209" t="s">
        <v>90</v>
      </c>
      <c r="G400" s="210">
        <v>5</v>
      </c>
      <c r="H400" s="210">
        <v>4</v>
      </c>
      <c r="I400" s="211">
        <v>3983.8</v>
      </c>
      <c r="J400" s="211">
        <v>3586.8</v>
      </c>
      <c r="K400" s="211">
        <v>134</v>
      </c>
      <c r="L400" s="205">
        <f>'Приложение 2 КСП 2018-2019 гг'!H401</f>
        <v>3897446</v>
      </c>
      <c r="M400" s="407">
        <v>0</v>
      </c>
      <c r="N400" s="407">
        <v>0</v>
      </c>
      <c r="O400" s="407">
        <v>0</v>
      </c>
      <c r="P400" s="407">
        <f t="shared" si="90"/>
        <v>3897446</v>
      </c>
      <c r="Q400" s="407">
        <v>0</v>
      </c>
      <c r="R400" s="267">
        <v>0</v>
      </c>
      <c r="S400" s="132" t="s">
        <v>590</v>
      </c>
      <c r="T400" s="126"/>
      <c r="U400" s="127"/>
    </row>
    <row r="401" spans="1:21" ht="9" customHeight="1">
      <c r="A401" s="406">
        <v>42</v>
      </c>
      <c r="B401" s="206" t="s">
        <v>664</v>
      </c>
      <c r="C401" s="350" t="s">
        <v>1155</v>
      </c>
      <c r="D401" s="207" t="s">
        <v>1154</v>
      </c>
      <c r="E401" s="212" t="s">
        <v>328</v>
      </c>
      <c r="F401" s="209" t="s">
        <v>88</v>
      </c>
      <c r="G401" s="210">
        <v>5</v>
      </c>
      <c r="H401" s="210">
        <v>8</v>
      </c>
      <c r="I401" s="211">
        <v>9035.6</v>
      </c>
      <c r="J401" s="211">
        <v>5705.4</v>
      </c>
      <c r="K401" s="211">
        <v>235</v>
      </c>
      <c r="L401" s="205">
        <f>'Приложение 2 КСП 2018-2019 гг'!H402</f>
        <v>8335000</v>
      </c>
      <c r="M401" s="407">
        <v>0</v>
      </c>
      <c r="N401" s="407">
        <v>0</v>
      </c>
      <c r="O401" s="407">
        <v>0</v>
      </c>
      <c r="P401" s="407">
        <f t="shared" si="90"/>
        <v>8335000</v>
      </c>
      <c r="Q401" s="407">
        <v>0</v>
      </c>
      <c r="R401" s="267">
        <v>0</v>
      </c>
      <c r="S401" s="132" t="s">
        <v>590</v>
      </c>
      <c r="T401" s="126"/>
      <c r="U401" s="127"/>
    </row>
    <row r="402" spans="1:21" ht="9" customHeight="1">
      <c r="A402" s="406">
        <v>43</v>
      </c>
      <c r="B402" s="206" t="s">
        <v>665</v>
      </c>
      <c r="C402" s="350" t="s">
        <v>1155</v>
      </c>
      <c r="D402" s="207" t="s">
        <v>1154</v>
      </c>
      <c r="E402" s="212" t="s">
        <v>613</v>
      </c>
      <c r="F402" s="209" t="s">
        <v>88</v>
      </c>
      <c r="G402" s="210">
        <v>5</v>
      </c>
      <c r="H402" s="210">
        <v>6</v>
      </c>
      <c r="I402" s="211">
        <v>6465.15</v>
      </c>
      <c r="J402" s="211">
        <v>3841.74</v>
      </c>
      <c r="K402" s="211">
        <v>180</v>
      </c>
      <c r="L402" s="205">
        <f>'Приложение 2 КСП 2018-2019 гг'!H403</f>
        <v>6024942</v>
      </c>
      <c r="M402" s="407">
        <v>0</v>
      </c>
      <c r="N402" s="407">
        <v>0</v>
      </c>
      <c r="O402" s="407">
        <v>0</v>
      </c>
      <c r="P402" s="407">
        <f t="shared" si="90"/>
        <v>6024942</v>
      </c>
      <c r="Q402" s="407">
        <v>0</v>
      </c>
      <c r="R402" s="267">
        <v>0</v>
      </c>
      <c r="S402" s="132" t="s">
        <v>590</v>
      </c>
      <c r="T402" s="126"/>
      <c r="U402" s="127"/>
    </row>
    <row r="403" spans="1:21" ht="9" customHeight="1">
      <c r="A403" s="406">
        <v>44</v>
      </c>
      <c r="B403" s="206" t="s">
        <v>666</v>
      </c>
      <c r="C403" s="350" t="s">
        <v>1155</v>
      </c>
      <c r="D403" s="207" t="s">
        <v>1154</v>
      </c>
      <c r="E403" s="212" t="s">
        <v>618</v>
      </c>
      <c r="F403" s="209" t="s">
        <v>88</v>
      </c>
      <c r="G403" s="210">
        <v>12</v>
      </c>
      <c r="H403" s="210">
        <v>1</v>
      </c>
      <c r="I403" s="211">
        <v>4783.5</v>
      </c>
      <c r="J403" s="211">
        <v>3925.3</v>
      </c>
      <c r="K403" s="211">
        <v>167</v>
      </c>
      <c r="L403" s="205">
        <f>'Приложение 2 КСП 2018-2019 гг'!H404</f>
        <v>3317330</v>
      </c>
      <c r="M403" s="407">
        <v>0</v>
      </c>
      <c r="N403" s="407">
        <v>0</v>
      </c>
      <c r="O403" s="407">
        <v>0</v>
      </c>
      <c r="P403" s="407">
        <f t="shared" si="90"/>
        <v>3317330</v>
      </c>
      <c r="Q403" s="407">
        <v>0</v>
      </c>
      <c r="R403" s="267">
        <v>0</v>
      </c>
      <c r="S403" s="132" t="s">
        <v>590</v>
      </c>
      <c r="T403" s="126"/>
      <c r="U403" s="127"/>
    </row>
    <row r="404" spans="1:21" ht="9" customHeight="1">
      <c r="A404" s="406">
        <v>45</v>
      </c>
      <c r="B404" s="206" t="s">
        <v>667</v>
      </c>
      <c r="C404" s="350" t="s">
        <v>1155</v>
      </c>
      <c r="D404" s="207" t="s">
        <v>1154</v>
      </c>
      <c r="E404" s="212" t="s">
        <v>610</v>
      </c>
      <c r="F404" s="209" t="s">
        <v>88</v>
      </c>
      <c r="G404" s="210">
        <v>5</v>
      </c>
      <c r="H404" s="210">
        <v>3</v>
      </c>
      <c r="I404" s="211">
        <v>2657.1</v>
      </c>
      <c r="J404" s="211">
        <v>2034.9</v>
      </c>
      <c r="K404" s="211">
        <v>151</v>
      </c>
      <c r="L404" s="205">
        <f>'Приложение 2 КСП 2018-2019 гг'!H405</f>
        <v>2781240</v>
      </c>
      <c r="M404" s="407">
        <v>0</v>
      </c>
      <c r="N404" s="407">
        <v>0</v>
      </c>
      <c r="O404" s="407">
        <v>0</v>
      </c>
      <c r="P404" s="407">
        <f t="shared" si="90"/>
        <v>2781240</v>
      </c>
      <c r="Q404" s="407">
        <v>0</v>
      </c>
      <c r="R404" s="267">
        <v>0</v>
      </c>
      <c r="S404" s="132" t="s">
        <v>590</v>
      </c>
      <c r="T404" s="126"/>
      <c r="U404" s="127"/>
    </row>
    <row r="405" spans="1:21" ht="9" customHeight="1">
      <c r="A405" s="406">
        <v>46</v>
      </c>
      <c r="B405" s="206" t="s">
        <v>668</v>
      </c>
      <c r="C405" s="350" t="s">
        <v>1155</v>
      </c>
      <c r="D405" s="207" t="s">
        <v>1154</v>
      </c>
      <c r="E405" s="212" t="s">
        <v>610</v>
      </c>
      <c r="F405" s="209" t="s">
        <v>90</v>
      </c>
      <c r="G405" s="210">
        <v>5</v>
      </c>
      <c r="H405" s="210">
        <v>4</v>
      </c>
      <c r="I405" s="211">
        <v>3781.8</v>
      </c>
      <c r="J405" s="211">
        <v>3477.8</v>
      </c>
      <c r="K405" s="211">
        <v>164</v>
      </c>
      <c r="L405" s="205">
        <f>'Приложение 2 КСП 2018-2019 гг'!H406</f>
        <v>3783780</v>
      </c>
      <c r="M405" s="407">
        <v>0</v>
      </c>
      <c r="N405" s="407">
        <v>0</v>
      </c>
      <c r="O405" s="407">
        <v>0</v>
      </c>
      <c r="P405" s="407">
        <f t="shared" si="90"/>
        <v>3783780</v>
      </c>
      <c r="Q405" s="407">
        <v>0</v>
      </c>
      <c r="R405" s="267">
        <v>0</v>
      </c>
      <c r="S405" s="132" t="s">
        <v>590</v>
      </c>
      <c r="T405" s="126"/>
      <c r="U405" s="127"/>
    </row>
    <row r="406" spans="1:21" ht="9" customHeight="1">
      <c r="A406" s="406">
        <v>47</v>
      </c>
      <c r="B406" s="206" t="s">
        <v>669</v>
      </c>
      <c r="C406" s="350" t="s">
        <v>1155</v>
      </c>
      <c r="D406" s="207" t="s">
        <v>1154</v>
      </c>
      <c r="E406" s="212" t="s">
        <v>595</v>
      </c>
      <c r="F406" s="209" t="s">
        <v>88</v>
      </c>
      <c r="G406" s="210">
        <v>5</v>
      </c>
      <c r="H406" s="210">
        <v>3</v>
      </c>
      <c r="I406" s="211">
        <v>2633.8</v>
      </c>
      <c r="J406" s="211">
        <v>2399.8000000000002</v>
      </c>
      <c r="K406" s="211">
        <v>100</v>
      </c>
      <c r="L406" s="205">
        <f>'Приложение 2 КСП 2018-2019 гг'!H407</f>
        <v>2868558</v>
      </c>
      <c r="M406" s="407">
        <v>0</v>
      </c>
      <c r="N406" s="407">
        <v>0</v>
      </c>
      <c r="O406" s="407">
        <v>0</v>
      </c>
      <c r="P406" s="407">
        <f t="shared" si="90"/>
        <v>2868558</v>
      </c>
      <c r="Q406" s="407">
        <v>0</v>
      </c>
      <c r="R406" s="267">
        <v>0</v>
      </c>
      <c r="S406" s="132" t="s">
        <v>590</v>
      </c>
      <c r="T406" s="126"/>
      <c r="U406" s="127"/>
    </row>
    <row r="407" spans="1:21" ht="9" customHeight="1">
      <c r="A407" s="406">
        <v>48</v>
      </c>
      <c r="B407" s="206" t="s">
        <v>670</v>
      </c>
      <c r="C407" s="350" t="s">
        <v>1155</v>
      </c>
      <c r="D407" s="207" t="s">
        <v>1154</v>
      </c>
      <c r="E407" s="212" t="s">
        <v>595</v>
      </c>
      <c r="F407" s="209" t="s">
        <v>88</v>
      </c>
      <c r="G407" s="210">
        <v>5</v>
      </c>
      <c r="H407" s="210">
        <v>2</v>
      </c>
      <c r="I407" s="211">
        <v>2058.4</v>
      </c>
      <c r="J407" s="211">
        <v>1601</v>
      </c>
      <c r="K407" s="211">
        <v>52</v>
      </c>
      <c r="L407" s="205">
        <f>'Приложение 2 КСП 2018-2019 гг'!H408</f>
        <v>1878954</v>
      </c>
      <c r="M407" s="407">
        <v>0</v>
      </c>
      <c r="N407" s="407">
        <v>0</v>
      </c>
      <c r="O407" s="407">
        <v>0</v>
      </c>
      <c r="P407" s="407">
        <f t="shared" si="90"/>
        <v>1878954</v>
      </c>
      <c r="Q407" s="407">
        <v>0</v>
      </c>
      <c r="R407" s="267">
        <v>0</v>
      </c>
      <c r="S407" s="132" t="s">
        <v>590</v>
      </c>
      <c r="T407" s="126"/>
      <c r="U407" s="127"/>
    </row>
    <row r="408" spans="1:21" ht="9" customHeight="1">
      <c r="A408" s="406">
        <v>49</v>
      </c>
      <c r="B408" s="206" t="s">
        <v>671</v>
      </c>
      <c r="C408" s="350" t="s">
        <v>1155</v>
      </c>
      <c r="D408" s="207" t="s">
        <v>1154</v>
      </c>
      <c r="E408" s="212" t="s">
        <v>599</v>
      </c>
      <c r="F408" s="209" t="s">
        <v>88</v>
      </c>
      <c r="G408" s="210">
        <v>5</v>
      </c>
      <c r="H408" s="210">
        <v>3</v>
      </c>
      <c r="I408" s="211">
        <v>2093.8000000000002</v>
      </c>
      <c r="J408" s="211">
        <v>1855.1</v>
      </c>
      <c r="K408" s="211">
        <v>68</v>
      </c>
      <c r="L408" s="205">
        <f>'Приложение 2 КСП 2018-2019 гг'!H409</f>
        <v>1380276</v>
      </c>
      <c r="M408" s="407">
        <v>0</v>
      </c>
      <c r="N408" s="407">
        <v>0</v>
      </c>
      <c r="O408" s="407">
        <v>0</v>
      </c>
      <c r="P408" s="407">
        <f t="shared" si="90"/>
        <v>1380276</v>
      </c>
      <c r="Q408" s="407">
        <v>0</v>
      </c>
      <c r="R408" s="267">
        <v>0</v>
      </c>
      <c r="S408" s="132" t="s">
        <v>590</v>
      </c>
      <c r="T408" s="126"/>
      <c r="U408" s="127"/>
    </row>
    <row r="409" spans="1:21" ht="9" customHeight="1">
      <c r="A409" s="406">
        <v>50</v>
      </c>
      <c r="B409" s="206" t="s">
        <v>672</v>
      </c>
      <c r="C409" s="350" t="s">
        <v>1155</v>
      </c>
      <c r="D409" s="207" t="s">
        <v>1154</v>
      </c>
      <c r="E409" s="212" t="s">
        <v>596</v>
      </c>
      <c r="F409" s="209" t="s">
        <v>88</v>
      </c>
      <c r="G409" s="210">
        <v>5</v>
      </c>
      <c r="H409" s="210">
        <v>3</v>
      </c>
      <c r="I409" s="211">
        <v>2802.1</v>
      </c>
      <c r="J409" s="211">
        <v>2568.1</v>
      </c>
      <c r="K409" s="211">
        <v>120</v>
      </c>
      <c r="L409" s="205">
        <f>'Приложение 2 КСП 2018-2019 гг'!H410</f>
        <v>2926770</v>
      </c>
      <c r="M409" s="407">
        <v>0</v>
      </c>
      <c r="N409" s="407">
        <v>0</v>
      </c>
      <c r="O409" s="407">
        <v>0</v>
      </c>
      <c r="P409" s="407">
        <f t="shared" si="90"/>
        <v>2926770</v>
      </c>
      <c r="Q409" s="407">
        <v>0</v>
      </c>
      <c r="R409" s="267">
        <v>0</v>
      </c>
      <c r="S409" s="132" t="s">
        <v>590</v>
      </c>
      <c r="T409" s="126"/>
      <c r="U409" s="127"/>
    </row>
    <row r="410" spans="1:21" ht="9" customHeight="1">
      <c r="A410" s="406">
        <v>51</v>
      </c>
      <c r="B410" s="206" t="s">
        <v>673</v>
      </c>
      <c r="C410" s="350" t="s">
        <v>1155</v>
      </c>
      <c r="D410" s="207" t="s">
        <v>1154</v>
      </c>
      <c r="E410" s="212" t="s">
        <v>595</v>
      </c>
      <c r="F410" s="209" t="s">
        <v>88</v>
      </c>
      <c r="G410" s="210">
        <v>5</v>
      </c>
      <c r="H410" s="210">
        <v>5</v>
      </c>
      <c r="I410" s="211">
        <v>4569.6000000000004</v>
      </c>
      <c r="J410" s="211">
        <v>3770.3</v>
      </c>
      <c r="K410" s="211">
        <v>149</v>
      </c>
      <c r="L410" s="205">
        <f>'Приложение 2 КСП 2018-2019 гг'!H411</f>
        <v>1420284</v>
      </c>
      <c r="M410" s="407">
        <v>0</v>
      </c>
      <c r="N410" s="407">
        <v>0</v>
      </c>
      <c r="O410" s="407">
        <v>0</v>
      </c>
      <c r="P410" s="407">
        <f t="shared" si="90"/>
        <v>1420284</v>
      </c>
      <c r="Q410" s="407">
        <v>0</v>
      </c>
      <c r="R410" s="267">
        <v>0</v>
      </c>
      <c r="S410" s="132" t="s">
        <v>590</v>
      </c>
      <c r="T410" s="126"/>
      <c r="U410" s="127"/>
    </row>
    <row r="411" spans="1:21" ht="9" customHeight="1">
      <c r="A411" s="406">
        <v>52</v>
      </c>
      <c r="B411" s="206" t="s">
        <v>674</v>
      </c>
      <c r="C411" s="350" t="s">
        <v>1155</v>
      </c>
      <c r="D411" s="207" t="s">
        <v>1154</v>
      </c>
      <c r="E411" s="212" t="s">
        <v>595</v>
      </c>
      <c r="F411" s="209" t="s">
        <v>88</v>
      </c>
      <c r="G411" s="210">
        <v>5</v>
      </c>
      <c r="H411" s="210">
        <v>3</v>
      </c>
      <c r="I411" s="211">
        <v>2746.3</v>
      </c>
      <c r="J411" s="211">
        <v>2512.3000000000002</v>
      </c>
      <c r="K411" s="211">
        <v>120</v>
      </c>
      <c r="L411" s="205">
        <f>'Приложение 2 КСП 2018-2019 гг'!H412</f>
        <v>3020556</v>
      </c>
      <c r="M411" s="407">
        <v>0</v>
      </c>
      <c r="N411" s="407">
        <v>0</v>
      </c>
      <c r="O411" s="407">
        <v>0</v>
      </c>
      <c r="P411" s="407">
        <f t="shared" si="90"/>
        <v>3020556</v>
      </c>
      <c r="Q411" s="407">
        <v>0</v>
      </c>
      <c r="R411" s="267">
        <v>0</v>
      </c>
      <c r="S411" s="132" t="s">
        <v>590</v>
      </c>
      <c r="T411" s="126"/>
      <c r="U411" s="127"/>
    </row>
    <row r="412" spans="1:21" ht="9" customHeight="1">
      <c r="A412" s="406">
        <v>53</v>
      </c>
      <c r="B412" s="206" t="s">
        <v>675</v>
      </c>
      <c r="C412" s="350" t="s">
        <v>1155</v>
      </c>
      <c r="D412" s="207" t="s">
        <v>1154</v>
      </c>
      <c r="E412" s="212" t="s">
        <v>595</v>
      </c>
      <c r="F412" s="209" t="s">
        <v>88</v>
      </c>
      <c r="G412" s="210">
        <v>5</v>
      </c>
      <c r="H412" s="210">
        <v>3</v>
      </c>
      <c r="I412" s="211">
        <v>2564.6999999999998</v>
      </c>
      <c r="J412" s="211">
        <v>2126.6</v>
      </c>
      <c r="K412" s="211">
        <v>83</v>
      </c>
      <c r="L412" s="205">
        <f>'Приложение 2 КСП 2018-2019 гг'!H413</f>
        <v>2891196</v>
      </c>
      <c r="M412" s="407">
        <v>0</v>
      </c>
      <c r="N412" s="407">
        <v>0</v>
      </c>
      <c r="O412" s="407">
        <v>0</v>
      </c>
      <c r="P412" s="407">
        <f t="shared" si="90"/>
        <v>2891196</v>
      </c>
      <c r="Q412" s="407">
        <v>0</v>
      </c>
      <c r="R412" s="267">
        <v>0</v>
      </c>
      <c r="S412" s="132" t="s">
        <v>590</v>
      </c>
      <c r="T412" s="126"/>
      <c r="U412" s="127"/>
    </row>
    <row r="413" spans="1:21" ht="9" customHeight="1">
      <c r="A413" s="406">
        <v>54</v>
      </c>
      <c r="B413" s="206" t="s">
        <v>676</v>
      </c>
      <c r="C413" s="350" t="s">
        <v>1155</v>
      </c>
      <c r="D413" s="207" t="s">
        <v>1154</v>
      </c>
      <c r="E413" s="212" t="s">
        <v>595</v>
      </c>
      <c r="F413" s="209" t="s">
        <v>88</v>
      </c>
      <c r="G413" s="210">
        <v>5</v>
      </c>
      <c r="H413" s="210">
        <v>3</v>
      </c>
      <c r="I413" s="211">
        <v>2723.1</v>
      </c>
      <c r="J413" s="211">
        <v>2489.1</v>
      </c>
      <c r="K413" s="211">
        <v>135</v>
      </c>
      <c r="L413" s="205">
        <f>'Приложение 2 КСП 2018-2019 гг'!H414</f>
        <v>2868558</v>
      </c>
      <c r="M413" s="407">
        <v>0</v>
      </c>
      <c r="N413" s="407">
        <v>0</v>
      </c>
      <c r="O413" s="407">
        <v>0</v>
      </c>
      <c r="P413" s="407">
        <f t="shared" si="90"/>
        <v>2868558</v>
      </c>
      <c r="Q413" s="407">
        <v>0</v>
      </c>
      <c r="R413" s="267">
        <v>0</v>
      </c>
      <c r="S413" s="132" t="s">
        <v>590</v>
      </c>
      <c r="T413" s="126"/>
      <c r="U413" s="127"/>
    </row>
    <row r="414" spans="1:21" ht="9" customHeight="1">
      <c r="A414" s="406">
        <v>55</v>
      </c>
      <c r="B414" s="206" t="s">
        <v>677</v>
      </c>
      <c r="C414" s="350" t="s">
        <v>1155</v>
      </c>
      <c r="D414" s="207" t="s">
        <v>1154</v>
      </c>
      <c r="E414" s="212" t="s">
        <v>599</v>
      </c>
      <c r="F414" s="209" t="s">
        <v>88</v>
      </c>
      <c r="G414" s="210">
        <v>5</v>
      </c>
      <c r="H414" s="210">
        <v>2</v>
      </c>
      <c r="I414" s="211">
        <v>1527.8</v>
      </c>
      <c r="J414" s="211">
        <v>1360.9</v>
      </c>
      <c r="K414" s="211">
        <v>73</v>
      </c>
      <c r="L414" s="205">
        <f>'Приложение 2 КСП 2018-2019 гг'!H415</f>
        <v>1862784</v>
      </c>
      <c r="M414" s="407">
        <v>0</v>
      </c>
      <c r="N414" s="407">
        <v>0</v>
      </c>
      <c r="O414" s="407">
        <v>0</v>
      </c>
      <c r="P414" s="407">
        <f t="shared" si="90"/>
        <v>1862784</v>
      </c>
      <c r="Q414" s="407">
        <v>0</v>
      </c>
      <c r="R414" s="267">
        <v>0</v>
      </c>
      <c r="S414" s="132" t="s">
        <v>590</v>
      </c>
      <c r="T414" s="126"/>
      <c r="U414" s="127"/>
    </row>
    <row r="415" spans="1:21" ht="9" customHeight="1">
      <c r="A415" s="406">
        <v>56</v>
      </c>
      <c r="B415" s="206" t="s">
        <v>678</v>
      </c>
      <c r="C415" s="350" t="s">
        <v>1155</v>
      </c>
      <c r="D415" s="207" t="s">
        <v>1154</v>
      </c>
      <c r="E415" s="212" t="s">
        <v>607</v>
      </c>
      <c r="F415" s="209" t="s">
        <v>88</v>
      </c>
      <c r="G415" s="210">
        <v>9</v>
      </c>
      <c r="H415" s="210">
        <v>1</v>
      </c>
      <c r="I415" s="211">
        <v>2551.5</v>
      </c>
      <c r="J415" s="211">
        <v>2273.4</v>
      </c>
      <c r="K415" s="211">
        <v>102</v>
      </c>
      <c r="L415" s="205">
        <f>'Приложение 2 КСП 2018-2019 гг'!H416</f>
        <v>1233580</v>
      </c>
      <c r="M415" s="407">
        <v>0</v>
      </c>
      <c r="N415" s="407">
        <v>0</v>
      </c>
      <c r="O415" s="407">
        <v>0</v>
      </c>
      <c r="P415" s="407">
        <f t="shared" si="90"/>
        <v>1233580</v>
      </c>
      <c r="Q415" s="407">
        <v>0</v>
      </c>
      <c r="R415" s="267">
        <v>0</v>
      </c>
      <c r="S415" s="132" t="s">
        <v>590</v>
      </c>
      <c r="T415" s="126"/>
      <c r="U415" s="127"/>
    </row>
    <row r="416" spans="1:21" ht="9" customHeight="1">
      <c r="A416" s="406">
        <v>57</v>
      </c>
      <c r="B416" s="206" t="s">
        <v>679</v>
      </c>
      <c r="C416" s="350" t="s">
        <v>1155</v>
      </c>
      <c r="D416" s="207" t="s">
        <v>1154</v>
      </c>
      <c r="E416" s="212" t="s">
        <v>610</v>
      </c>
      <c r="F416" s="209" t="s">
        <v>88</v>
      </c>
      <c r="G416" s="210">
        <v>5</v>
      </c>
      <c r="H416" s="210">
        <v>4</v>
      </c>
      <c r="I416" s="211">
        <v>3496.65</v>
      </c>
      <c r="J416" s="211">
        <v>3184.65</v>
      </c>
      <c r="K416" s="211">
        <v>148</v>
      </c>
      <c r="L416" s="205">
        <f>'Приложение 2 КСП 2018-2019 гг'!H417</f>
        <v>3124044</v>
      </c>
      <c r="M416" s="407">
        <v>0</v>
      </c>
      <c r="N416" s="407">
        <v>0</v>
      </c>
      <c r="O416" s="407">
        <v>0</v>
      </c>
      <c r="P416" s="407">
        <f t="shared" si="90"/>
        <v>3124044</v>
      </c>
      <c r="Q416" s="407">
        <v>0</v>
      </c>
      <c r="R416" s="267">
        <v>0</v>
      </c>
      <c r="S416" s="132" t="s">
        <v>590</v>
      </c>
      <c r="T416" s="126"/>
      <c r="U416" s="127"/>
    </row>
    <row r="417" spans="1:21" ht="9" customHeight="1">
      <c r="A417" s="406">
        <v>58</v>
      </c>
      <c r="B417" s="206" t="s">
        <v>680</v>
      </c>
      <c r="C417" s="350" t="s">
        <v>1155</v>
      </c>
      <c r="D417" s="207" t="s">
        <v>1154</v>
      </c>
      <c r="E417" s="212" t="s">
        <v>611</v>
      </c>
      <c r="F417" s="209" t="s">
        <v>90</v>
      </c>
      <c r="G417" s="210">
        <v>5</v>
      </c>
      <c r="H417" s="210">
        <v>4</v>
      </c>
      <c r="I417" s="211">
        <v>3898.8</v>
      </c>
      <c r="J417" s="211">
        <v>3514.8</v>
      </c>
      <c r="K417" s="211">
        <v>179</v>
      </c>
      <c r="L417" s="205">
        <f>'Приложение 2 КСП 2018-2019 гг'!H418</f>
        <v>2920584</v>
      </c>
      <c r="M417" s="407">
        <v>0</v>
      </c>
      <c r="N417" s="407">
        <v>0</v>
      </c>
      <c r="O417" s="407">
        <v>0</v>
      </c>
      <c r="P417" s="407">
        <f t="shared" si="90"/>
        <v>2920584</v>
      </c>
      <c r="Q417" s="407">
        <v>0</v>
      </c>
      <c r="R417" s="267">
        <v>0</v>
      </c>
      <c r="S417" s="132" t="s">
        <v>590</v>
      </c>
      <c r="T417" s="126"/>
      <c r="U417" s="127"/>
    </row>
    <row r="418" spans="1:21" ht="9" customHeight="1">
      <c r="A418" s="406">
        <v>59</v>
      </c>
      <c r="B418" s="206" t="s">
        <v>681</v>
      </c>
      <c r="C418" s="350" t="s">
        <v>1155</v>
      </c>
      <c r="D418" s="207" t="s">
        <v>1154</v>
      </c>
      <c r="E418" s="212" t="s">
        <v>613</v>
      </c>
      <c r="F418" s="209" t="s">
        <v>90</v>
      </c>
      <c r="G418" s="210">
        <v>5</v>
      </c>
      <c r="H418" s="210">
        <v>4</v>
      </c>
      <c r="I418" s="211">
        <v>3781</v>
      </c>
      <c r="J418" s="211">
        <v>3479</v>
      </c>
      <c r="K418" s="211">
        <v>153</v>
      </c>
      <c r="L418" s="205">
        <f>'Приложение 2 КСП 2018-2019 гг'!H419</f>
        <v>3614056</v>
      </c>
      <c r="M418" s="407">
        <v>0</v>
      </c>
      <c r="N418" s="407">
        <v>0</v>
      </c>
      <c r="O418" s="407">
        <v>0</v>
      </c>
      <c r="P418" s="407">
        <f t="shared" si="90"/>
        <v>3614056</v>
      </c>
      <c r="Q418" s="407">
        <v>0</v>
      </c>
      <c r="R418" s="267">
        <v>0</v>
      </c>
      <c r="S418" s="132" t="s">
        <v>590</v>
      </c>
      <c r="T418" s="126"/>
      <c r="U418" s="127"/>
    </row>
    <row r="419" spans="1:21" ht="9" customHeight="1">
      <c r="A419" s="406">
        <v>60</v>
      </c>
      <c r="B419" s="206" t="s">
        <v>682</v>
      </c>
      <c r="C419" s="350" t="s">
        <v>1155</v>
      </c>
      <c r="D419" s="207" t="s">
        <v>1154</v>
      </c>
      <c r="E419" s="212" t="s">
        <v>611</v>
      </c>
      <c r="F419" s="209" t="s">
        <v>90</v>
      </c>
      <c r="G419" s="210">
        <v>5</v>
      </c>
      <c r="H419" s="210">
        <v>4</v>
      </c>
      <c r="I419" s="211">
        <v>3787</v>
      </c>
      <c r="J419" s="211">
        <v>3489</v>
      </c>
      <c r="K419" s="211">
        <v>146</v>
      </c>
      <c r="L419" s="205">
        <f>'Приложение 2 КСП 2018-2019 гг'!H420</f>
        <v>3600720</v>
      </c>
      <c r="M419" s="407">
        <v>0</v>
      </c>
      <c r="N419" s="407">
        <v>0</v>
      </c>
      <c r="O419" s="407">
        <v>0</v>
      </c>
      <c r="P419" s="407">
        <f t="shared" si="90"/>
        <v>3600720</v>
      </c>
      <c r="Q419" s="407">
        <v>0</v>
      </c>
      <c r="R419" s="267">
        <v>0</v>
      </c>
      <c r="S419" s="132" t="s">
        <v>590</v>
      </c>
      <c r="T419" s="126"/>
      <c r="U419" s="127"/>
    </row>
    <row r="420" spans="1:21" ht="9" customHeight="1">
      <c r="A420" s="406">
        <v>61</v>
      </c>
      <c r="B420" s="206" t="s">
        <v>683</v>
      </c>
      <c r="C420" s="350" t="s">
        <v>1155</v>
      </c>
      <c r="D420" s="207" t="s">
        <v>1154</v>
      </c>
      <c r="E420" s="212" t="s">
        <v>613</v>
      </c>
      <c r="F420" s="209" t="s">
        <v>621</v>
      </c>
      <c r="G420" s="210">
        <v>5</v>
      </c>
      <c r="H420" s="210">
        <v>4</v>
      </c>
      <c r="I420" s="211">
        <v>3796.1</v>
      </c>
      <c r="J420" s="211">
        <v>3498.1</v>
      </c>
      <c r="K420" s="211">
        <v>80</v>
      </c>
      <c r="L420" s="205">
        <f>'Приложение 2 КСП 2018-2019 гг'!H421</f>
        <v>3620724</v>
      </c>
      <c r="M420" s="407">
        <v>0</v>
      </c>
      <c r="N420" s="407">
        <v>0</v>
      </c>
      <c r="O420" s="407">
        <v>0</v>
      </c>
      <c r="P420" s="407">
        <f t="shared" si="90"/>
        <v>3620724</v>
      </c>
      <c r="Q420" s="407">
        <v>0</v>
      </c>
      <c r="R420" s="267">
        <v>0</v>
      </c>
      <c r="S420" s="132" t="s">
        <v>590</v>
      </c>
      <c r="T420" s="126"/>
      <c r="U420" s="127"/>
    </row>
    <row r="421" spans="1:21" ht="9" customHeight="1">
      <c r="A421" s="406">
        <v>62</v>
      </c>
      <c r="B421" s="206" t="s">
        <v>684</v>
      </c>
      <c r="C421" s="350" t="s">
        <v>1155</v>
      </c>
      <c r="D421" s="207" t="s">
        <v>1154</v>
      </c>
      <c r="E421" s="212" t="s">
        <v>0</v>
      </c>
      <c r="F421" s="209" t="s">
        <v>90</v>
      </c>
      <c r="G421" s="210">
        <v>5</v>
      </c>
      <c r="H421" s="210">
        <v>4</v>
      </c>
      <c r="I421" s="211">
        <v>2682</v>
      </c>
      <c r="J421" s="211">
        <v>2384</v>
      </c>
      <c r="K421" s="211">
        <v>15</v>
      </c>
      <c r="L421" s="205">
        <f>'Приложение 2 КСП 2018-2019 гг'!H422</f>
        <v>3620724</v>
      </c>
      <c r="M421" s="407">
        <v>0</v>
      </c>
      <c r="N421" s="407">
        <v>0</v>
      </c>
      <c r="O421" s="407">
        <v>0</v>
      </c>
      <c r="P421" s="407">
        <f t="shared" si="90"/>
        <v>3620724</v>
      </c>
      <c r="Q421" s="407">
        <v>0</v>
      </c>
      <c r="R421" s="267">
        <v>0</v>
      </c>
      <c r="S421" s="132" t="s">
        <v>590</v>
      </c>
      <c r="T421" s="126"/>
      <c r="U421" s="127"/>
    </row>
    <row r="422" spans="1:21" ht="9" customHeight="1">
      <c r="A422" s="406">
        <v>63</v>
      </c>
      <c r="B422" s="206" t="s">
        <v>685</v>
      </c>
      <c r="C422" s="350" t="s">
        <v>1155</v>
      </c>
      <c r="D422" s="207" t="s">
        <v>1154</v>
      </c>
      <c r="E422" s="212" t="s">
        <v>616</v>
      </c>
      <c r="F422" s="209" t="s">
        <v>90</v>
      </c>
      <c r="G422" s="210">
        <v>5</v>
      </c>
      <c r="H422" s="210">
        <v>4</v>
      </c>
      <c r="I422" s="211">
        <v>3689.77</v>
      </c>
      <c r="J422" s="211">
        <v>3305.77</v>
      </c>
      <c r="K422" s="211">
        <v>20</v>
      </c>
      <c r="L422" s="205">
        <f>'Приложение 2 КСП 2018-2019 гг'!H423</f>
        <v>3607388</v>
      </c>
      <c r="M422" s="407">
        <v>0</v>
      </c>
      <c r="N422" s="407">
        <v>0</v>
      </c>
      <c r="O422" s="407">
        <v>0</v>
      </c>
      <c r="P422" s="407">
        <f t="shared" si="90"/>
        <v>3607388</v>
      </c>
      <c r="Q422" s="407">
        <v>0</v>
      </c>
      <c r="R422" s="267">
        <v>0</v>
      </c>
      <c r="S422" s="132" t="s">
        <v>590</v>
      </c>
      <c r="T422" s="126"/>
      <c r="U422" s="127"/>
    </row>
    <row r="423" spans="1:21" ht="9" customHeight="1">
      <c r="A423" s="406">
        <v>64</v>
      </c>
      <c r="B423" s="206" t="s">
        <v>686</v>
      </c>
      <c r="C423" s="350" t="s">
        <v>1155</v>
      </c>
      <c r="D423" s="207" t="s">
        <v>1154</v>
      </c>
      <c r="E423" s="212" t="s">
        <v>745</v>
      </c>
      <c r="F423" s="209" t="s">
        <v>621</v>
      </c>
      <c r="G423" s="210">
        <v>5</v>
      </c>
      <c r="H423" s="210">
        <v>4</v>
      </c>
      <c r="I423" s="211">
        <v>3878.9</v>
      </c>
      <c r="J423" s="211">
        <v>3494.9</v>
      </c>
      <c r="K423" s="211">
        <v>23</v>
      </c>
      <c r="L423" s="205">
        <f>'Приложение 2 КСП 2018-2019 гг'!H424</f>
        <v>3927452</v>
      </c>
      <c r="M423" s="407">
        <v>0</v>
      </c>
      <c r="N423" s="407">
        <v>0</v>
      </c>
      <c r="O423" s="407">
        <v>0</v>
      </c>
      <c r="P423" s="407">
        <f t="shared" si="90"/>
        <v>3927452</v>
      </c>
      <c r="Q423" s="407">
        <v>0</v>
      </c>
      <c r="R423" s="267">
        <v>0</v>
      </c>
      <c r="S423" s="132" t="s">
        <v>590</v>
      </c>
      <c r="T423" s="126"/>
      <c r="U423" s="127"/>
    </row>
    <row r="424" spans="1:21" ht="9" customHeight="1">
      <c r="A424" s="406">
        <v>65</v>
      </c>
      <c r="B424" s="206" t="s">
        <v>687</v>
      </c>
      <c r="C424" s="350" t="s">
        <v>1155</v>
      </c>
      <c r="D424" s="207" t="s">
        <v>1154</v>
      </c>
      <c r="E424" s="212" t="s">
        <v>601</v>
      </c>
      <c r="F424" s="209" t="s">
        <v>90</v>
      </c>
      <c r="G424" s="210">
        <v>5</v>
      </c>
      <c r="H424" s="210">
        <v>4</v>
      </c>
      <c r="I424" s="211">
        <v>4180.3999999999996</v>
      </c>
      <c r="J424" s="211">
        <v>3197.9</v>
      </c>
      <c r="K424" s="211">
        <v>16</v>
      </c>
      <c r="L424" s="205">
        <f>'Приложение 2 КСП 2018-2019 гг'!H425</f>
        <v>3083950</v>
      </c>
      <c r="M424" s="407">
        <v>0</v>
      </c>
      <c r="N424" s="407">
        <v>0</v>
      </c>
      <c r="O424" s="407">
        <v>0</v>
      </c>
      <c r="P424" s="407">
        <f t="shared" si="90"/>
        <v>3083950</v>
      </c>
      <c r="Q424" s="407">
        <v>0</v>
      </c>
      <c r="R424" s="267">
        <v>0</v>
      </c>
      <c r="S424" s="132" t="s">
        <v>590</v>
      </c>
      <c r="T424" s="126"/>
      <c r="U424" s="127"/>
    </row>
    <row r="425" spans="1:21" ht="9" customHeight="1">
      <c r="A425" s="406">
        <v>66</v>
      </c>
      <c r="B425" s="206" t="s">
        <v>688</v>
      </c>
      <c r="C425" s="350" t="s">
        <v>1155</v>
      </c>
      <c r="D425" s="207" t="s">
        <v>1154</v>
      </c>
      <c r="E425" s="212" t="s">
        <v>601</v>
      </c>
      <c r="F425" s="209" t="s">
        <v>90</v>
      </c>
      <c r="G425" s="210">
        <v>5</v>
      </c>
      <c r="H425" s="210">
        <v>8</v>
      </c>
      <c r="I425" s="211">
        <v>4728.7</v>
      </c>
      <c r="J425" s="211">
        <v>4490</v>
      </c>
      <c r="K425" s="211">
        <v>321</v>
      </c>
      <c r="L425" s="205">
        <f>'Приложение 2 КСП 2018-2019 гг'!H426</f>
        <v>6117890</v>
      </c>
      <c r="M425" s="407">
        <v>0</v>
      </c>
      <c r="N425" s="407">
        <v>0</v>
      </c>
      <c r="O425" s="407">
        <v>0</v>
      </c>
      <c r="P425" s="407">
        <f t="shared" ref="P425:P488" si="91">L425</f>
        <v>6117890</v>
      </c>
      <c r="Q425" s="407">
        <v>0</v>
      </c>
      <c r="R425" s="267">
        <v>0</v>
      </c>
      <c r="S425" s="132" t="s">
        <v>590</v>
      </c>
      <c r="T425" s="126"/>
      <c r="U425" s="127"/>
    </row>
    <row r="426" spans="1:21" ht="9" customHeight="1">
      <c r="A426" s="406">
        <v>67</v>
      </c>
      <c r="B426" s="206" t="s">
        <v>689</v>
      </c>
      <c r="C426" s="350" t="s">
        <v>1155</v>
      </c>
      <c r="D426" s="207" t="s">
        <v>1154</v>
      </c>
      <c r="E426" s="212" t="s">
        <v>601</v>
      </c>
      <c r="F426" s="209" t="s">
        <v>90</v>
      </c>
      <c r="G426" s="210">
        <v>5</v>
      </c>
      <c r="H426" s="210">
        <v>15</v>
      </c>
      <c r="I426" s="211">
        <v>7267.9</v>
      </c>
      <c r="J426" s="211">
        <v>7044</v>
      </c>
      <c r="K426" s="211">
        <v>547</v>
      </c>
      <c r="L426" s="205">
        <f>'Приложение 2 КСП 2018-2019 гг'!H427</f>
        <v>10608788</v>
      </c>
      <c r="M426" s="407">
        <v>0</v>
      </c>
      <c r="N426" s="407">
        <v>0</v>
      </c>
      <c r="O426" s="407">
        <v>0</v>
      </c>
      <c r="P426" s="407">
        <f t="shared" si="91"/>
        <v>10608788</v>
      </c>
      <c r="Q426" s="407">
        <v>0</v>
      </c>
      <c r="R426" s="267">
        <v>0</v>
      </c>
      <c r="S426" s="132" t="s">
        <v>590</v>
      </c>
      <c r="T426" s="126"/>
      <c r="U426" s="127"/>
    </row>
    <row r="427" spans="1:21" ht="9" customHeight="1">
      <c r="A427" s="406">
        <v>68</v>
      </c>
      <c r="B427" s="206" t="s">
        <v>690</v>
      </c>
      <c r="C427" s="350" t="s">
        <v>1155</v>
      </c>
      <c r="D427" s="207" t="s">
        <v>1154</v>
      </c>
      <c r="E427" s="212" t="s">
        <v>608</v>
      </c>
      <c r="F427" s="209" t="s">
        <v>90</v>
      </c>
      <c r="G427" s="210">
        <v>5</v>
      </c>
      <c r="H427" s="210">
        <v>6</v>
      </c>
      <c r="I427" s="211">
        <v>6473.5</v>
      </c>
      <c r="J427" s="211">
        <v>4642.5</v>
      </c>
      <c r="K427" s="211">
        <v>225</v>
      </c>
      <c r="L427" s="205">
        <f>'Приложение 2 КСП 2018-2019 гг'!H428</f>
        <v>4347536</v>
      </c>
      <c r="M427" s="407">
        <v>0</v>
      </c>
      <c r="N427" s="407">
        <v>0</v>
      </c>
      <c r="O427" s="407">
        <v>0</v>
      </c>
      <c r="P427" s="407">
        <f t="shared" si="91"/>
        <v>4347536</v>
      </c>
      <c r="Q427" s="407">
        <v>0</v>
      </c>
      <c r="R427" s="267">
        <v>0</v>
      </c>
      <c r="S427" s="132" t="s">
        <v>590</v>
      </c>
      <c r="T427" s="126"/>
      <c r="U427" s="127"/>
    </row>
    <row r="428" spans="1:21" ht="9" customHeight="1">
      <c r="A428" s="406">
        <v>69</v>
      </c>
      <c r="B428" s="206" t="s">
        <v>691</v>
      </c>
      <c r="C428" s="350" t="s">
        <v>1155</v>
      </c>
      <c r="D428" s="207" t="s">
        <v>1154</v>
      </c>
      <c r="E428" s="212" t="s">
        <v>608</v>
      </c>
      <c r="F428" s="209" t="s">
        <v>88</v>
      </c>
      <c r="G428" s="210">
        <v>5</v>
      </c>
      <c r="H428" s="210">
        <v>6</v>
      </c>
      <c r="I428" s="211">
        <v>6501.1</v>
      </c>
      <c r="J428" s="211">
        <v>4599.1000000000004</v>
      </c>
      <c r="K428" s="211">
        <v>223</v>
      </c>
      <c r="L428" s="205">
        <f>'Приложение 2 КСП 2018-2019 гг'!H429</f>
        <v>3980796</v>
      </c>
      <c r="M428" s="407">
        <v>0</v>
      </c>
      <c r="N428" s="407">
        <v>0</v>
      </c>
      <c r="O428" s="407">
        <v>0</v>
      </c>
      <c r="P428" s="407">
        <f t="shared" si="91"/>
        <v>3980796</v>
      </c>
      <c r="Q428" s="407">
        <v>0</v>
      </c>
      <c r="R428" s="267">
        <v>0</v>
      </c>
      <c r="S428" s="132" t="s">
        <v>590</v>
      </c>
      <c r="T428" s="126"/>
      <c r="U428" s="127"/>
    </row>
    <row r="429" spans="1:21" ht="9" customHeight="1">
      <c r="A429" s="406">
        <v>70</v>
      </c>
      <c r="B429" s="206" t="s">
        <v>692</v>
      </c>
      <c r="C429" s="350" t="s">
        <v>1155</v>
      </c>
      <c r="D429" s="207" t="s">
        <v>1154</v>
      </c>
      <c r="E429" s="212" t="s">
        <v>618</v>
      </c>
      <c r="F429" s="209" t="s">
        <v>88</v>
      </c>
      <c r="G429" s="210">
        <v>5</v>
      </c>
      <c r="H429" s="210">
        <v>2</v>
      </c>
      <c r="I429" s="211">
        <v>2147.6999999999998</v>
      </c>
      <c r="J429" s="211">
        <v>1900.6</v>
      </c>
      <c r="K429" s="211">
        <v>179</v>
      </c>
      <c r="L429" s="205">
        <f>'Приложение 2 КСП 2018-2019 гг'!H430</f>
        <v>2353804</v>
      </c>
      <c r="M429" s="407">
        <v>0</v>
      </c>
      <c r="N429" s="407">
        <v>0</v>
      </c>
      <c r="O429" s="407">
        <v>0</v>
      </c>
      <c r="P429" s="407">
        <f t="shared" si="91"/>
        <v>2353804</v>
      </c>
      <c r="Q429" s="407">
        <v>0</v>
      </c>
      <c r="R429" s="267">
        <v>0</v>
      </c>
      <c r="S429" s="132" t="s">
        <v>590</v>
      </c>
      <c r="T429" s="126"/>
      <c r="U429" s="127"/>
    </row>
    <row r="430" spans="1:21" ht="9" customHeight="1">
      <c r="A430" s="406">
        <v>71</v>
      </c>
      <c r="B430" s="206" t="s">
        <v>693</v>
      </c>
      <c r="C430" s="350" t="s">
        <v>1155</v>
      </c>
      <c r="D430" s="207" t="s">
        <v>1154</v>
      </c>
      <c r="E430" s="212" t="s">
        <v>612</v>
      </c>
      <c r="F430" s="209" t="s">
        <v>88</v>
      </c>
      <c r="G430" s="210">
        <v>5</v>
      </c>
      <c r="H430" s="210">
        <v>8</v>
      </c>
      <c r="I430" s="211">
        <v>6665.6</v>
      </c>
      <c r="J430" s="211">
        <v>6141.9</v>
      </c>
      <c r="K430" s="211">
        <v>326</v>
      </c>
      <c r="L430" s="205">
        <f>'Приложение 2 КСП 2018-2019 гг'!H431</f>
        <v>6127892</v>
      </c>
      <c r="M430" s="407">
        <v>0</v>
      </c>
      <c r="N430" s="407">
        <v>0</v>
      </c>
      <c r="O430" s="407">
        <v>0</v>
      </c>
      <c r="P430" s="407">
        <f t="shared" si="91"/>
        <v>6127892</v>
      </c>
      <c r="Q430" s="407">
        <v>0</v>
      </c>
      <c r="R430" s="267">
        <v>0</v>
      </c>
      <c r="S430" s="132" t="s">
        <v>590</v>
      </c>
      <c r="T430" s="126"/>
      <c r="U430" s="127"/>
    </row>
    <row r="431" spans="1:21" ht="9" customHeight="1">
      <c r="A431" s="406">
        <v>72</v>
      </c>
      <c r="B431" s="206" t="s">
        <v>694</v>
      </c>
      <c r="C431" s="350" t="s">
        <v>1155</v>
      </c>
      <c r="D431" s="207" t="s">
        <v>1154</v>
      </c>
      <c r="E431" s="212" t="s">
        <v>616</v>
      </c>
      <c r="F431" s="209" t="s">
        <v>90</v>
      </c>
      <c r="G431" s="210">
        <v>5</v>
      </c>
      <c r="H431" s="210">
        <v>3</v>
      </c>
      <c r="I431" s="211">
        <v>2315</v>
      </c>
      <c r="J431" s="211">
        <v>2019</v>
      </c>
      <c r="K431" s="211">
        <v>110</v>
      </c>
      <c r="L431" s="205">
        <f>'Приложение 2 КСП 2018-2019 гг'!H432</f>
        <v>2240448</v>
      </c>
      <c r="M431" s="407">
        <v>0</v>
      </c>
      <c r="N431" s="407">
        <v>0</v>
      </c>
      <c r="O431" s="407">
        <v>0</v>
      </c>
      <c r="P431" s="407">
        <f t="shared" si="91"/>
        <v>2240448</v>
      </c>
      <c r="Q431" s="407">
        <v>0</v>
      </c>
      <c r="R431" s="267">
        <v>0</v>
      </c>
      <c r="S431" s="132" t="s">
        <v>590</v>
      </c>
      <c r="T431" s="126"/>
      <c r="U431" s="127"/>
    </row>
    <row r="432" spans="1:21" ht="9" customHeight="1">
      <c r="A432" s="406">
        <v>73</v>
      </c>
      <c r="B432" s="206" t="s">
        <v>695</v>
      </c>
      <c r="C432" s="350" t="s">
        <v>1155</v>
      </c>
      <c r="D432" s="207" t="s">
        <v>1154</v>
      </c>
      <c r="E432" s="212" t="s">
        <v>598</v>
      </c>
      <c r="F432" s="209" t="s">
        <v>88</v>
      </c>
      <c r="G432" s="210">
        <v>5</v>
      </c>
      <c r="H432" s="210">
        <v>4</v>
      </c>
      <c r="I432" s="211">
        <v>3462.3</v>
      </c>
      <c r="J432" s="211">
        <v>3119.8</v>
      </c>
      <c r="K432" s="211">
        <v>153</v>
      </c>
      <c r="L432" s="205">
        <f>'Приложение 2 КСП 2018-2019 гг'!H433</f>
        <v>3580038</v>
      </c>
      <c r="M432" s="407">
        <v>0</v>
      </c>
      <c r="N432" s="407">
        <v>0</v>
      </c>
      <c r="O432" s="407">
        <v>0</v>
      </c>
      <c r="P432" s="407">
        <f t="shared" si="91"/>
        <v>3580038</v>
      </c>
      <c r="Q432" s="407">
        <v>0</v>
      </c>
      <c r="R432" s="267">
        <v>0</v>
      </c>
      <c r="S432" s="132" t="s">
        <v>590</v>
      </c>
      <c r="T432" s="126"/>
      <c r="U432" s="127"/>
    </row>
    <row r="433" spans="1:21" ht="9" customHeight="1">
      <c r="A433" s="406">
        <v>74</v>
      </c>
      <c r="B433" s="206" t="s">
        <v>696</v>
      </c>
      <c r="C433" s="350" t="s">
        <v>1155</v>
      </c>
      <c r="D433" s="207" t="s">
        <v>1154</v>
      </c>
      <c r="E433" s="212" t="s">
        <v>612</v>
      </c>
      <c r="F433" s="209" t="s">
        <v>90</v>
      </c>
      <c r="G433" s="210">
        <v>5</v>
      </c>
      <c r="H433" s="210">
        <v>4</v>
      </c>
      <c r="I433" s="211">
        <v>3775</v>
      </c>
      <c r="J433" s="211">
        <v>3322.6</v>
      </c>
      <c r="K433" s="211">
        <v>156</v>
      </c>
      <c r="L433" s="205">
        <f>'Приложение 2 КСП 2018-2019 гг'!H434</f>
        <v>3197306</v>
      </c>
      <c r="M433" s="407">
        <v>0</v>
      </c>
      <c r="N433" s="407">
        <v>0</v>
      </c>
      <c r="O433" s="407">
        <v>0</v>
      </c>
      <c r="P433" s="407">
        <f t="shared" si="91"/>
        <v>3197306</v>
      </c>
      <c r="Q433" s="407">
        <v>0</v>
      </c>
      <c r="R433" s="267">
        <v>0</v>
      </c>
      <c r="S433" s="132" t="s">
        <v>590</v>
      </c>
      <c r="T433" s="126"/>
      <c r="U433" s="127"/>
    </row>
    <row r="434" spans="1:21" ht="9" customHeight="1">
      <c r="A434" s="406">
        <v>75</v>
      </c>
      <c r="B434" s="206" t="s">
        <v>697</v>
      </c>
      <c r="C434" s="350" t="s">
        <v>1155</v>
      </c>
      <c r="D434" s="207" t="s">
        <v>1154</v>
      </c>
      <c r="E434" s="212" t="s">
        <v>597</v>
      </c>
      <c r="F434" s="209" t="s">
        <v>90</v>
      </c>
      <c r="G434" s="210">
        <v>5</v>
      </c>
      <c r="H434" s="210">
        <v>4</v>
      </c>
      <c r="I434" s="211">
        <v>3634.7</v>
      </c>
      <c r="J434" s="211">
        <v>3366.3</v>
      </c>
      <c r="K434" s="211">
        <v>149</v>
      </c>
      <c r="L434" s="205">
        <f>'Приложение 2 КСП 2018-2019 гг'!H435</f>
        <v>3187304</v>
      </c>
      <c r="M434" s="407">
        <v>0</v>
      </c>
      <c r="N434" s="407">
        <v>0</v>
      </c>
      <c r="O434" s="407">
        <v>0</v>
      </c>
      <c r="P434" s="407">
        <f t="shared" si="91"/>
        <v>3187304</v>
      </c>
      <c r="Q434" s="407">
        <v>0</v>
      </c>
      <c r="R434" s="267">
        <v>0</v>
      </c>
      <c r="S434" s="132" t="s">
        <v>590</v>
      </c>
      <c r="T434" s="126"/>
      <c r="U434" s="127"/>
    </row>
    <row r="435" spans="1:21" ht="9" customHeight="1">
      <c r="A435" s="406">
        <v>76</v>
      </c>
      <c r="B435" s="206" t="s">
        <v>698</v>
      </c>
      <c r="C435" s="350" t="s">
        <v>1155</v>
      </c>
      <c r="D435" s="207" t="s">
        <v>1154</v>
      </c>
      <c r="E435" s="212" t="s">
        <v>597</v>
      </c>
      <c r="F435" s="209" t="s">
        <v>90</v>
      </c>
      <c r="G435" s="210">
        <v>5</v>
      </c>
      <c r="H435" s="210">
        <v>8</v>
      </c>
      <c r="I435" s="211">
        <v>6118.8</v>
      </c>
      <c r="J435" s="211">
        <v>5621.6</v>
      </c>
      <c r="K435" s="211">
        <v>244</v>
      </c>
      <c r="L435" s="205">
        <f>'Приложение 2 КСП 2018-2019 гг'!H436</f>
        <v>5317730</v>
      </c>
      <c r="M435" s="407">
        <v>0</v>
      </c>
      <c r="N435" s="407">
        <v>0</v>
      </c>
      <c r="O435" s="407">
        <v>0</v>
      </c>
      <c r="P435" s="407">
        <f t="shared" si="91"/>
        <v>5317730</v>
      </c>
      <c r="Q435" s="407">
        <v>0</v>
      </c>
      <c r="R435" s="267">
        <v>0</v>
      </c>
      <c r="S435" s="132" t="s">
        <v>590</v>
      </c>
      <c r="T435" s="126"/>
      <c r="U435" s="127"/>
    </row>
    <row r="436" spans="1:21" ht="9" customHeight="1">
      <c r="A436" s="406">
        <v>77</v>
      </c>
      <c r="B436" s="206" t="s">
        <v>699</v>
      </c>
      <c r="C436" s="350" t="s">
        <v>1155</v>
      </c>
      <c r="D436" s="207" t="s">
        <v>1154</v>
      </c>
      <c r="E436" s="212" t="s">
        <v>612</v>
      </c>
      <c r="F436" s="209" t="s">
        <v>90</v>
      </c>
      <c r="G436" s="210">
        <v>5</v>
      </c>
      <c r="H436" s="210">
        <v>8</v>
      </c>
      <c r="I436" s="211">
        <v>5989.4</v>
      </c>
      <c r="J436" s="211">
        <v>5548.2</v>
      </c>
      <c r="K436" s="211">
        <v>270</v>
      </c>
      <c r="L436" s="205">
        <f>'Приложение 2 КСП 2018-2019 гг'!H437</f>
        <v>5951190</v>
      </c>
      <c r="M436" s="407">
        <v>0</v>
      </c>
      <c r="N436" s="407">
        <v>0</v>
      </c>
      <c r="O436" s="407">
        <v>0</v>
      </c>
      <c r="P436" s="407">
        <f t="shared" si="91"/>
        <v>5951190</v>
      </c>
      <c r="Q436" s="407">
        <v>0</v>
      </c>
      <c r="R436" s="267">
        <v>0</v>
      </c>
      <c r="S436" s="132" t="s">
        <v>590</v>
      </c>
      <c r="T436" s="126"/>
      <c r="U436" s="127"/>
    </row>
    <row r="437" spans="1:21" ht="9" customHeight="1">
      <c r="A437" s="406">
        <v>78</v>
      </c>
      <c r="B437" s="206" t="s">
        <v>700</v>
      </c>
      <c r="C437" s="350" t="s">
        <v>1155</v>
      </c>
      <c r="D437" s="207" t="s">
        <v>1154</v>
      </c>
      <c r="E437" s="212" t="s">
        <v>612</v>
      </c>
      <c r="F437" s="209" t="s">
        <v>90</v>
      </c>
      <c r="G437" s="210">
        <v>5</v>
      </c>
      <c r="H437" s="210">
        <v>4</v>
      </c>
      <c r="I437" s="211">
        <v>3598.6</v>
      </c>
      <c r="J437" s="211">
        <v>3322.6</v>
      </c>
      <c r="K437" s="211">
        <v>126</v>
      </c>
      <c r="L437" s="205">
        <f>'Приложение 2 КСП 2018-2019 гг'!H438</f>
        <v>3123958</v>
      </c>
      <c r="M437" s="407">
        <v>0</v>
      </c>
      <c r="N437" s="407">
        <v>0</v>
      </c>
      <c r="O437" s="407">
        <v>0</v>
      </c>
      <c r="P437" s="407">
        <f t="shared" si="91"/>
        <v>3123958</v>
      </c>
      <c r="Q437" s="407">
        <v>0</v>
      </c>
      <c r="R437" s="267">
        <v>0</v>
      </c>
      <c r="S437" s="132" t="s">
        <v>590</v>
      </c>
      <c r="T437" s="126"/>
      <c r="U437" s="127"/>
    </row>
    <row r="438" spans="1:21" ht="9" customHeight="1">
      <c r="A438" s="406">
        <v>79</v>
      </c>
      <c r="B438" s="206" t="s">
        <v>701</v>
      </c>
      <c r="C438" s="350" t="s">
        <v>1155</v>
      </c>
      <c r="D438" s="207" t="s">
        <v>1154</v>
      </c>
      <c r="E438" s="212" t="s">
        <v>608</v>
      </c>
      <c r="F438" s="209" t="s">
        <v>90</v>
      </c>
      <c r="G438" s="210">
        <v>5</v>
      </c>
      <c r="H438" s="210">
        <v>4</v>
      </c>
      <c r="I438" s="211">
        <v>3925.7</v>
      </c>
      <c r="J438" s="211">
        <v>3259.1</v>
      </c>
      <c r="K438" s="211">
        <v>127</v>
      </c>
      <c r="L438" s="205">
        <f>'Приложение 2 КСП 2018-2019 гг'!H439</f>
        <v>3042608.4</v>
      </c>
      <c r="M438" s="407">
        <v>0</v>
      </c>
      <c r="N438" s="407">
        <v>0</v>
      </c>
      <c r="O438" s="407">
        <v>0</v>
      </c>
      <c r="P438" s="407">
        <f t="shared" si="91"/>
        <v>3042608.4</v>
      </c>
      <c r="Q438" s="407">
        <v>0</v>
      </c>
      <c r="R438" s="267">
        <v>0</v>
      </c>
      <c r="S438" s="132" t="s">
        <v>590</v>
      </c>
      <c r="T438" s="126"/>
      <c r="U438" s="127"/>
    </row>
    <row r="439" spans="1:21" ht="9" customHeight="1">
      <c r="A439" s="406">
        <v>80</v>
      </c>
      <c r="B439" s="206" t="s">
        <v>702</v>
      </c>
      <c r="C439" s="350" t="s">
        <v>1155</v>
      </c>
      <c r="D439" s="207" t="s">
        <v>1154</v>
      </c>
      <c r="E439" s="212" t="s">
        <v>608</v>
      </c>
      <c r="F439" s="209" t="s">
        <v>90</v>
      </c>
      <c r="G439" s="210">
        <v>5</v>
      </c>
      <c r="H439" s="210">
        <v>5</v>
      </c>
      <c r="I439" s="211">
        <v>4429.5</v>
      </c>
      <c r="J439" s="211">
        <v>3941.5</v>
      </c>
      <c r="K439" s="211">
        <v>216</v>
      </c>
      <c r="L439" s="205">
        <f>'Приложение 2 КСП 2018-2019 гг'!H440</f>
        <v>3640728</v>
      </c>
      <c r="M439" s="407">
        <v>0</v>
      </c>
      <c r="N439" s="407">
        <v>0</v>
      </c>
      <c r="O439" s="407">
        <v>0</v>
      </c>
      <c r="P439" s="407">
        <f t="shared" si="91"/>
        <v>3640728</v>
      </c>
      <c r="Q439" s="407">
        <v>0</v>
      </c>
      <c r="R439" s="267">
        <v>0</v>
      </c>
      <c r="S439" s="132" t="s">
        <v>590</v>
      </c>
      <c r="T439" s="126"/>
      <c r="U439" s="127"/>
    </row>
    <row r="440" spans="1:21" ht="9" customHeight="1">
      <c r="A440" s="406">
        <v>81</v>
      </c>
      <c r="B440" s="206" t="s">
        <v>703</v>
      </c>
      <c r="C440" s="350" t="s">
        <v>1155</v>
      </c>
      <c r="D440" s="207" t="s">
        <v>1154</v>
      </c>
      <c r="E440" s="212" t="s">
        <v>608</v>
      </c>
      <c r="F440" s="209" t="s">
        <v>90</v>
      </c>
      <c r="G440" s="210">
        <v>5</v>
      </c>
      <c r="H440" s="210">
        <v>6</v>
      </c>
      <c r="I440" s="211">
        <v>5072.6000000000004</v>
      </c>
      <c r="J440" s="211">
        <v>4568.8999999999996</v>
      </c>
      <c r="K440" s="211">
        <v>211</v>
      </c>
      <c r="L440" s="205">
        <f>'Приложение 2 КСП 2018-2019 гг'!H441</f>
        <v>4209175</v>
      </c>
      <c r="M440" s="407">
        <v>0</v>
      </c>
      <c r="N440" s="407">
        <v>0</v>
      </c>
      <c r="O440" s="407">
        <v>0</v>
      </c>
      <c r="P440" s="407">
        <f t="shared" si="91"/>
        <v>4209175</v>
      </c>
      <c r="Q440" s="407">
        <v>0</v>
      </c>
      <c r="R440" s="267">
        <v>0</v>
      </c>
      <c r="S440" s="132" t="s">
        <v>590</v>
      </c>
      <c r="T440" s="126"/>
      <c r="U440" s="127"/>
    </row>
    <row r="441" spans="1:21" ht="9" customHeight="1">
      <c r="A441" s="406">
        <v>82</v>
      </c>
      <c r="B441" s="206" t="s">
        <v>704</v>
      </c>
      <c r="C441" s="350" t="s">
        <v>1155</v>
      </c>
      <c r="D441" s="207" t="s">
        <v>1154</v>
      </c>
      <c r="E441" s="212" t="s">
        <v>299</v>
      </c>
      <c r="F441" s="209" t="s">
        <v>90</v>
      </c>
      <c r="G441" s="210">
        <v>9</v>
      </c>
      <c r="H441" s="210">
        <v>4</v>
      </c>
      <c r="I441" s="211">
        <v>8668.2000000000007</v>
      </c>
      <c r="J441" s="211">
        <v>7601.2</v>
      </c>
      <c r="K441" s="211">
        <v>332</v>
      </c>
      <c r="L441" s="205">
        <f>'Приложение 2 КСП 2018-2019 гг'!H442</f>
        <v>3970794</v>
      </c>
      <c r="M441" s="407">
        <v>0</v>
      </c>
      <c r="N441" s="407">
        <v>0</v>
      </c>
      <c r="O441" s="407">
        <v>0</v>
      </c>
      <c r="P441" s="407">
        <f t="shared" si="91"/>
        <v>3970794</v>
      </c>
      <c r="Q441" s="407">
        <v>0</v>
      </c>
      <c r="R441" s="267">
        <v>0</v>
      </c>
      <c r="S441" s="132" t="s">
        <v>590</v>
      </c>
      <c r="T441" s="126"/>
      <c r="U441" s="127"/>
    </row>
    <row r="442" spans="1:21" ht="9" customHeight="1">
      <c r="A442" s="406">
        <v>83</v>
      </c>
      <c r="B442" s="206" t="s">
        <v>705</v>
      </c>
      <c r="C442" s="350" t="s">
        <v>1155</v>
      </c>
      <c r="D442" s="207" t="s">
        <v>1154</v>
      </c>
      <c r="E442" s="212" t="s">
        <v>299</v>
      </c>
      <c r="F442" s="209" t="s">
        <v>90</v>
      </c>
      <c r="G442" s="210">
        <v>9</v>
      </c>
      <c r="H442" s="210">
        <v>5</v>
      </c>
      <c r="I442" s="211">
        <v>10728.8</v>
      </c>
      <c r="J442" s="211">
        <v>9599</v>
      </c>
      <c r="K442" s="211">
        <v>435</v>
      </c>
      <c r="L442" s="205">
        <f>'Приложение 2 КСП 2018-2019 гг'!H443</f>
        <v>5384410</v>
      </c>
      <c r="M442" s="407">
        <v>0</v>
      </c>
      <c r="N442" s="407">
        <v>0</v>
      </c>
      <c r="O442" s="407">
        <v>0</v>
      </c>
      <c r="P442" s="407">
        <f t="shared" si="91"/>
        <v>5384410</v>
      </c>
      <c r="Q442" s="407">
        <v>0</v>
      </c>
      <c r="R442" s="267">
        <v>0</v>
      </c>
      <c r="S442" s="132" t="s">
        <v>590</v>
      </c>
      <c r="T442" s="126"/>
      <c r="U442" s="127"/>
    </row>
    <row r="443" spans="1:21" ht="9" customHeight="1">
      <c r="A443" s="406">
        <v>84</v>
      </c>
      <c r="B443" s="206" t="s">
        <v>706</v>
      </c>
      <c r="C443" s="350" t="s">
        <v>1155</v>
      </c>
      <c r="D443" s="207" t="s">
        <v>1154</v>
      </c>
      <c r="E443" s="212" t="s">
        <v>618</v>
      </c>
      <c r="F443" s="209" t="s">
        <v>88</v>
      </c>
      <c r="G443" s="210">
        <v>9</v>
      </c>
      <c r="H443" s="210">
        <v>1</v>
      </c>
      <c r="I443" s="211">
        <v>4294.1000000000004</v>
      </c>
      <c r="J443" s="211">
        <v>3316.2</v>
      </c>
      <c r="K443" s="211">
        <v>151</v>
      </c>
      <c r="L443" s="205">
        <f>'Приложение 2 КСП 2018-2019 гг'!H444</f>
        <v>2137094</v>
      </c>
      <c r="M443" s="407">
        <v>0</v>
      </c>
      <c r="N443" s="407">
        <v>0</v>
      </c>
      <c r="O443" s="407">
        <v>0</v>
      </c>
      <c r="P443" s="407">
        <f t="shared" si="91"/>
        <v>2137094</v>
      </c>
      <c r="Q443" s="407">
        <v>0</v>
      </c>
      <c r="R443" s="267">
        <v>0</v>
      </c>
      <c r="S443" s="132" t="s">
        <v>590</v>
      </c>
      <c r="T443" s="126"/>
      <c r="U443" s="127"/>
    </row>
    <row r="444" spans="1:21" ht="9" customHeight="1">
      <c r="A444" s="406">
        <v>85</v>
      </c>
      <c r="B444" s="206" t="s">
        <v>707</v>
      </c>
      <c r="C444" s="350" t="s">
        <v>1155</v>
      </c>
      <c r="D444" s="207" t="s">
        <v>1154</v>
      </c>
      <c r="E444" s="212" t="s">
        <v>607</v>
      </c>
      <c r="F444" s="209" t="s">
        <v>88</v>
      </c>
      <c r="G444" s="210">
        <v>9</v>
      </c>
      <c r="H444" s="210">
        <v>8</v>
      </c>
      <c r="I444" s="211">
        <v>18543.7</v>
      </c>
      <c r="J444" s="211">
        <v>15749.4</v>
      </c>
      <c r="K444" s="211">
        <v>600</v>
      </c>
      <c r="L444" s="205">
        <f>'Приложение 2 КСП 2018-2019 гг'!H445</f>
        <v>9250183</v>
      </c>
      <c r="M444" s="407">
        <v>0</v>
      </c>
      <c r="N444" s="407">
        <v>0</v>
      </c>
      <c r="O444" s="407">
        <v>0</v>
      </c>
      <c r="P444" s="407">
        <f t="shared" si="91"/>
        <v>9250183</v>
      </c>
      <c r="Q444" s="407">
        <v>0</v>
      </c>
      <c r="R444" s="267">
        <v>0</v>
      </c>
      <c r="S444" s="132" t="s">
        <v>590</v>
      </c>
      <c r="T444" s="126"/>
      <c r="U444" s="127"/>
    </row>
    <row r="445" spans="1:21" ht="9" customHeight="1">
      <c r="A445" s="406">
        <v>86</v>
      </c>
      <c r="B445" s="206" t="s">
        <v>708</v>
      </c>
      <c r="C445" s="350" t="s">
        <v>1155</v>
      </c>
      <c r="D445" s="207" t="s">
        <v>1154</v>
      </c>
      <c r="E445" s="212" t="s">
        <v>616</v>
      </c>
      <c r="F445" s="209" t="s">
        <v>88</v>
      </c>
      <c r="G445" s="210">
        <v>9</v>
      </c>
      <c r="H445" s="210">
        <v>6</v>
      </c>
      <c r="I445" s="211">
        <v>12098.3</v>
      </c>
      <c r="J445" s="211">
        <v>10383.700000000001</v>
      </c>
      <c r="K445" s="211">
        <v>503</v>
      </c>
      <c r="L445" s="205">
        <f>'Приложение 2 КСП 2018-2019 гг'!H446</f>
        <v>6577982</v>
      </c>
      <c r="M445" s="407">
        <v>0</v>
      </c>
      <c r="N445" s="407">
        <v>0</v>
      </c>
      <c r="O445" s="407">
        <v>0</v>
      </c>
      <c r="P445" s="407">
        <f t="shared" si="91"/>
        <v>6577982</v>
      </c>
      <c r="Q445" s="407">
        <v>0</v>
      </c>
      <c r="R445" s="267">
        <v>0</v>
      </c>
      <c r="S445" s="132" t="s">
        <v>590</v>
      </c>
      <c r="T445" s="126"/>
      <c r="U445" s="127"/>
    </row>
    <row r="446" spans="1:21" ht="9" customHeight="1">
      <c r="A446" s="406">
        <v>87</v>
      </c>
      <c r="B446" s="206" t="s">
        <v>709</v>
      </c>
      <c r="C446" s="350" t="s">
        <v>1155</v>
      </c>
      <c r="D446" s="207" t="s">
        <v>1154</v>
      </c>
      <c r="E446" s="212" t="s">
        <v>746</v>
      </c>
      <c r="F446" s="209" t="s">
        <v>88</v>
      </c>
      <c r="G446" s="210">
        <v>9</v>
      </c>
      <c r="H446" s="210">
        <v>1</v>
      </c>
      <c r="I446" s="211">
        <v>12118</v>
      </c>
      <c r="J446" s="211">
        <v>7792.2</v>
      </c>
      <c r="K446" s="211">
        <v>497</v>
      </c>
      <c r="L446" s="205">
        <f>'Приложение 2 КСП 2018-2019 гг'!H447</f>
        <v>7208108</v>
      </c>
      <c r="M446" s="407">
        <v>0</v>
      </c>
      <c r="N446" s="407">
        <v>0</v>
      </c>
      <c r="O446" s="407">
        <v>0</v>
      </c>
      <c r="P446" s="407">
        <f t="shared" si="91"/>
        <v>7208108</v>
      </c>
      <c r="Q446" s="407">
        <v>0</v>
      </c>
      <c r="R446" s="267">
        <v>0</v>
      </c>
      <c r="S446" s="132" t="s">
        <v>590</v>
      </c>
      <c r="T446" s="126"/>
      <c r="U446" s="127"/>
    </row>
    <row r="447" spans="1:21" ht="9" customHeight="1">
      <c r="A447" s="406">
        <v>88</v>
      </c>
      <c r="B447" s="206" t="s">
        <v>710</v>
      </c>
      <c r="C447" s="350" t="s">
        <v>1155</v>
      </c>
      <c r="D447" s="207" t="s">
        <v>1154</v>
      </c>
      <c r="E447" s="212" t="s">
        <v>605</v>
      </c>
      <c r="F447" s="209" t="s">
        <v>90</v>
      </c>
      <c r="G447" s="210">
        <v>5</v>
      </c>
      <c r="H447" s="210">
        <v>3</v>
      </c>
      <c r="I447" s="211">
        <v>2363.1999999999998</v>
      </c>
      <c r="J447" s="211">
        <v>2127.6</v>
      </c>
      <c r="K447" s="211">
        <v>98</v>
      </c>
      <c r="L447" s="205">
        <f>'Приложение 2 КСП 2018-2019 гг'!H448</f>
        <v>1999399.8</v>
      </c>
      <c r="M447" s="407">
        <v>0</v>
      </c>
      <c r="N447" s="407">
        <v>0</v>
      </c>
      <c r="O447" s="407">
        <v>0</v>
      </c>
      <c r="P447" s="407">
        <f t="shared" si="91"/>
        <v>1999399.8</v>
      </c>
      <c r="Q447" s="407">
        <v>0</v>
      </c>
      <c r="R447" s="267">
        <v>0</v>
      </c>
      <c r="S447" s="132" t="s">
        <v>590</v>
      </c>
      <c r="T447" s="126"/>
      <c r="U447" s="127"/>
    </row>
    <row r="448" spans="1:21" ht="9" customHeight="1">
      <c r="A448" s="406">
        <v>89</v>
      </c>
      <c r="B448" s="206" t="s">
        <v>711</v>
      </c>
      <c r="C448" s="350" t="s">
        <v>1155</v>
      </c>
      <c r="D448" s="207" t="s">
        <v>1154</v>
      </c>
      <c r="E448" s="212" t="s">
        <v>605</v>
      </c>
      <c r="F448" s="209" t="s">
        <v>88</v>
      </c>
      <c r="G448" s="210">
        <v>5</v>
      </c>
      <c r="H448" s="210">
        <v>4</v>
      </c>
      <c r="I448" s="211">
        <v>4689.92</v>
      </c>
      <c r="J448" s="211">
        <v>3368.5</v>
      </c>
      <c r="K448" s="211">
        <v>166</v>
      </c>
      <c r="L448" s="205">
        <f>'Приложение 2 КСП 2018-2019 гг'!H449</f>
        <v>3837434</v>
      </c>
      <c r="M448" s="407">
        <v>0</v>
      </c>
      <c r="N448" s="407">
        <v>0</v>
      </c>
      <c r="O448" s="407">
        <v>0</v>
      </c>
      <c r="P448" s="407">
        <f t="shared" si="91"/>
        <v>3837434</v>
      </c>
      <c r="Q448" s="407">
        <v>0</v>
      </c>
      <c r="R448" s="267">
        <v>0</v>
      </c>
      <c r="S448" s="132" t="s">
        <v>590</v>
      </c>
      <c r="T448" s="126"/>
      <c r="U448" s="127"/>
    </row>
    <row r="449" spans="1:21" ht="9" customHeight="1">
      <c r="A449" s="406">
        <v>90</v>
      </c>
      <c r="B449" s="206" t="s">
        <v>712</v>
      </c>
      <c r="C449" s="350" t="s">
        <v>1156</v>
      </c>
      <c r="D449" s="207" t="s">
        <v>1154</v>
      </c>
      <c r="E449" s="212" t="s">
        <v>611</v>
      </c>
      <c r="F449" s="209" t="s">
        <v>88</v>
      </c>
      <c r="G449" s="210">
        <v>6</v>
      </c>
      <c r="H449" s="210">
        <v>1</v>
      </c>
      <c r="I449" s="211">
        <v>1418.84</v>
      </c>
      <c r="J449" s="211">
        <f>1097.5+249.1</f>
        <v>1346.6</v>
      </c>
      <c r="K449" s="211">
        <v>74</v>
      </c>
      <c r="L449" s="205">
        <f>'Приложение 2 КСП 2018-2019 гг'!H450</f>
        <v>931392</v>
      </c>
      <c r="M449" s="407">
        <v>0</v>
      </c>
      <c r="N449" s="407">
        <v>0</v>
      </c>
      <c r="O449" s="407">
        <v>0</v>
      </c>
      <c r="P449" s="407">
        <f t="shared" si="91"/>
        <v>931392</v>
      </c>
      <c r="Q449" s="407">
        <v>0</v>
      </c>
      <c r="R449" s="267">
        <v>0</v>
      </c>
      <c r="S449" s="132" t="s">
        <v>590</v>
      </c>
      <c r="T449" s="126"/>
      <c r="U449" s="127"/>
    </row>
    <row r="450" spans="1:21" ht="9" customHeight="1">
      <c r="A450" s="406">
        <v>91</v>
      </c>
      <c r="B450" s="206" t="s">
        <v>713</v>
      </c>
      <c r="C450" s="350" t="s">
        <v>1155</v>
      </c>
      <c r="D450" s="207" t="s">
        <v>1154</v>
      </c>
      <c r="E450" s="212" t="s">
        <v>615</v>
      </c>
      <c r="F450" s="209" t="s">
        <v>90</v>
      </c>
      <c r="G450" s="210">
        <v>5</v>
      </c>
      <c r="H450" s="210">
        <v>8</v>
      </c>
      <c r="I450" s="211">
        <v>5751.1</v>
      </c>
      <c r="J450" s="211">
        <v>5183.1000000000004</v>
      </c>
      <c r="K450" s="211">
        <v>279</v>
      </c>
      <c r="L450" s="205">
        <f>'Приложение 2 КСП 2018-2019 гг'!H451</f>
        <v>5001000</v>
      </c>
      <c r="M450" s="407">
        <v>0</v>
      </c>
      <c r="N450" s="407">
        <v>0</v>
      </c>
      <c r="O450" s="407">
        <v>0</v>
      </c>
      <c r="P450" s="407">
        <f t="shared" si="91"/>
        <v>5001000</v>
      </c>
      <c r="Q450" s="407">
        <v>0</v>
      </c>
      <c r="R450" s="267">
        <v>0</v>
      </c>
      <c r="S450" s="132" t="s">
        <v>590</v>
      </c>
      <c r="T450" s="126"/>
      <c r="U450" s="127"/>
    </row>
    <row r="451" spans="1:21" ht="9" customHeight="1">
      <c r="A451" s="406">
        <v>92</v>
      </c>
      <c r="B451" s="206" t="s">
        <v>714</v>
      </c>
      <c r="C451" s="350" t="s">
        <v>1155</v>
      </c>
      <c r="D451" s="207" t="s">
        <v>1154</v>
      </c>
      <c r="E451" s="212" t="s">
        <v>600</v>
      </c>
      <c r="F451" s="209" t="s">
        <v>90</v>
      </c>
      <c r="G451" s="210">
        <v>5</v>
      </c>
      <c r="H451" s="210">
        <v>4</v>
      </c>
      <c r="I451" s="211">
        <v>2967</v>
      </c>
      <c r="J451" s="211">
        <v>2770.2</v>
      </c>
      <c r="K451" s="211">
        <v>115</v>
      </c>
      <c r="L451" s="205">
        <f>'Приложение 2 КСП 2018-2019 гг'!H452</f>
        <v>2633860</v>
      </c>
      <c r="M451" s="407">
        <v>0</v>
      </c>
      <c r="N451" s="407">
        <v>0</v>
      </c>
      <c r="O451" s="407">
        <v>0</v>
      </c>
      <c r="P451" s="407">
        <f t="shared" si="91"/>
        <v>2633860</v>
      </c>
      <c r="Q451" s="407">
        <v>0</v>
      </c>
      <c r="R451" s="267">
        <v>0</v>
      </c>
      <c r="S451" s="132" t="s">
        <v>590</v>
      </c>
      <c r="T451" s="126"/>
      <c r="U451" s="127"/>
    </row>
    <row r="452" spans="1:21" ht="9" customHeight="1">
      <c r="A452" s="406">
        <v>93</v>
      </c>
      <c r="B452" s="206" t="s">
        <v>715</v>
      </c>
      <c r="C452" s="350" t="s">
        <v>1155</v>
      </c>
      <c r="D452" s="207" t="s">
        <v>1154</v>
      </c>
      <c r="E452" s="212" t="s">
        <v>107</v>
      </c>
      <c r="F452" s="209" t="s">
        <v>88</v>
      </c>
      <c r="G452" s="210">
        <v>4</v>
      </c>
      <c r="H452" s="210">
        <v>3</v>
      </c>
      <c r="I452" s="211">
        <v>2170.1</v>
      </c>
      <c r="J452" s="211">
        <v>1780.35</v>
      </c>
      <c r="K452" s="211">
        <v>89</v>
      </c>
      <c r="L452" s="205">
        <f>'Приложение 2 КСП 2018-2019 гг'!H453</f>
        <v>2800644</v>
      </c>
      <c r="M452" s="407">
        <v>0</v>
      </c>
      <c r="N452" s="407">
        <v>0</v>
      </c>
      <c r="O452" s="407">
        <v>0</v>
      </c>
      <c r="P452" s="407">
        <f t="shared" si="91"/>
        <v>2800644</v>
      </c>
      <c r="Q452" s="407">
        <v>0</v>
      </c>
      <c r="R452" s="267">
        <v>0</v>
      </c>
      <c r="S452" s="132" t="s">
        <v>590</v>
      </c>
      <c r="T452" s="126"/>
      <c r="U452" s="127"/>
    </row>
    <row r="453" spans="1:21" ht="9" customHeight="1">
      <c r="A453" s="406">
        <v>94</v>
      </c>
      <c r="B453" s="206" t="s">
        <v>716</v>
      </c>
      <c r="C453" s="350" t="s">
        <v>1155</v>
      </c>
      <c r="D453" s="207" t="s">
        <v>1154</v>
      </c>
      <c r="E453" s="212" t="s">
        <v>605</v>
      </c>
      <c r="F453" s="209" t="s">
        <v>88</v>
      </c>
      <c r="G453" s="210">
        <v>5</v>
      </c>
      <c r="H453" s="210">
        <v>2</v>
      </c>
      <c r="I453" s="211">
        <v>1777.4</v>
      </c>
      <c r="J453" s="211">
        <v>1437.33</v>
      </c>
      <c r="K453" s="211">
        <v>66</v>
      </c>
      <c r="L453" s="205">
        <f>'Приложение 2 КСП 2018-2019 гг'!H454</f>
        <v>1470294</v>
      </c>
      <c r="M453" s="407">
        <v>0</v>
      </c>
      <c r="N453" s="407">
        <v>0</v>
      </c>
      <c r="O453" s="407">
        <v>0</v>
      </c>
      <c r="P453" s="407">
        <f t="shared" si="91"/>
        <v>1470294</v>
      </c>
      <c r="Q453" s="407">
        <v>0</v>
      </c>
      <c r="R453" s="267">
        <v>0</v>
      </c>
      <c r="S453" s="132" t="s">
        <v>590</v>
      </c>
      <c r="T453" s="126"/>
      <c r="U453" s="127"/>
    </row>
    <row r="454" spans="1:21" ht="9" customHeight="1">
      <c r="A454" s="406">
        <v>95</v>
      </c>
      <c r="B454" s="206" t="s">
        <v>717</v>
      </c>
      <c r="C454" s="350" t="s">
        <v>1155</v>
      </c>
      <c r="D454" s="207" t="s">
        <v>1154</v>
      </c>
      <c r="E454" s="212" t="s">
        <v>611</v>
      </c>
      <c r="F454" s="209" t="s">
        <v>90</v>
      </c>
      <c r="G454" s="210">
        <v>5</v>
      </c>
      <c r="H454" s="210">
        <v>4</v>
      </c>
      <c r="I454" s="211">
        <v>3827</v>
      </c>
      <c r="J454" s="211">
        <v>3423.5</v>
      </c>
      <c r="K454" s="211">
        <v>182</v>
      </c>
      <c r="L454" s="205">
        <f>'Приложение 2 КСП 2018-2019 гг'!H455</f>
        <v>2973928</v>
      </c>
      <c r="M454" s="407">
        <v>0</v>
      </c>
      <c r="N454" s="407">
        <v>0</v>
      </c>
      <c r="O454" s="407">
        <v>0</v>
      </c>
      <c r="P454" s="407">
        <f t="shared" si="91"/>
        <v>2973928</v>
      </c>
      <c r="Q454" s="407">
        <v>0</v>
      </c>
      <c r="R454" s="267">
        <v>0</v>
      </c>
      <c r="S454" s="132" t="s">
        <v>590</v>
      </c>
      <c r="T454" s="126"/>
      <c r="U454" s="127"/>
    </row>
    <row r="455" spans="1:21" ht="9" customHeight="1">
      <c r="A455" s="406">
        <v>96</v>
      </c>
      <c r="B455" s="206" t="s">
        <v>718</v>
      </c>
      <c r="C455" s="350" t="s">
        <v>1155</v>
      </c>
      <c r="D455" s="207" t="s">
        <v>1154</v>
      </c>
      <c r="E455" s="212" t="s">
        <v>604</v>
      </c>
      <c r="F455" s="209" t="s">
        <v>90</v>
      </c>
      <c r="G455" s="210">
        <v>5</v>
      </c>
      <c r="H455" s="210">
        <v>11</v>
      </c>
      <c r="I455" s="211">
        <v>8310.5</v>
      </c>
      <c r="J455" s="211">
        <v>7634</v>
      </c>
      <c r="K455" s="211">
        <v>368</v>
      </c>
      <c r="L455" s="205">
        <f>'Приложение 2 КСП 2018-2019 гг'!H456</f>
        <v>6741348</v>
      </c>
      <c r="M455" s="407">
        <v>0</v>
      </c>
      <c r="N455" s="407">
        <v>0</v>
      </c>
      <c r="O455" s="407">
        <v>0</v>
      </c>
      <c r="P455" s="407">
        <f t="shared" si="91"/>
        <v>6741348</v>
      </c>
      <c r="Q455" s="407">
        <v>0</v>
      </c>
      <c r="R455" s="267">
        <v>0</v>
      </c>
      <c r="S455" s="132" t="s">
        <v>590</v>
      </c>
      <c r="T455" s="126"/>
      <c r="U455" s="127"/>
    </row>
    <row r="456" spans="1:21" ht="9" customHeight="1">
      <c r="A456" s="406">
        <v>97</v>
      </c>
      <c r="B456" s="206" t="s">
        <v>719</v>
      </c>
      <c r="C456" s="350" t="s">
        <v>1155</v>
      </c>
      <c r="D456" s="207" t="s">
        <v>1154</v>
      </c>
      <c r="E456" s="212" t="s">
        <v>598</v>
      </c>
      <c r="F456" s="209" t="s">
        <v>90</v>
      </c>
      <c r="G456" s="210">
        <v>5</v>
      </c>
      <c r="H456" s="210">
        <v>4</v>
      </c>
      <c r="I456" s="211">
        <v>4112</v>
      </c>
      <c r="J456" s="211">
        <v>3843</v>
      </c>
      <c r="K456" s="211">
        <v>222</v>
      </c>
      <c r="L456" s="205">
        <f>'Приложение 2 КСП 2018-2019 гг'!H457</f>
        <v>3230646</v>
      </c>
      <c r="M456" s="407">
        <v>0</v>
      </c>
      <c r="N456" s="407">
        <v>0</v>
      </c>
      <c r="O456" s="407">
        <v>0</v>
      </c>
      <c r="P456" s="407">
        <f t="shared" si="91"/>
        <v>3230646</v>
      </c>
      <c r="Q456" s="407">
        <v>0</v>
      </c>
      <c r="R456" s="267">
        <v>0</v>
      </c>
      <c r="S456" s="132" t="s">
        <v>590</v>
      </c>
      <c r="T456" s="126"/>
      <c r="U456" s="127"/>
    </row>
    <row r="457" spans="1:21" ht="9" customHeight="1">
      <c r="A457" s="406">
        <v>98</v>
      </c>
      <c r="B457" s="206" t="s">
        <v>720</v>
      </c>
      <c r="C457" s="350" t="s">
        <v>1155</v>
      </c>
      <c r="D457" s="207" t="s">
        <v>1154</v>
      </c>
      <c r="E457" s="212" t="s">
        <v>597</v>
      </c>
      <c r="F457" s="209" t="s">
        <v>88</v>
      </c>
      <c r="G457" s="210">
        <v>5</v>
      </c>
      <c r="H457" s="210">
        <v>4</v>
      </c>
      <c r="I457" s="211">
        <v>3010.5</v>
      </c>
      <c r="J457" s="211">
        <v>2689</v>
      </c>
      <c r="K457" s="211">
        <v>103</v>
      </c>
      <c r="L457" s="205">
        <f>'Приложение 2 КСП 2018-2019 гг'!H458</f>
        <v>4851000</v>
      </c>
      <c r="M457" s="407">
        <v>0</v>
      </c>
      <c r="N457" s="407">
        <v>0</v>
      </c>
      <c r="O457" s="407">
        <v>0</v>
      </c>
      <c r="P457" s="407">
        <f t="shared" si="91"/>
        <v>4851000</v>
      </c>
      <c r="Q457" s="407">
        <v>0</v>
      </c>
      <c r="R457" s="267">
        <v>0</v>
      </c>
      <c r="S457" s="132" t="s">
        <v>590</v>
      </c>
      <c r="T457" s="126"/>
      <c r="U457" s="127"/>
    </row>
    <row r="458" spans="1:21" ht="9" customHeight="1">
      <c r="A458" s="406">
        <v>99</v>
      </c>
      <c r="B458" s="206" t="s">
        <v>721</v>
      </c>
      <c r="C458" s="350" t="s">
        <v>1155</v>
      </c>
      <c r="D458" s="207" t="s">
        <v>1154</v>
      </c>
      <c r="E458" s="212" t="s">
        <v>747</v>
      </c>
      <c r="F458" s="209" t="s">
        <v>88</v>
      </c>
      <c r="G458" s="210">
        <v>4</v>
      </c>
      <c r="H458" s="210">
        <v>4</v>
      </c>
      <c r="I458" s="211">
        <v>4285.7</v>
      </c>
      <c r="J458" s="211">
        <v>3564.9</v>
      </c>
      <c r="K458" s="211">
        <v>87</v>
      </c>
      <c r="L458" s="205">
        <f>'Приложение 2 КСП 2018-2019 гг'!H459</f>
        <v>5840604</v>
      </c>
      <c r="M458" s="407">
        <v>0</v>
      </c>
      <c r="N458" s="407">
        <v>0</v>
      </c>
      <c r="O458" s="407">
        <v>0</v>
      </c>
      <c r="P458" s="407">
        <f t="shared" si="91"/>
        <v>5840604</v>
      </c>
      <c r="Q458" s="407">
        <v>0</v>
      </c>
      <c r="R458" s="267">
        <v>0</v>
      </c>
      <c r="S458" s="132" t="s">
        <v>590</v>
      </c>
      <c r="T458" s="126"/>
      <c r="U458" s="127"/>
    </row>
    <row r="459" spans="1:21" ht="9" customHeight="1">
      <c r="A459" s="406">
        <v>100</v>
      </c>
      <c r="B459" s="206" t="s">
        <v>722</v>
      </c>
      <c r="C459" s="350" t="s">
        <v>1155</v>
      </c>
      <c r="D459" s="207" t="s">
        <v>1154</v>
      </c>
      <c r="E459" s="212" t="s">
        <v>597</v>
      </c>
      <c r="F459" s="209" t="s">
        <v>90</v>
      </c>
      <c r="G459" s="210">
        <v>5</v>
      </c>
      <c r="H459" s="210">
        <v>8</v>
      </c>
      <c r="I459" s="211">
        <v>6119.3</v>
      </c>
      <c r="J459" s="211">
        <v>5372.1</v>
      </c>
      <c r="K459" s="211">
        <v>130</v>
      </c>
      <c r="L459" s="205">
        <f>'Приложение 2 КСП 2018-2019 гг'!H460</f>
        <v>4664266</v>
      </c>
      <c r="M459" s="407">
        <v>0</v>
      </c>
      <c r="N459" s="407">
        <v>0</v>
      </c>
      <c r="O459" s="407">
        <v>0</v>
      </c>
      <c r="P459" s="407">
        <f t="shared" si="91"/>
        <v>4664266</v>
      </c>
      <c r="Q459" s="407">
        <v>0</v>
      </c>
      <c r="R459" s="267">
        <v>0</v>
      </c>
      <c r="S459" s="132" t="s">
        <v>590</v>
      </c>
      <c r="T459" s="126"/>
      <c r="U459" s="127"/>
    </row>
    <row r="460" spans="1:21" ht="9" customHeight="1">
      <c r="A460" s="406">
        <v>101</v>
      </c>
      <c r="B460" s="206" t="s">
        <v>723</v>
      </c>
      <c r="C460" s="350" t="s">
        <v>1155</v>
      </c>
      <c r="D460" s="207" t="s">
        <v>1154</v>
      </c>
      <c r="E460" s="212" t="s">
        <v>597</v>
      </c>
      <c r="F460" s="209" t="s">
        <v>90</v>
      </c>
      <c r="G460" s="210">
        <v>5</v>
      </c>
      <c r="H460" s="210">
        <v>8</v>
      </c>
      <c r="I460" s="211">
        <v>6146.2</v>
      </c>
      <c r="J460" s="211">
        <v>5492.3</v>
      </c>
      <c r="K460" s="211">
        <v>273</v>
      </c>
      <c r="L460" s="205">
        <f>'Приложение 2 КСП 2018-2019 гг'!H461</f>
        <v>4634260</v>
      </c>
      <c r="M460" s="407">
        <v>0</v>
      </c>
      <c r="N460" s="407">
        <v>0</v>
      </c>
      <c r="O460" s="407">
        <v>0</v>
      </c>
      <c r="P460" s="407">
        <f t="shared" si="91"/>
        <v>4634260</v>
      </c>
      <c r="Q460" s="407">
        <v>0</v>
      </c>
      <c r="R460" s="267">
        <v>0</v>
      </c>
      <c r="S460" s="132" t="s">
        <v>590</v>
      </c>
      <c r="T460" s="126"/>
      <c r="U460" s="127"/>
    </row>
    <row r="461" spans="1:21" ht="9" customHeight="1">
      <c r="A461" s="406">
        <v>102</v>
      </c>
      <c r="B461" s="206" t="s">
        <v>724</v>
      </c>
      <c r="C461" s="350" t="s">
        <v>1155</v>
      </c>
      <c r="D461" s="207" t="s">
        <v>1154</v>
      </c>
      <c r="E461" s="212" t="s">
        <v>594</v>
      </c>
      <c r="F461" s="209" t="s">
        <v>88</v>
      </c>
      <c r="G461" s="210">
        <v>5</v>
      </c>
      <c r="H461" s="210">
        <v>6</v>
      </c>
      <c r="I461" s="211">
        <v>4897.5</v>
      </c>
      <c r="J461" s="211">
        <v>4166.3</v>
      </c>
      <c r="K461" s="211">
        <v>289</v>
      </c>
      <c r="L461" s="205">
        <f>'Приложение 2 КСП 2018-2019 гг'!H462</f>
        <v>4577582</v>
      </c>
      <c r="M461" s="407">
        <v>0</v>
      </c>
      <c r="N461" s="407">
        <v>0</v>
      </c>
      <c r="O461" s="407">
        <v>0</v>
      </c>
      <c r="P461" s="407">
        <f t="shared" si="91"/>
        <v>4577582</v>
      </c>
      <c r="Q461" s="407">
        <v>0</v>
      </c>
      <c r="R461" s="267">
        <v>0</v>
      </c>
      <c r="S461" s="132" t="s">
        <v>590</v>
      </c>
      <c r="T461" s="126"/>
      <c r="U461" s="127"/>
    </row>
    <row r="462" spans="1:21" ht="9" customHeight="1">
      <c r="A462" s="406">
        <v>103</v>
      </c>
      <c r="B462" s="206" t="s">
        <v>725</v>
      </c>
      <c r="C462" s="350" t="s">
        <v>1155</v>
      </c>
      <c r="D462" s="207" t="s">
        <v>1154</v>
      </c>
      <c r="E462" s="212" t="s">
        <v>597</v>
      </c>
      <c r="F462" s="209" t="s">
        <v>90</v>
      </c>
      <c r="G462" s="210">
        <v>5</v>
      </c>
      <c r="H462" s="210">
        <v>4</v>
      </c>
      <c r="I462" s="211">
        <v>3634.2</v>
      </c>
      <c r="J462" s="211">
        <v>3181.1</v>
      </c>
      <c r="K462" s="211">
        <v>179</v>
      </c>
      <c r="L462" s="205">
        <f>'Приложение 2 КСП 2018-2019 гг'!H463</f>
        <v>3200640</v>
      </c>
      <c r="M462" s="407">
        <v>0</v>
      </c>
      <c r="N462" s="407">
        <v>0</v>
      </c>
      <c r="O462" s="407">
        <v>0</v>
      </c>
      <c r="P462" s="407">
        <f t="shared" si="91"/>
        <v>3200640</v>
      </c>
      <c r="Q462" s="407">
        <v>0</v>
      </c>
      <c r="R462" s="267">
        <v>0</v>
      </c>
      <c r="S462" s="132" t="s">
        <v>590</v>
      </c>
      <c r="T462" s="126"/>
      <c r="U462" s="127"/>
    </row>
    <row r="463" spans="1:21" ht="9" customHeight="1">
      <c r="A463" s="406">
        <v>104</v>
      </c>
      <c r="B463" s="206" t="s">
        <v>726</v>
      </c>
      <c r="C463" s="350" t="s">
        <v>1155</v>
      </c>
      <c r="D463" s="207" t="s">
        <v>1154</v>
      </c>
      <c r="E463" s="212" t="s">
        <v>613</v>
      </c>
      <c r="F463" s="209" t="s">
        <v>88</v>
      </c>
      <c r="G463" s="210">
        <v>5</v>
      </c>
      <c r="H463" s="210">
        <v>2</v>
      </c>
      <c r="I463" s="211">
        <v>1998.8</v>
      </c>
      <c r="J463" s="211">
        <v>1800.8</v>
      </c>
      <c r="K463" s="211">
        <v>96</v>
      </c>
      <c r="L463" s="205">
        <f>'Приложение 2 КСП 2018-2019 гг'!H464</f>
        <v>1690338</v>
      </c>
      <c r="M463" s="407">
        <v>0</v>
      </c>
      <c r="N463" s="407">
        <v>0</v>
      </c>
      <c r="O463" s="407">
        <v>0</v>
      </c>
      <c r="P463" s="407">
        <f t="shared" si="91"/>
        <v>1690338</v>
      </c>
      <c r="Q463" s="407">
        <v>0</v>
      </c>
      <c r="R463" s="267">
        <v>0</v>
      </c>
      <c r="S463" s="132" t="s">
        <v>590</v>
      </c>
      <c r="T463" s="126"/>
      <c r="U463" s="127"/>
    </row>
    <row r="464" spans="1:21" ht="9" customHeight="1">
      <c r="A464" s="406">
        <v>105</v>
      </c>
      <c r="B464" s="206" t="s">
        <v>727</v>
      </c>
      <c r="C464" s="350" t="s">
        <v>1155</v>
      </c>
      <c r="D464" s="207" t="s">
        <v>1154</v>
      </c>
      <c r="E464" s="208">
        <v>1961</v>
      </c>
      <c r="F464" s="209" t="s">
        <v>88</v>
      </c>
      <c r="G464" s="210">
        <v>4</v>
      </c>
      <c r="H464" s="210">
        <v>3</v>
      </c>
      <c r="I464" s="211">
        <v>2165.4</v>
      </c>
      <c r="J464" s="211">
        <v>1875.4</v>
      </c>
      <c r="K464" s="211">
        <v>92</v>
      </c>
      <c r="L464" s="205">
        <f>'Приложение 2 КСП 2018-2019 гг'!H465</f>
        <v>2952642</v>
      </c>
      <c r="M464" s="407">
        <v>0</v>
      </c>
      <c r="N464" s="407">
        <v>0</v>
      </c>
      <c r="O464" s="407">
        <v>0</v>
      </c>
      <c r="P464" s="407">
        <f t="shared" si="91"/>
        <v>2952642</v>
      </c>
      <c r="Q464" s="407">
        <v>0</v>
      </c>
      <c r="R464" s="267">
        <v>0</v>
      </c>
      <c r="S464" s="132" t="s">
        <v>590</v>
      </c>
      <c r="T464" s="126"/>
      <c r="U464" s="127"/>
    </row>
    <row r="465" spans="1:21" ht="9" customHeight="1">
      <c r="A465" s="406">
        <v>106</v>
      </c>
      <c r="B465" s="206" t="s">
        <v>728</v>
      </c>
      <c r="C465" s="350" t="s">
        <v>1155</v>
      </c>
      <c r="D465" s="207" t="s">
        <v>1154</v>
      </c>
      <c r="E465" s="208">
        <v>1971</v>
      </c>
      <c r="F465" s="209" t="s">
        <v>90</v>
      </c>
      <c r="G465" s="210">
        <v>5</v>
      </c>
      <c r="H465" s="210">
        <v>8</v>
      </c>
      <c r="I465" s="211">
        <v>6144.7</v>
      </c>
      <c r="J465" s="211">
        <v>5519.9</v>
      </c>
      <c r="K465" s="211">
        <v>6</v>
      </c>
      <c r="L465" s="205">
        <f>'Приложение 2 КСП 2018-2019 гг'!H466</f>
        <v>5197706</v>
      </c>
      <c r="M465" s="407">
        <v>0</v>
      </c>
      <c r="N465" s="407">
        <v>0</v>
      </c>
      <c r="O465" s="407">
        <v>0</v>
      </c>
      <c r="P465" s="407">
        <f t="shared" si="91"/>
        <v>5197706</v>
      </c>
      <c r="Q465" s="407">
        <v>0</v>
      </c>
      <c r="R465" s="267">
        <v>0</v>
      </c>
      <c r="S465" s="132" t="s">
        <v>590</v>
      </c>
      <c r="T465" s="126"/>
      <c r="U465" s="127"/>
    </row>
    <row r="466" spans="1:21" ht="9" customHeight="1">
      <c r="A466" s="406">
        <v>107</v>
      </c>
      <c r="B466" s="206" t="s">
        <v>729</v>
      </c>
      <c r="C466" s="350" t="s">
        <v>1155</v>
      </c>
      <c r="D466" s="207" t="s">
        <v>1154</v>
      </c>
      <c r="E466" s="208">
        <v>1959</v>
      </c>
      <c r="F466" s="209" t="s">
        <v>88</v>
      </c>
      <c r="G466" s="210">
        <v>4</v>
      </c>
      <c r="H466" s="210">
        <v>2</v>
      </c>
      <c r="I466" s="211">
        <v>1394</v>
      </c>
      <c r="J466" s="211">
        <v>1292.4000000000001</v>
      </c>
      <c r="K466" s="211">
        <v>49</v>
      </c>
      <c r="L466" s="205">
        <f>'Приложение 2 КСП 2018-2019 гг'!H467</f>
        <v>1911294</v>
      </c>
      <c r="M466" s="407">
        <v>0</v>
      </c>
      <c r="N466" s="407">
        <v>0</v>
      </c>
      <c r="O466" s="407">
        <v>0</v>
      </c>
      <c r="P466" s="407">
        <f t="shared" si="91"/>
        <v>1911294</v>
      </c>
      <c r="Q466" s="407">
        <v>0</v>
      </c>
      <c r="R466" s="267">
        <v>0</v>
      </c>
      <c r="S466" s="132" t="s">
        <v>590</v>
      </c>
      <c r="T466" s="126"/>
      <c r="U466" s="127"/>
    </row>
    <row r="467" spans="1:21" ht="9" customHeight="1">
      <c r="A467" s="406">
        <v>108</v>
      </c>
      <c r="B467" s="206" t="s">
        <v>730</v>
      </c>
      <c r="C467" s="350" t="s">
        <v>1155</v>
      </c>
      <c r="D467" s="207" t="s">
        <v>1154</v>
      </c>
      <c r="E467" s="208">
        <v>1962</v>
      </c>
      <c r="F467" s="209" t="s">
        <v>88</v>
      </c>
      <c r="G467" s="210">
        <v>5</v>
      </c>
      <c r="H467" s="210">
        <v>2</v>
      </c>
      <c r="I467" s="211">
        <v>1673.7</v>
      </c>
      <c r="J467" s="211">
        <v>1312.2</v>
      </c>
      <c r="K467" s="211">
        <v>14</v>
      </c>
      <c r="L467" s="205">
        <f>'Приложение 2 КСП 2018-2019 гг'!H468</f>
        <v>1875720</v>
      </c>
      <c r="M467" s="407">
        <v>0</v>
      </c>
      <c r="N467" s="407">
        <v>0</v>
      </c>
      <c r="O467" s="407">
        <v>0</v>
      </c>
      <c r="P467" s="407">
        <f t="shared" si="91"/>
        <v>1875720</v>
      </c>
      <c r="Q467" s="407">
        <v>0</v>
      </c>
      <c r="R467" s="267">
        <v>0</v>
      </c>
      <c r="S467" s="132" t="s">
        <v>590</v>
      </c>
      <c r="T467" s="126"/>
      <c r="U467" s="127"/>
    </row>
    <row r="468" spans="1:21" ht="9" customHeight="1">
      <c r="A468" s="406">
        <v>109</v>
      </c>
      <c r="B468" s="206" t="s">
        <v>731</v>
      </c>
      <c r="C468" s="350" t="s">
        <v>1155</v>
      </c>
      <c r="D468" s="207" t="s">
        <v>1154</v>
      </c>
      <c r="E468" s="208">
        <v>1985</v>
      </c>
      <c r="F468" s="209" t="s">
        <v>88</v>
      </c>
      <c r="G468" s="210">
        <v>5</v>
      </c>
      <c r="H468" s="210">
        <v>1</v>
      </c>
      <c r="I468" s="211">
        <v>3962.3</v>
      </c>
      <c r="J468" s="211">
        <v>2222.3000000000002</v>
      </c>
      <c r="K468" s="211">
        <v>246</v>
      </c>
      <c r="L468" s="205">
        <f>'Приложение 2 КСП 2018-2019 гг'!H469</f>
        <v>3394012</v>
      </c>
      <c r="M468" s="407">
        <v>0</v>
      </c>
      <c r="N468" s="407">
        <v>0</v>
      </c>
      <c r="O468" s="407">
        <v>0</v>
      </c>
      <c r="P468" s="407">
        <f t="shared" si="91"/>
        <v>3394012</v>
      </c>
      <c r="Q468" s="407">
        <v>0</v>
      </c>
      <c r="R468" s="267">
        <v>0</v>
      </c>
      <c r="S468" s="132" t="s">
        <v>590</v>
      </c>
      <c r="T468" s="126"/>
      <c r="U468" s="127"/>
    </row>
    <row r="469" spans="1:21" ht="9" customHeight="1">
      <c r="A469" s="406">
        <v>110</v>
      </c>
      <c r="B469" s="206" t="s">
        <v>732</v>
      </c>
      <c r="C469" s="350" t="s">
        <v>1155</v>
      </c>
      <c r="D469" s="207" t="s">
        <v>1154</v>
      </c>
      <c r="E469" s="208">
        <v>1947</v>
      </c>
      <c r="F469" s="209" t="s">
        <v>88</v>
      </c>
      <c r="G469" s="210">
        <v>4</v>
      </c>
      <c r="H469" s="210">
        <v>6</v>
      </c>
      <c r="I469" s="211">
        <v>4305.8</v>
      </c>
      <c r="J469" s="211">
        <f>3057.1+730.1</f>
        <v>3787.2</v>
      </c>
      <c r="K469" s="211">
        <v>166</v>
      </c>
      <c r="L469" s="205">
        <f>'Приложение 2 КСП 2018-2019 гг'!H470</f>
        <v>5675670</v>
      </c>
      <c r="M469" s="407">
        <v>0</v>
      </c>
      <c r="N469" s="407">
        <v>0</v>
      </c>
      <c r="O469" s="407">
        <v>0</v>
      </c>
      <c r="P469" s="407">
        <f t="shared" si="91"/>
        <v>5675670</v>
      </c>
      <c r="Q469" s="407">
        <v>0</v>
      </c>
      <c r="R469" s="267">
        <v>0</v>
      </c>
      <c r="S469" s="132" t="s">
        <v>590</v>
      </c>
      <c r="T469" s="126"/>
      <c r="U469" s="127"/>
    </row>
    <row r="470" spans="1:21" ht="9" customHeight="1">
      <c r="A470" s="406">
        <v>111</v>
      </c>
      <c r="B470" s="206" t="s">
        <v>733</v>
      </c>
      <c r="C470" s="350" t="s">
        <v>1155</v>
      </c>
      <c r="D470" s="207" t="s">
        <v>1154</v>
      </c>
      <c r="E470" s="208">
        <v>1977</v>
      </c>
      <c r="F470" s="209" t="s">
        <v>90</v>
      </c>
      <c r="G470" s="210">
        <v>5</v>
      </c>
      <c r="H470" s="210">
        <v>14</v>
      </c>
      <c r="I470" s="211">
        <v>11099.2</v>
      </c>
      <c r="J470" s="211">
        <v>10213</v>
      </c>
      <c r="K470" s="211">
        <v>499</v>
      </c>
      <c r="L470" s="205">
        <f>'Приложение 2 КСП 2018-2019 гг'!H471</f>
        <v>8835100</v>
      </c>
      <c r="M470" s="407">
        <v>0</v>
      </c>
      <c r="N470" s="407">
        <v>0</v>
      </c>
      <c r="O470" s="407">
        <v>0</v>
      </c>
      <c r="P470" s="407">
        <f t="shared" si="91"/>
        <v>8835100</v>
      </c>
      <c r="Q470" s="407">
        <v>0</v>
      </c>
      <c r="R470" s="267">
        <v>0</v>
      </c>
      <c r="S470" s="132" t="s">
        <v>590</v>
      </c>
      <c r="T470" s="126"/>
      <c r="U470" s="127"/>
    </row>
    <row r="471" spans="1:21" ht="9" customHeight="1">
      <c r="A471" s="406">
        <v>112</v>
      </c>
      <c r="B471" s="206" t="s">
        <v>734</v>
      </c>
      <c r="C471" s="350" t="s">
        <v>1155</v>
      </c>
      <c r="D471" s="207" t="s">
        <v>1154</v>
      </c>
      <c r="E471" s="208">
        <v>1978</v>
      </c>
      <c r="F471" s="209" t="s">
        <v>90</v>
      </c>
      <c r="G471" s="210">
        <v>5</v>
      </c>
      <c r="H471" s="210">
        <v>13</v>
      </c>
      <c r="I471" s="211">
        <v>10207.799999999999</v>
      </c>
      <c r="J471" s="211">
        <v>9363</v>
      </c>
      <c r="K471" s="211">
        <v>468</v>
      </c>
      <c r="L471" s="205">
        <f>'Приложение 2 КСП 2018-2019 гг'!H472</f>
        <v>7968260</v>
      </c>
      <c r="M471" s="407">
        <v>0</v>
      </c>
      <c r="N471" s="407">
        <v>0</v>
      </c>
      <c r="O471" s="407">
        <v>0</v>
      </c>
      <c r="P471" s="407">
        <f t="shared" si="91"/>
        <v>7968260</v>
      </c>
      <c r="Q471" s="407">
        <v>0</v>
      </c>
      <c r="R471" s="267">
        <v>0</v>
      </c>
      <c r="S471" s="132" t="s">
        <v>590</v>
      </c>
      <c r="T471" s="126"/>
      <c r="U471" s="127"/>
    </row>
    <row r="472" spans="1:21" ht="9" customHeight="1">
      <c r="A472" s="406">
        <v>113</v>
      </c>
      <c r="B472" s="206" t="s">
        <v>735</v>
      </c>
      <c r="C472" s="350" t="s">
        <v>1155</v>
      </c>
      <c r="D472" s="207" t="s">
        <v>1154</v>
      </c>
      <c r="E472" s="208">
        <v>1975</v>
      </c>
      <c r="F472" s="209" t="s">
        <v>90</v>
      </c>
      <c r="G472" s="210">
        <v>5</v>
      </c>
      <c r="H472" s="210">
        <v>4</v>
      </c>
      <c r="I472" s="211">
        <v>3607</v>
      </c>
      <c r="J472" s="211">
        <v>3306</v>
      </c>
      <c r="K472" s="211">
        <v>172</v>
      </c>
      <c r="L472" s="205">
        <f>'Приложение 2 КСП 2018-2019 гг'!H473</f>
        <v>2767220</v>
      </c>
      <c r="M472" s="407">
        <v>0</v>
      </c>
      <c r="N472" s="407">
        <v>0</v>
      </c>
      <c r="O472" s="407">
        <v>0</v>
      </c>
      <c r="P472" s="407">
        <f t="shared" si="91"/>
        <v>2767220</v>
      </c>
      <c r="Q472" s="407">
        <v>0</v>
      </c>
      <c r="R472" s="267">
        <v>0</v>
      </c>
      <c r="S472" s="132" t="s">
        <v>590</v>
      </c>
      <c r="T472" s="126"/>
      <c r="U472" s="127"/>
    </row>
    <row r="473" spans="1:21" ht="9" customHeight="1">
      <c r="A473" s="406">
        <v>114</v>
      </c>
      <c r="B473" s="206" t="s">
        <v>736</v>
      </c>
      <c r="C473" s="350" t="s">
        <v>1155</v>
      </c>
      <c r="D473" s="207" t="s">
        <v>1154</v>
      </c>
      <c r="E473" s="208">
        <v>1976</v>
      </c>
      <c r="F473" s="209" t="s">
        <v>90</v>
      </c>
      <c r="G473" s="210">
        <v>5</v>
      </c>
      <c r="H473" s="210">
        <v>8</v>
      </c>
      <c r="I473" s="211">
        <v>6115.9</v>
      </c>
      <c r="J473" s="211">
        <v>5609</v>
      </c>
      <c r="K473" s="211">
        <v>283</v>
      </c>
      <c r="L473" s="205">
        <f>'Приложение 2 КСП 2018-2019 гг'!H474</f>
        <v>4877642</v>
      </c>
      <c r="M473" s="407">
        <v>0</v>
      </c>
      <c r="N473" s="407">
        <v>0</v>
      </c>
      <c r="O473" s="407">
        <v>0</v>
      </c>
      <c r="P473" s="407">
        <f t="shared" si="91"/>
        <v>4877642</v>
      </c>
      <c r="Q473" s="407">
        <v>0</v>
      </c>
      <c r="R473" s="267">
        <v>0</v>
      </c>
      <c r="S473" s="132" t="s">
        <v>590</v>
      </c>
      <c r="T473" s="126"/>
      <c r="U473" s="127"/>
    </row>
    <row r="474" spans="1:21" ht="9" customHeight="1">
      <c r="A474" s="406">
        <v>115</v>
      </c>
      <c r="B474" s="206" t="s">
        <v>737</v>
      </c>
      <c r="C474" s="350" t="s">
        <v>1155</v>
      </c>
      <c r="D474" s="207" t="s">
        <v>1154</v>
      </c>
      <c r="E474" s="208">
        <v>1983</v>
      </c>
      <c r="F474" s="209" t="s">
        <v>90</v>
      </c>
      <c r="G474" s="210">
        <v>5</v>
      </c>
      <c r="H474" s="210">
        <v>3</v>
      </c>
      <c r="I474" s="211">
        <v>2350.5</v>
      </c>
      <c r="J474" s="211">
        <v>2070.6</v>
      </c>
      <c r="K474" s="211">
        <v>101</v>
      </c>
      <c r="L474" s="205">
        <f>'Приложение 2 КСП 2018-2019 гг'!H475</f>
        <v>5204374</v>
      </c>
      <c r="M474" s="407">
        <v>0</v>
      </c>
      <c r="N474" s="407">
        <v>0</v>
      </c>
      <c r="O474" s="407">
        <v>0</v>
      </c>
      <c r="P474" s="407">
        <f t="shared" si="91"/>
        <v>5204374</v>
      </c>
      <c r="Q474" s="407">
        <v>0</v>
      </c>
      <c r="R474" s="267">
        <v>0</v>
      </c>
      <c r="S474" s="132" t="s">
        <v>590</v>
      </c>
      <c r="T474" s="126"/>
      <c r="U474" s="127"/>
    </row>
    <row r="475" spans="1:21" ht="9" customHeight="1">
      <c r="A475" s="406">
        <v>116</v>
      </c>
      <c r="B475" s="206" t="s">
        <v>738</v>
      </c>
      <c r="C475" s="350" t="s">
        <v>1155</v>
      </c>
      <c r="D475" s="207" t="s">
        <v>1154</v>
      </c>
      <c r="E475" s="208">
        <v>1982</v>
      </c>
      <c r="F475" s="209" t="s">
        <v>90</v>
      </c>
      <c r="G475" s="210">
        <v>3</v>
      </c>
      <c r="H475" s="210">
        <v>3</v>
      </c>
      <c r="I475" s="211">
        <v>1493</v>
      </c>
      <c r="J475" s="211">
        <v>1300</v>
      </c>
      <c r="K475" s="211">
        <v>172</v>
      </c>
      <c r="L475" s="205">
        <f>'Приложение 2 КСП 2018-2019 гг'!H476</f>
        <v>2564562</v>
      </c>
      <c r="M475" s="407">
        <v>0</v>
      </c>
      <c r="N475" s="407">
        <v>0</v>
      </c>
      <c r="O475" s="407">
        <v>0</v>
      </c>
      <c r="P475" s="407">
        <f t="shared" si="91"/>
        <v>2564562</v>
      </c>
      <c r="Q475" s="407">
        <v>0</v>
      </c>
      <c r="R475" s="267">
        <v>0</v>
      </c>
      <c r="S475" s="132" t="s">
        <v>590</v>
      </c>
      <c r="T475" s="126"/>
      <c r="U475" s="127"/>
    </row>
    <row r="476" spans="1:21" ht="9" customHeight="1">
      <c r="A476" s="406">
        <v>117</v>
      </c>
      <c r="B476" s="206" t="s">
        <v>739</v>
      </c>
      <c r="C476" s="350" t="s">
        <v>1155</v>
      </c>
      <c r="D476" s="207" t="s">
        <v>1154</v>
      </c>
      <c r="E476" s="208">
        <v>1981</v>
      </c>
      <c r="F476" s="209" t="s">
        <v>90</v>
      </c>
      <c r="G476" s="210">
        <v>3</v>
      </c>
      <c r="H476" s="210">
        <v>3</v>
      </c>
      <c r="I476" s="211">
        <v>1522.4</v>
      </c>
      <c r="J476" s="211">
        <v>1300</v>
      </c>
      <c r="K476" s="211">
        <v>68</v>
      </c>
      <c r="L476" s="205">
        <f>'Приложение 2 КСП 2018-2019 гг'!H477</f>
        <v>2564562</v>
      </c>
      <c r="M476" s="407">
        <v>0</v>
      </c>
      <c r="N476" s="407">
        <v>0</v>
      </c>
      <c r="O476" s="407">
        <v>0</v>
      </c>
      <c r="P476" s="407">
        <f t="shared" si="91"/>
        <v>2564562</v>
      </c>
      <c r="Q476" s="407">
        <v>0</v>
      </c>
      <c r="R476" s="267">
        <v>0</v>
      </c>
      <c r="S476" s="132" t="s">
        <v>590</v>
      </c>
      <c r="T476" s="126"/>
      <c r="U476" s="127"/>
    </row>
    <row r="477" spans="1:21" ht="9" customHeight="1">
      <c r="A477" s="406">
        <v>118</v>
      </c>
      <c r="B477" s="206" t="s">
        <v>740</v>
      </c>
      <c r="C477" s="350" t="s">
        <v>1155</v>
      </c>
      <c r="D477" s="207" t="s">
        <v>1154</v>
      </c>
      <c r="E477" s="208">
        <v>1982</v>
      </c>
      <c r="F477" s="209" t="s">
        <v>90</v>
      </c>
      <c r="G477" s="210">
        <v>3</v>
      </c>
      <c r="H477" s="210">
        <v>3</v>
      </c>
      <c r="I477" s="211">
        <v>1497.7</v>
      </c>
      <c r="J477" s="211">
        <v>1304.7</v>
      </c>
      <c r="K477" s="211">
        <v>63</v>
      </c>
      <c r="L477" s="205">
        <f>'Приложение 2 КСП 2018-2019 гг'!H478</f>
        <v>2564562</v>
      </c>
      <c r="M477" s="407">
        <v>0</v>
      </c>
      <c r="N477" s="407">
        <v>0</v>
      </c>
      <c r="O477" s="407">
        <v>0</v>
      </c>
      <c r="P477" s="407">
        <f t="shared" si="91"/>
        <v>2564562</v>
      </c>
      <c r="Q477" s="407">
        <v>0</v>
      </c>
      <c r="R477" s="267">
        <v>0</v>
      </c>
      <c r="S477" s="132" t="s">
        <v>590</v>
      </c>
      <c r="T477" s="126"/>
      <c r="U477" s="127"/>
    </row>
    <row r="478" spans="1:21" ht="9" customHeight="1">
      <c r="A478" s="406">
        <v>119</v>
      </c>
      <c r="B478" s="206" t="s">
        <v>741</v>
      </c>
      <c r="C478" s="350" t="s">
        <v>1155</v>
      </c>
      <c r="D478" s="207" t="s">
        <v>1154</v>
      </c>
      <c r="E478" s="208">
        <v>1981</v>
      </c>
      <c r="F478" s="209" t="s">
        <v>90</v>
      </c>
      <c r="G478" s="210">
        <v>3</v>
      </c>
      <c r="H478" s="210">
        <v>3</v>
      </c>
      <c r="I478" s="211">
        <v>1525.4</v>
      </c>
      <c r="J478" s="211">
        <v>1303</v>
      </c>
      <c r="K478" s="211">
        <v>68</v>
      </c>
      <c r="L478" s="205">
        <f>'Приложение 2 КСП 2018-2019 гг'!H479</f>
        <v>2564562</v>
      </c>
      <c r="M478" s="407">
        <v>0</v>
      </c>
      <c r="N478" s="407">
        <v>0</v>
      </c>
      <c r="O478" s="407">
        <v>0</v>
      </c>
      <c r="P478" s="407">
        <f t="shared" si="91"/>
        <v>2564562</v>
      </c>
      <c r="Q478" s="407">
        <v>0</v>
      </c>
      <c r="R478" s="267">
        <v>0</v>
      </c>
      <c r="S478" s="132" t="s">
        <v>590</v>
      </c>
      <c r="T478" s="126"/>
      <c r="U478" s="127"/>
    </row>
    <row r="479" spans="1:21" ht="9" customHeight="1">
      <c r="A479" s="406">
        <v>120</v>
      </c>
      <c r="B479" s="206" t="s">
        <v>742</v>
      </c>
      <c r="C479" s="350" t="s">
        <v>1155</v>
      </c>
      <c r="D479" s="207" t="s">
        <v>1154</v>
      </c>
      <c r="E479" s="208">
        <v>1984</v>
      </c>
      <c r="F479" s="209" t="s">
        <v>90</v>
      </c>
      <c r="G479" s="210">
        <v>3</v>
      </c>
      <c r="H479" s="210">
        <v>3</v>
      </c>
      <c r="I479" s="211">
        <v>1503.2</v>
      </c>
      <c r="J479" s="211">
        <v>1300</v>
      </c>
      <c r="K479" s="211">
        <v>61</v>
      </c>
      <c r="L479" s="205">
        <f>'Приложение 2 КСП 2018-2019 гг'!H480</f>
        <v>1222452</v>
      </c>
      <c r="M479" s="407">
        <v>0</v>
      </c>
      <c r="N479" s="407">
        <v>0</v>
      </c>
      <c r="O479" s="407">
        <v>0</v>
      </c>
      <c r="P479" s="407">
        <f t="shared" si="91"/>
        <v>1222452</v>
      </c>
      <c r="Q479" s="407">
        <v>0</v>
      </c>
      <c r="R479" s="267">
        <v>0</v>
      </c>
      <c r="S479" s="132" t="s">
        <v>590</v>
      </c>
      <c r="T479" s="126"/>
      <c r="U479" s="127"/>
    </row>
    <row r="480" spans="1:21" ht="9" customHeight="1">
      <c r="A480" s="406">
        <v>121</v>
      </c>
      <c r="B480" s="206" t="s">
        <v>743</v>
      </c>
      <c r="C480" s="350" t="s">
        <v>1155</v>
      </c>
      <c r="D480" s="207" t="s">
        <v>1154</v>
      </c>
      <c r="E480" s="208">
        <v>1981</v>
      </c>
      <c r="F480" s="209" t="s">
        <v>90</v>
      </c>
      <c r="G480" s="210">
        <v>3</v>
      </c>
      <c r="H480" s="210">
        <v>3</v>
      </c>
      <c r="I480" s="211">
        <v>1524.4</v>
      </c>
      <c r="J480" s="211">
        <v>1303</v>
      </c>
      <c r="K480" s="211">
        <v>61</v>
      </c>
      <c r="L480" s="205">
        <f>'Приложение 2 КСП 2018-2019 гг'!H481</f>
        <v>2564562</v>
      </c>
      <c r="M480" s="407">
        <v>0</v>
      </c>
      <c r="N480" s="407">
        <v>0</v>
      </c>
      <c r="O480" s="407">
        <v>0</v>
      </c>
      <c r="P480" s="407">
        <f t="shared" si="91"/>
        <v>2564562</v>
      </c>
      <c r="Q480" s="407">
        <v>0</v>
      </c>
      <c r="R480" s="267">
        <v>0</v>
      </c>
      <c r="S480" s="132" t="s">
        <v>590</v>
      </c>
      <c r="T480" s="126"/>
      <c r="U480" s="127"/>
    </row>
    <row r="481" spans="1:21" ht="9" customHeight="1">
      <c r="A481" s="406">
        <v>122</v>
      </c>
      <c r="B481" s="206" t="s">
        <v>744</v>
      </c>
      <c r="C481" s="350" t="s">
        <v>1155</v>
      </c>
      <c r="D481" s="207" t="s">
        <v>1154</v>
      </c>
      <c r="E481" s="208">
        <v>1987</v>
      </c>
      <c r="F481" s="209" t="s">
        <v>90</v>
      </c>
      <c r="G481" s="210">
        <v>5</v>
      </c>
      <c r="H481" s="210">
        <v>3</v>
      </c>
      <c r="I481" s="211">
        <v>2533.8000000000002</v>
      </c>
      <c r="J481" s="211">
        <v>2162.9</v>
      </c>
      <c r="K481" s="211">
        <v>33</v>
      </c>
      <c r="L481" s="205">
        <f>'Приложение 2 КСП 2018-2019 гг'!H482</f>
        <v>2050410</v>
      </c>
      <c r="M481" s="407">
        <v>0</v>
      </c>
      <c r="N481" s="407">
        <v>0</v>
      </c>
      <c r="O481" s="407">
        <v>0</v>
      </c>
      <c r="P481" s="407">
        <f t="shared" si="91"/>
        <v>2050410</v>
      </c>
      <c r="Q481" s="407">
        <v>0</v>
      </c>
      <c r="R481" s="267">
        <v>0</v>
      </c>
      <c r="S481" s="132" t="s">
        <v>590</v>
      </c>
      <c r="T481" s="126"/>
      <c r="U481" s="127"/>
    </row>
    <row r="482" spans="1:21" ht="9" customHeight="1">
      <c r="A482" s="406">
        <v>123</v>
      </c>
      <c r="B482" s="200" t="s">
        <v>1066</v>
      </c>
      <c r="C482" s="347" t="s">
        <v>1155</v>
      </c>
      <c r="D482" s="201" t="s">
        <v>1153</v>
      </c>
      <c r="E482" s="202">
        <v>1981</v>
      </c>
      <c r="F482" s="203" t="s">
        <v>90</v>
      </c>
      <c r="G482" s="204">
        <v>5</v>
      </c>
      <c r="H482" s="204">
        <v>8</v>
      </c>
      <c r="I482" s="205">
        <v>6693</v>
      </c>
      <c r="J482" s="205">
        <v>5815.6</v>
      </c>
      <c r="K482" s="205">
        <v>187</v>
      </c>
      <c r="L482" s="205">
        <f>'Приложение 2 КСП 2018-2019 гг'!H483</f>
        <v>5464426</v>
      </c>
      <c r="M482" s="407">
        <v>0</v>
      </c>
      <c r="N482" s="407">
        <v>0</v>
      </c>
      <c r="O482" s="407">
        <v>0</v>
      </c>
      <c r="P482" s="407">
        <f t="shared" si="91"/>
        <v>5464426</v>
      </c>
      <c r="Q482" s="407">
        <v>0</v>
      </c>
      <c r="R482" s="267">
        <v>0</v>
      </c>
      <c r="S482" s="132" t="s">
        <v>590</v>
      </c>
      <c r="T482" s="126"/>
      <c r="U482" s="127"/>
    </row>
    <row r="483" spans="1:21" ht="9" customHeight="1">
      <c r="A483" s="406">
        <v>124</v>
      </c>
      <c r="B483" s="200" t="s">
        <v>1067</v>
      </c>
      <c r="C483" s="347" t="s">
        <v>1155</v>
      </c>
      <c r="D483" s="201" t="s">
        <v>1153</v>
      </c>
      <c r="E483" s="202">
        <v>1973</v>
      </c>
      <c r="F483" s="203" t="s">
        <v>90</v>
      </c>
      <c r="G483" s="204">
        <v>5</v>
      </c>
      <c r="H483" s="204">
        <v>4</v>
      </c>
      <c r="I483" s="205">
        <v>3580.5</v>
      </c>
      <c r="J483" s="205">
        <v>3307.5</v>
      </c>
      <c r="K483" s="205">
        <v>138</v>
      </c>
      <c r="L483" s="205">
        <f>'Приложение 2 КСП 2018-2019 гг'!H484</f>
        <v>8883812.7100000009</v>
      </c>
      <c r="M483" s="407">
        <v>0</v>
      </c>
      <c r="N483" s="407">
        <v>0</v>
      </c>
      <c r="O483" s="407">
        <v>0</v>
      </c>
      <c r="P483" s="407">
        <f t="shared" si="91"/>
        <v>8883812.7100000009</v>
      </c>
      <c r="Q483" s="407">
        <v>0</v>
      </c>
      <c r="R483" s="267">
        <v>0</v>
      </c>
      <c r="S483" s="132" t="s">
        <v>590</v>
      </c>
      <c r="T483" s="126"/>
      <c r="U483" s="127"/>
    </row>
    <row r="484" spans="1:21" ht="9" customHeight="1">
      <c r="A484" s="406">
        <v>125</v>
      </c>
      <c r="B484" s="206" t="s">
        <v>1068</v>
      </c>
      <c r="C484" s="350" t="s">
        <v>1155</v>
      </c>
      <c r="D484" s="207" t="s">
        <v>1153</v>
      </c>
      <c r="E484" s="208">
        <v>1981</v>
      </c>
      <c r="F484" s="209" t="s">
        <v>88</v>
      </c>
      <c r="G484" s="210">
        <v>9</v>
      </c>
      <c r="H484" s="210">
        <v>3</v>
      </c>
      <c r="I484" s="211">
        <v>6705.9</v>
      </c>
      <c r="J484" s="211">
        <v>5511.9</v>
      </c>
      <c r="K484" s="211">
        <v>212</v>
      </c>
      <c r="L484" s="205">
        <f>'Приложение 2 КСП 2018-2019 гг'!H485</f>
        <v>5404414</v>
      </c>
      <c r="M484" s="407">
        <v>0</v>
      </c>
      <c r="N484" s="407">
        <v>0</v>
      </c>
      <c r="O484" s="407">
        <v>0</v>
      </c>
      <c r="P484" s="407">
        <f t="shared" si="91"/>
        <v>5404414</v>
      </c>
      <c r="Q484" s="407">
        <v>0</v>
      </c>
      <c r="R484" s="267">
        <v>0</v>
      </c>
      <c r="S484" s="132" t="s">
        <v>590</v>
      </c>
      <c r="T484" s="126"/>
      <c r="U484" s="127"/>
    </row>
    <row r="485" spans="1:21" ht="9" customHeight="1">
      <c r="A485" s="406">
        <v>126</v>
      </c>
      <c r="B485" s="206" t="s">
        <v>1087</v>
      </c>
      <c r="C485" s="350" t="s">
        <v>1155</v>
      </c>
      <c r="D485" s="207" t="s">
        <v>1154</v>
      </c>
      <c r="E485" s="212">
        <v>1982</v>
      </c>
      <c r="F485" s="203" t="s">
        <v>90</v>
      </c>
      <c r="G485" s="209">
        <v>9</v>
      </c>
      <c r="H485" s="209">
        <v>4</v>
      </c>
      <c r="I485" s="211">
        <v>9070.4</v>
      </c>
      <c r="J485" s="211">
        <v>8181.4000000000005</v>
      </c>
      <c r="K485" s="211">
        <v>324</v>
      </c>
      <c r="L485" s="205">
        <f>'Приложение 2 КСП 2018-2019 гг'!H486</f>
        <v>7854387.2000000002</v>
      </c>
      <c r="M485" s="407">
        <v>0</v>
      </c>
      <c r="N485" s="407">
        <v>0</v>
      </c>
      <c r="O485" s="407">
        <v>0</v>
      </c>
      <c r="P485" s="407">
        <f t="shared" si="91"/>
        <v>7854387.2000000002</v>
      </c>
      <c r="Q485" s="407">
        <v>0</v>
      </c>
      <c r="R485" s="267">
        <v>0</v>
      </c>
      <c r="S485" s="132" t="s">
        <v>590</v>
      </c>
      <c r="T485" s="126"/>
      <c r="U485" s="127"/>
    </row>
    <row r="486" spans="1:21" ht="9" customHeight="1">
      <c r="A486" s="406">
        <v>127</v>
      </c>
      <c r="B486" s="206" t="s">
        <v>1088</v>
      </c>
      <c r="C486" s="350" t="s">
        <v>1155</v>
      </c>
      <c r="D486" s="207" t="s">
        <v>1154</v>
      </c>
      <c r="E486" s="212">
        <v>1988</v>
      </c>
      <c r="F486" s="203" t="s">
        <v>90</v>
      </c>
      <c r="G486" s="209">
        <v>9</v>
      </c>
      <c r="H486" s="209">
        <v>5</v>
      </c>
      <c r="I486" s="211">
        <v>10916.89</v>
      </c>
      <c r="J486" s="211">
        <v>9736.89</v>
      </c>
      <c r="K486" s="211">
        <v>395</v>
      </c>
      <c r="L486" s="205">
        <f>'Приложение 2 КСП 2018-2019 гг'!H487</f>
        <v>9817984</v>
      </c>
      <c r="M486" s="407">
        <v>0</v>
      </c>
      <c r="N486" s="407">
        <v>0</v>
      </c>
      <c r="O486" s="407">
        <v>0</v>
      </c>
      <c r="P486" s="407">
        <f t="shared" si="91"/>
        <v>9817984</v>
      </c>
      <c r="Q486" s="407">
        <v>0</v>
      </c>
      <c r="R486" s="267">
        <v>0</v>
      </c>
      <c r="S486" s="132" t="s">
        <v>590</v>
      </c>
      <c r="T486" s="126"/>
      <c r="U486" s="127"/>
    </row>
    <row r="487" spans="1:21" ht="9" customHeight="1">
      <c r="A487" s="406">
        <v>128</v>
      </c>
      <c r="B487" s="206" t="s">
        <v>1110</v>
      </c>
      <c r="C487" s="350" t="s">
        <v>1155</v>
      </c>
      <c r="D487" s="207" t="s">
        <v>1154</v>
      </c>
      <c r="E487" s="444" t="s">
        <v>1114</v>
      </c>
      <c r="F487" s="203" t="s">
        <v>88</v>
      </c>
      <c r="G487" s="209">
        <v>5</v>
      </c>
      <c r="H487" s="209">
        <v>14</v>
      </c>
      <c r="I487" s="211">
        <v>10341.299999999999</v>
      </c>
      <c r="J487" s="211">
        <v>9167.8000000000011</v>
      </c>
      <c r="K487" s="211">
        <v>482</v>
      </c>
      <c r="L487" s="205">
        <f>'Приложение 2 КСП 2018-2019 гг'!H488</f>
        <v>10322064</v>
      </c>
      <c r="M487" s="407">
        <v>0</v>
      </c>
      <c r="N487" s="407">
        <v>0</v>
      </c>
      <c r="O487" s="407">
        <v>0</v>
      </c>
      <c r="P487" s="407">
        <f t="shared" si="91"/>
        <v>10322064</v>
      </c>
      <c r="Q487" s="407">
        <v>0</v>
      </c>
      <c r="R487" s="412">
        <v>0</v>
      </c>
      <c r="S487" s="207" t="s">
        <v>590</v>
      </c>
      <c r="T487" s="126"/>
      <c r="U487" s="127"/>
    </row>
    <row r="488" spans="1:21" ht="9" customHeight="1">
      <c r="A488" s="406">
        <v>129</v>
      </c>
      <c r="B488" s="206" t="s">
        <v>1111</v>
      </c>
      <c r="C488" s="350" t="s">
        <v>1155</v>
      </c>
      <c r="D488" s="207" t="s">
        <v>1154</v>
      </c>
      <c r="E488" s="212">
        <v>1988</v>
      </c>
      <c r="F488" s="203" t="s">
        <v>90</v>
      </c>
      <c r="G488" s="209">
        <v>5</v>
      </c>
      <c r="H488" s="209">
        <v>6</v>
      </c>
      <c r="I488" s="211">
        <v>4570.7</v>
      </c>
      <c r="J488" s="211">
        <v>4199.2</v>
      </c>
      <c r="K488" s="211">
        <v>220</v>
      </c>
      <c r="L488" s="205">
        <f>'Приложение 2 КСП 2018-2019 гг'!H489</f>
        <v>4037474</v>
      </c>
      <c r="M488" s="407">
        <v>0</v>
      </c>
      <c r="N488" s="407">
        <v>0</v>
      </c>
      <c r="O488" s="407">
        <v>0</v>
      </c>
      <c r="P488" s="407">
        <f t="shared" si="91"/>
        <v>4037474</v>
      </c>
      <c r="Q488" s="407">
        <v>0</v>
      </c>
      <c r="R488" s="412">
        <v>0</v>
      </c>
      <c r="S488" s="207" t="s">
        <v>590</v>
      </c>
      <c r="T488" s="126"/>
      <c r="U488" s="127"/>
    </row>
    <row r="489" spans="1:21" ht="9" customHeight="1">
      <c r="A489" s="406">
        <v>130</v>
      </c>
      <c r="B489" s="206" t="s">
        <v>1112</v>
      </c>
      <c r="C489" s="350" t="s">
        <v>1155</v>
      </c>
      <c r="D489" s="207" t="s">
        <v>1154</v>
      </c>
      <c r="E489" s="212">
        <v>1975</v>
      </c>
      <c r="F489" s="203" t="s">
        <v>90</v>
      </c>
      <c r="G489" s="419">
        <v>5</v>
      </c>
      <c r="H489" s="419">
        <v>3</v>
      </c>
      <c r="I489" s="211">
        <v>3914.7</v>
      </c>
      <c r="J489" s="211">
        <v>2812.7</v>
      </c>
      <c r="K489" s="211">
        <v>164</v>
      </c>
      <c r="L489" s="205">
        <f>'Приложение 2 КСП 2018-2019 гг'!H490</f>
        <v>2440488</v>
      </c>
      <c r="M489" s="407">
        <v>0</v>
      </c>
      <c r="N489" s="407">
        <v>0</v>
      </c>
      <c r="O489" s="407">
        <v>0</v>
      </c>
      <c r="P489" s="407">
        <f t="shared" ref="P489:P491" si="92">L489</f>
        <v>2440488</v>
      </c>
      <c r="Q489" s="407">
        <v>0</v>
      </c>
      <c r="R489" s="412">
        <v>0</v>
      </c>
      <c r="S489" s="207" t="s">
        <v>590</v>
      </c>
      <c r="T489" s="126"/>
      <c r="U489" s="127"/>
    </row>
    <row r="490" spans="1:21" ht="9" customHeight="1">
      <c r="A490" s="406">
        <v>131</v>
      </c>
      <c r="B490" s="206" t="s">
        <v>1113</v>
      </c>
      <c r="C490" s="350" t="s">
        <v>1155</v>
      </c>
      <c r="D490" s="207" t="s">
        <v>1154</v>
      </c>
      <c r="E490" s="212">
        <v>1962</v>
      </c>
      <c r="F490" s="203" t="s">
        <v>1115</v>
      </c>
      <c r="G490" s="209">
        <v>5</v>
      </c>
      <c r="H490" s="209">
        <v>4</v>
      </c>
      <c r="I490" s="211">
        <v>3438.5</v>
      </c>
      <c r="J490" s="211">
        <v>3204.7</v>
      </c>
      <c r="K490" s="211">
        <v>135</v>
      </c>
      <c r="L490" s="205">
        <f>'Приложение 2 КСП 2018-2019 гг'!H491</f>
        <v>3654420</v>
      </c>
      <c r="M490" s="407">
        <v>0</v>
      </c>
      <c r="N490" s="407">
        <v>0</v>
      </c>
      <c r="O490" s="407">
        <v>0</v>
      </c>
      <c r="P490" s="407">
        <f t="shared" si="92"/>
        <v>3654420</v>
      </c>
      <c r="Q490" s="407">
        <v>0</v>
      </c>
      <c r="R490" s="412">
        <v>0</v>
      </c>
      <c r="S490" s="207" t="s">
        <v>590</v>
      </c>
      <c r="T490" s="126"/>
      <c r="U490" s="127"/>
    </row>
    <row r="491" spans="1:21" ht="9" customHeight="1">
      <c r="A491" s="406">
        <v>132</v>
      </c>
      <c r="B491" s="206" t="s">
        <v>1162</v>
      </c>
      <c r="C491" s="350" t="s">
        <v>1156</v>
      </c>
      <c r="D491" s="207" t="s">
        <v>1154</v>
      </c>
      <c r="E491" s="212">
        <v>1955</v>
      </c>
      <c r="F491" s="203" t="s">
        <v>1115</v>
      </c>
      <c r="G491" s="209">
        <v>4</v>
      </c>
      <c r="H491" s="209">
        <v>4</v>
      </c>
      <c r="I491" s="211">
        <v>4974.1000000000004</v>
      </c>
      <c r="J491" s="211">
        <v>4613.3</v>
      </c>
      <c r="K491" s="211">
        <v>101</v>
      </c>
      <c r="L491" s="205">
        <f>'Приложение 2 КСП 2018-2019 гг'!H492</f>
        <v>5271419.9999999991</v>
      </c>
      <c r="M491" s="407">
        <v>0</v>
      </c>
      <c r="N491" s="407">
        <v>0</v>
      </c>
      <c r="O491" s="407">
        <v>0</v>
      </c>
      <c r="P491" s="407">
        <f t="shared" si="92"/>
        <v>5271419.9999999991</v>
      </c>
      <c r="Q491" s="407">
        <v>0</v>
      </c>
      <c r="R491" s="412">
        <v>0</v>
      </c>
      <c r="S491" s="207" t="s">
        <v>590</v>
      </c>
      <c r="T491" s="126"/>
      <c r="U491" s="127"/>
    </row>
    <row r="492" spans="1:21" ht="23.25" customHeight="1">
      <c r="A492" s="946" t="s">
        <v>109</v>
      </c>
      <c r="B492" s="946"/>
      <c r="C492" s="132"/>
      <c r="D492" s="265"/>
      <c r="E492" s="268" t="s">
        <v>391</v>
      </c>
      <c r="F492" s="268" t="s">
        <v>391</v>
      </c>
      <c r="G492" s="268" t="s">
        <v>391</v>
      </c>
      <c r="H492" s="268" t="s">
        <v>391</v>
      </c>
      <c r="I492" s="407">
        <f>SUM(I360:I491)</f>
        <v>596091.2699999999</v>
      </c>
      <c r="J492" s="407">
        <f t="shared" ref="J492:R492" si="93">SUM(J360:J491)</f>
        <v>510810.73</v>
      </c>
      <c r="K492" s="407">
        <f t="shared" si="93"/>
        <v>22516</v>
      </c>
      <c r="L492" s="407">
        <f t="shared" si="93"/>
        <v>521876480.58999997</v>
      </c>
      <c r="M492" s="407">
        <f t="shared" si="93"/>
        <v>0</v>
      </c>
      <c r="N492" s="407">
        <f t="shared" si="93"/>
        <v>0</v>
      </c>
      <c r="O492" s="407">
        <f t="shared" si="93"/>
        <v>0</v>
      </c>
      <c r="P492" s="407">
        <f t="shared" si="93"/>
        <v>521876480.58999997</v>
      </c>
      <c r="Q492" s="407">
        <f t="shared" si="93"/>
        <v>0</v>
      </c>
      <c r="R492" s="407">
        <f t="shared" si="93"/>
        <v>0</v>
      </c>
      <c r="S492" s="267"/>
      <c r="T492" s="295"/>
      <c r="U492" s="127"/>
    </row>
    <row r="493" spans="1:21" ht="9" customHeight="1">
      <c r="A493" s="821" t="s">
        <v>221</v>
      </c>
      <c r="B493" s="821"/>
      <c r="C493" s="821"/>
      <c r="D493" s="821"/>
      <c r="E493" s="821"/>
      <c r="F493" s="821"/>
      <c r="G493" s="821"/>
      <c r="H493" s="821"/>
      <c r="I493" s="821"/>
      <c r="J493" s="821"/>
      <c r="K493" s="821"/>
      <c r="L493" s="821"/>
      <c r="M493" s="821"/>
      <c r="N493" s="821"/>
      <c r="O493" s="821"/>
      <c r="P493" s="821"/>
      <c r="Q493" s="821"/>
      <c r="R493" s="821"/>
      <c r="S493" s="821"/>
      <c r="T493" s="297"/>
      <c r="U493" s="297"/>
    </row>
    <row r="494" spans="1:21" ht="9" customHeight="1">
      <c r="A494" s="268">
        <v>133</v>
      </c>
      <c r="B494" s="341" t="s">
        <v>755</v>
      </c>
      <c r="C494" s="350" t="s">
        <v>1155</v>
      </c>
      <c r="D494" s="207" t="s">
        <v>1154</v>
      </c>
      <c r="E494" s="342">
        <v>1965</v>
      </c>
      <c r="F494" s="343" t="s">
        <v>88</v>
      </c>
      <c r="G494" s="344">
        <v>3</v>
      </c>
      <c r="H494" s="344">
        <v>2</v>
      </c>
      <c r="I494" s="345">
        <v>1051.7</v>
      </c>
      <c r="J494" s="345">
        <v>977.9</v>
      </c>
      <c r="K494" s="343">
        <v>39</v>
      </c>
      <c r="L494" s="205">
        <f>'Приложение 2 КСП 2018-2019 гг'!H495</f>
        <v>1911940.8</v>
      </c>
      <c r="M494" s="407">
        <v>0</v>
      </c>
      <c r="N494" s="407">
        <v>0</v>
      </c>
      <c r="O494" s="407">
        <v>0</v>
      </c>
      <c r="P494" s="407">
        <f t="shared" ref="P494" si="94">L494</f>
        <v>1911940.8</v>
      </c>
      <c r="Q494" s="407">
        <v>0</v>
      </c>
      <c r="R494" s="412">
        <v>0</v>
      </c>
      <c r="S494" s="132" t="s">
        <v>590</v>
      </c>
      <c r="T494" s="126"/>
      <c r="U494" s="127"/>
    </row>
    <row r="495" spans="1:21" ht="9" customHeight="1">
      <c r="A495" s="268">
        <v>134</v>
      </c>
      <c r="B495" s="341" t="s">
        <v>756</v>
      </c>
      <c r="C495" s="347" t="s">
        <v>1155</v>
      </c>
      <c r="D495" s="207" t="s">
        <v>1154</v>
      </c>
      <c r="E495" s="342" t="s">
        <v>746</v>
      </c>
      <c r="F495" s="343" t="s">
        <v>88</v>
      </c>
      <c r="G495" s="344">
        <v>5</v>
      </c>
      <c r="H495" s="344">
        <v>4</v>
      </c>
      <c r="I495" s="345">
        <v>3101.9</v>
      </c>
      <c r="J495" s="345">
        <v>2743.8</v>
      </c>
      <c r="K495" s="344">
        <v>151</v>
      </c>
      <c r="L495" s="205">
        <f>'Приложение 2 КСП 2018-2019 гг'!H496</f>
        <v>3638727.6</v>
      </c>
      <c r="M495" s="407">
        <v>0</v>
      </c>
      <c r="N495" s="407">
        <v>0</v>
      </c>
      <c r="O495" s="407">
        <v>0</v>
      </c>
      <c r="P495" s="407">
        <f t="shared" ref="P495:P500" si="95">L495</f>
        <v>3638727.6</v>
      </c>
      <c r="Q495" s="407">
        <v>0</v>
      </c>
      <c r="R495" s="412">
        <v>0</v>
      </c>
      <c r="S495" s="132" t="s">
        <v>590</v>
      </c>
      <c r="T495" s="126"/>
      <c r="U495" s="127"/>
    </row>
    <row r="496" spans="1:21" ht="9" customHeight="1">
      <c r="A496" s="406">
        <v>135</v>
      </c>
      <c r="B496" s="341" t="s">
        <v>757</v>
      </c>
      <c r="C496" s="347" t="s">
        <v>1155</v>
      </c>
      <c r="D496" s="207" t="s">
        <v>1154</v>
      </c>
      <c r="E496" s="342" t="s">
        <v>608</v>
      </c>
      <c r="F496" s="343" t="s">
        <v>88</v>
      </c>
      <c r="G496" s="344">
        <v>5</v>
      </c>
      <c r="H496" s="344">
        <v>9</v>
      </c>
      <c r="I496" s="345">
        <v>6617.5</v>
      </c>
      <c r="J496" s="345">
        <v>5959.5</v>
      </c>
      <c r="K496" s="344">
        <v>271</v>
      </c>
      <c r="L496" s="205">
        <f>'Приложение 2 КСП 2018-2019 гг'!H497</f>
        <v>6041208</v>
      </c>
      <c r="M496" s="407">
        <v>0</v>
      </c>
      <c r="N496" s="407">
        <v>0</v>
      </c>
      <c r="O496" s="407">
        <v>0</v>
      </c>
      <c r="P496" s="407">
        <f t="shared" si="95"/>
        <v>6041208</v>
      </c>
      <c r="Q496" s="407">
        <v>0</v>
      </c>
      <c r="R496" s="412">
        <v>0</v>
      </c>
      <c r="S496" s="132" t="s">
        <v>590</v>
      </c>
      <c r="T496" s="126"/>
      <c r="U496" s="127"/>
    </row>
    <row r="497" spans="1:21" ht="9" customHeight="1">
      <c r="A497" s="406">
        <v>136</v>
      </c>
      <c r="B497" s="341" t="s">
        <v>758</v>
      </c>
      <c r="C497" s="350" t="s">
        <v>1155</v>
      </c>
      <c r="D497" s="207" t="s">
        <v>1154</v>
      </c>
      <c r="E497" s="342" t="s">
        <v>299</v>
      </c>
      <c r="F497" s="343" t="s">
        <v>88</v>
      </c>
      <c r="G497" s="344">
        <v>5</v>
      </c>
      <c r="H497" s="344">
        <v>8</v>
      </c>
      <c r="I497" s="345">
        <v>5815.1</v>
      </c>
      <c r="J497" s="345">
        <v>5145.8</v>
      </c>
      <c r="K497" s="344">
        <v>226</v>
      </c>
      <c r="L497" s="205">
        <f>'Приложение 2 КСП 2018-2019 гг'!H498</f>
        <v>4940988</v>
      </c>
      <c r="M497" s="407">
        <v>0</v>
      </c>
      <c r="N497" s="407">
        <v>0</v>
      </c>
      <c r="O497" s="407">
        <v>0</v>
      </c>
      <c r="P497" s="407">
        <f t="shared" si="95"/>
        <v>4940988</v>
      </c>
      <c r="Q497" s="407">
        <v>0</v>
      </c>
      <c r="R497" s="412">
        <v>0</v>
      </c>
      <c r="S497" s="132" t="s">
        <v>590</v>
      </c>
      <c r="T497" s="126"/>
      <c r="U497" s="127"/>
    </row>
    <row r="498" spans="1:21" ht="9" customHeight="1">
      <c r="A498" s="406">
        <v>137</v>
      </c>
      <c r="B498" s="341" t="s">
        <v>759</v>
      </c>
      <c r="C498" s="350" t="s">
        <v>1155</v>
      </c>
      <c r="D498" s="207" t="s">
        <v>1154</v>
      </c>
      <c r="E498" s="342" t="s">
        <v>107</v>
      </c>
      <c r="F498" s="343" t="s">
        <v>88</v>
      </c>
      <c r="G498" s="344">
        <v>3</v>
      </c>
      <c r="H498" s="344">
        <v>3</v>
      </c>
      <c r="I498" s="345">
        <v>1675.8</v>
      </c>
      <c r="J498" s="345">
        <v>1529.4</v>
      </c>
      <c r="K498" s="344">
        <v>81</v>
      </c>
      <c r="L498" s="205">
        <f>'Приложение 2 КСП 2018-2019 гг'!H499</f>
        <v>3069066</v>
      </c>
      <c r="M498" s="407">
        <v>0</v>
      </c>
      <c r="N498" s="407">
        <v>0</v>
      </c>
      <c r="O498" s="407">
        <v>0</v>
      </c>
      <c r="P498" s="407">
        <f t="shared" si="95"/>
        <v>3069066</v>
      </c>
      <c r="Q498" s="407">
        <v>0</v>
      </c>
      <c r="R498" s="412">
        <v>0</v>
      </c>
      <c r="S498" s="132" t="s">
        <v>590</v>
      </c>
      <c r="T498" s="126"/>
      <c r="U498" s="127"/>
    </row>
    <row r="499" spans="1:21" ht="9" customHeight="1">
      <c r="A499" s="406">
        <v>138</v>
      </c>
      <c r="B499" s="341" t="s">
        <v>760</v>
      </c>
      <c r="C499" s="350" t="s">
        <v>1155</v>
      </c>
      <c r="D499" s="207" t="s">
        <v>1154</v>
      </c>
      <c r="E499" s="342" t="s">
        <v>748</v>
      </c>
      <c r="F499" s="343" t="s">
        <v>88</v>
      </c>
      <c r="G499" s="344">
        <v>3</v>
      </c>
      <c r="H499" s="344">
        <v>3</v>
      </c>
      <c r="I499" s="345">
        <v>1646</v>
      </c>
      <c r="J499" s="345">
        <v>1518.2</v>
      </c>
      <c r="K499" s="344">
        <v>67</v>
      </c>
      <c r="L499" s="205">
        <f>'Приложение 2 КСП 2018-2019 гг'!H500</f>
        <v>3069066</v>
      </c>
      <c r="M499" s="407">
        <v>0</v>
      </c>
      <c r="N499" s="407">
        <v>0</v>
      </c>
      <c r="O499" s="407">
        <v>0</v>
      </c>
      <c r="P499" s="407">
        <f t="shared" si="95"/>
        <v>3069066</v>
      </c>
      <c r="Q499" s="407">
        <v>0</v>
      </c>
      <c r="R499" s="412">
        <v>0</v>
      </c>
      <c r="S499" s="132" t="s">
        <v>590</v>
      </c>
      <c r="T499" s="126"/>
      <c r="U499" s="127"/>
    </row>
    <row r="500" spans="1:21" ht="9" customHeight="1">
      <c r="A500" s="406">
        <v>139</v>
      </c>
      <c r="B500" s="341" t="s">
        <v>761</v>
      </c>
      <c r="C500" s="356" t="s">
        <v>1155</v>
      </c>
      <c r="D500" s="207" t="s">
        <v>1154</v>
      </c>
      <c r="E500" s="342" t="s">
        <v>745</v>
      </c>
      <c r="F500" s="343" t="s">
        <v>88</v>
      </c>
      <c r="G500" s="344">
        <v>4</v>
      </c>
      <c r="H500" s="344">
        <v>1</v>
      </c>
      <c r="I500" s="345">
        <v>2764.4</v>
      </c>
      <c r="J500" s="345">
        <v>1790.8</v>
      </c>
      <c r="K500" s="344">
        <v>159</v>
      </c>
      <c r="L500" s="205">
        <f>'Приложение 2 КСП 2018-2019 гг'!H501</f>
        <v>3654420</v>
      </c>
      <c r="M500" s="407">
        <v>0</v>
      </c>
      <c r="N500" s="407">
        <v>0</v>
      </c>
      <c r="O500" s="407">
        <v>0</v>
      </c>
      <c r="P500" s="407">
        <f t="shared" si="95"/>
        <v>3654420</v>
      </c>
      <c r="Q500" s="407">
        <v>0</v>
      </c>
      <c r="R500" s="412">
        <v>0</v>
      </c>
      <c r="S500" s="132" t="s">
        <v>590</v>
      </c>
      <c r="T500" s="126"/>
      <c r="U500" s="127"/>
    </row>
    <row r="501" spans="1:21" ht="24.75" customHeight="1">
      <c r="A501" s="946" t="s">
        <v>222</v>
      </c>
      <c r="B501" s="946"/>
      <c r="C501" s="132"/>
      <c r="D501" s="265"/>
      <c r="E501" s="141" t="s">
        <v>391</v>
      </c>
      <c r="F501" s="141" t="s">
        <v>391</v>
      </c>
      <c r="G501" s="141" t="s">
        <v>391</v>
      </c>
      <c r="H501" s="141" t="s">
        <v>391</v>
      </c>
      <c r="I501" s="362">
        <f>SUM(I494:I500)</f>
        <v>22672.400000000001</v>
      </c>
      <c r="J501" s="362">
        <f t="shared" ref="J501:R501" si="96">SUM(J494:J500)</f>
        <v>19665.399999999998</v>
      </c>
      <c r="K501" s="362">
        <f t="shared" si="96"/>
        <v>994</v>
      </c>
      <c r="L501" s="362">
        <f t="shared" si="96"/>
        <v>26325416.399999999</v>
      </c>
      <c r="M501" s="362">
        <f t="shared" si="96"/>
        <v>0</v>
      </c>
      <c r="N501" s="362">
        <f t="shared" si="96"/>
        <v>0</v>
      </c>
      <c r="O501" s="362">
        <f t="shared" si="96"/>
        <v>0</v>
      </c>
      <c r="P501" s="362">
        <f t="shared" si="96"/>
        <v>26325416.399999999</v>
      </c>
      <c r="Q501" s="362">
        <f t="shared" si="96"/>
        <v>0</v>
      </c>
      <c r="R501" s="362">
        <f t="shared" si="96"/>
        <v>0</v>
      </c>
      <c r="S501" s="267"/>
      <c r="T501" s="126"/>
      <c r="U501" s="127"/>
    </row>
    <row r="502" spans="1:21" ht="9" customHeight="1">
      <c r="A502" s="821" t="s">
        <v>232</v>
      </c>
      <c r="B502" s="821"/>
      <c r="C502" s="821"/>
      <c r="D502" s="821"/>
      <c r="E502" s="821"/>
      <c r="F502" s="821"/>
      <c r="G502" s="821"/>
      <c r="H502" s="821"/>
      <c r="I502" s="821"/>
      <c r="J502" s="821"/>
      <c r="K502" s="821"/>
      <c r="L502" s="821"/>
      <c r="M502" s="821"/>
      <c r="N502" s="821"/>
      <c r="O502" s="821"/>
      <c r="P502" s="821"/>
      <c r="Q502" s="821"/>
      <c r="R502" s="821"/>
      <c r="S502" s="821"/>
      <c r="T502" s="297"/>
      <c r="U502" s="297"/>
    </row>
    <row r="503" spans="1:21" ht="9" customHeight="1">
      <c r="A503" s="268">
        <v>140</v>
      </c>
      <c r="B503" s="329" t="s">
        <v>777</v>
      </c>
      <c r="C503" s="350" t="s">
        <v>1155</v>
      </c>
      <c r="D503" s="207" t="s">
        <v>1154</v>
      </c>
      <c r="E503" s="330" t="s">
        <v>618</v>
      </c>
      <c r="F503" s="331" t="s">
        <v>90</v>
      </c>
      <c r="G503" s="332">
        <v>5</v>
      </c>
      <c r="H503" s="332">
        <v>6</v>
      </c>
      <c r="I503" s="333">
        <v>4499.6000000000004</v>
      </c>
      <c r="J503" s="333">
        <v>4065.4</v>
      </c>
      <c r="K503" s="332">
        <v>40</v>
      </c>
      <c r="L503" s="205">
        <f>'Приложение 2 КСП 2018-2019 гг'!H504</f>
        <v>3990798</v>
      </c>
      <c r="M503" s="407">
        <v>0</v>
      </c>
      <c r="N503" s="407">
        <v>0</v>
      </c>
      <c r="O503" s="407">
        <v>0</v>
      </c>
      <c r="P503" s="407">
        <f t="shared" ref="P503" si="97">L503</f>
        <v>3990798</v>
      </c>
      <c r="Q503" s="407">
        <v>0</v>
      </c>
      <c r="R503" s="267">
        <v>0</v>
      </c>
      <c r="S503" s="132" t="s">
        <v>590</v>
      </c>
      <c r="T503" s="126"/>
      <c r="U503" s="127"/>
    </row>
    <row r="504" spans="1:21" ht="9" customHeight="1">
      <c r="A504" s="268">
        <v>141</v>
      </c>
      <c r="B504" s="329" t="s">
        <v>778</v>
      </c>
      <c r="C504" s="347" t="s">
        <v>1155</v>
      </c>
      <c r="D504" s="207" t="s">
        <v>1154</v>
      </c>
      <c r="E504" s="330" t="s">
        <v>593</v>
      </c>
      <c r="F504" s="331" t="s">
        <v>88</v>
      </c>
      <c r="G504" s="332">
        <v>3</v>
      </c>
      <c r="H504" s="332">
        <v>3</v>
      </c>
      <c r="I504" s="333">
        <v>1692.6</v>
      </c>
      <c r="J504" s="333">
        <v>1546</v>
      </c>
      <c r="K504" s="332">
        <v>51</v>
      </c>
      <c r="L504" s="205">
        <f>'Приложение 2 КСП 2018-2019 гг'!H505</f>
        <v>2683870</v>
      </c>
      <c r="M504" s="407">
        <v>0</v>
      </c>
      <c r="N504" s="407">
        <v>0</v>
      </c>
      <c r="O504" s="407">
        <v>0</v>
      </c>
      <c r="P504" s="407">
        <f t="shared" ref="P504:P514" si="98">L504</f>
        <v>2683870</v>
      </c>
      <c r="Q504" s="407">
        <v>0</v>
      </c>
      <c r="R504" s="267">
        <v>0</v>
      </c>
      <c r="S504" s="132" t="s">
        <v>590</v>
      </c>
      <c r="T504" s="126"/>
      <c r="U504" s="127"/>
    </row>
    <row r="505" spans="1:21" ht="9" customHeight="1">
      <c r="A505" s="406">
        <v>142</v>
      </c>
      <c r="B505" s="329" t="s">
        <v>779</v>
      </c>
      <c r="C505" s="347" t="s">
        <v>1155</v>
      </c>
      <c r="D505" s="207" t="s">
        <v>1154</v>
      </c>
      <c r="E505" s="330" t="s">
        <v>605</v>
      </c>
      <c r="F505" s="331" t="s">
        <v>88</v>
      </c>
      <c r="G505" s="332">
        <v>5</v>
      </c>
      <c r="H505" s="332">
        <v>10</v>
      </c>
      <c r="I505" s="333">
        <v>7131.7</v>
      </c>
      <c r="J505" s="333">
        <v>6406.5</v>
      </c>
      <c r="K505" s="332">
        <v>31</v>
      </c>
      <c r="L505" s="205">
        <f>'Приложение 2 КСП 2018-2019 гг'!H506</f>
        <v>6688004</v>
      </c>
      <c r="M505" s="407">
        <v>0</v>
      </c>
      <c r="N505" s="407">
        <v>0</v>
      </c>
      <c r="O505" s="407">
        <v>0</v>
      </c>
      <c r="P505" s="407">
        <f t="shared" si="98"/>
        <v>6688004</v>
      </c>
      <c r="Q505" s="407">
        <v>0</v>
      </c>
      <c r="R505" s="267">
        <v>0</v>
      </c>
      <c r="S505" s="132" t="s">
        <v>590</v>
      </c>
      <c r="T505" s="126"/>
      <c r="U505" s="127"/>
    </row>
    <row r="506" spans="1:21" ht="9" customHeight="1">
      <c r="A506" s="406">
        <v>143</v>
      </c>
      <c r="B506" s="329" t="s">
        <v>780</v>
      </c>
      <c r="C506" s="350" t="s">
        <v>1155</v>
      </c>
      <c r="D506" s="207" t="s">
        <v>1154</v>
      </c>
      <c r="E506" s="330" t="s">
        <v>618</v>
      </c>
      <c r="F506" s="331" t="s">
        <v>90</v>
      </c>
      <c r="G506" s="332">
        <v>5</v>
      </c>
      <c r="H506" s="332">
        <v>6</v>
      </c>
      <c r="I506" s="333">
        <v>4069.5</v>
      </c>
      <c r="J506" s="333">
        <v>4277</v>
      </c>
      <c r="K506" s="332">
        <v>216</v>
      </c>
      <c r="L506" s="205">
        <f>'Приложение 2 КСП 2018-2019 гг'!H507</f>
        <v>4044142</v>
      </c>
      <c r="M506" s="407">
        <v>0</v>
      </c>
      <c r="N506" s="407">
        <v>0</v>
      </c>
      <c r="O506" s="407">
        <v>0</v>
      </c>
      <c r="P506" s="407">
        <f t="shared" si="98"/>
        <v>4044142</v>
      </c>
      <c r="Q506" s="407">
        <v>0</v>
      </c>
      <c r="R506" s="267">
        <v>0</v>
      </c>
      <c r="S506" s="132" t="s">
        <v>590</v>
      </c>
      <c r="T506" s="126"/>
      <c r="U506" s="127"/>
    </row>
    <row r="507" spans="1:21" ht="9" customHeight="1">
      <c r="A507" s="406">
        <v>144</v>
      </c>
      <c r="B507" s="329" t="s">
        <v>781</v>
      </c>
      <c r="C507" s="350" t="s">
        <v>1155</v>
      </c>
      <c r="D507" s="207" t="s">
        <v>1154</v>
      </c>
      <c r="E507" s="330" t="s">
        <v>614</v>
      </c>
      <c r="F507" s="331" t="s">
        <v>88</v>
      </c>
      <c r="G507" s="332">
        <v>5</v>
      </c>
      <c r="H507" s="332">
        <v>4</v>
      </c>
      <c r="I507" s="333">
        <v>2914.4</v>
      </c>
      <c r="J507" s="333">
        <v>2490.1</v>
      </c>
      <c r="K507" s="332">
        <v>108</v>
      </c>
      <c r="L507" s="205">
        <f>'Приложение 2 КСП 2018-2019 гг'!H508</f>
        <v>2737214</v>
      </c>
      <c r="M507" s="407">
        <v>0</v>
      </c>
      <c r="N507" s="407">
        <v>0</v>
      </c>
      <c r="O507" s="407">
        <v>0</v>
      </c>
      <c r="P507" s="407">
        <f t="shared" si="98"/>
        <v>2737214</v>
      </c>
      <c r="Q507" s="407">
        <v>0</v>
      </c>
      <c r="R507" s="267">
        <v>0</v>
      </c>
      <c r="S507" s="132" t="s">
        <v>590</v>
      </c>
      <c r="T507" s="126"/>
      <c r="U507" s="127"/>
    </row>
    <row r="508" spans="1:21" ht="9" customHeight="1">
      <c r="A508" s="406">
        <v>145</v>
      </c>
      <c r="B508" s="329" t="s">
        <v>782</v>
      </c>
      <c r="C508" s="350" t="s">
        <v>1155</v>
      </c>
      <c r="D508" s="207" t="s">
        <v>1154</v>
      </c>
      <c r="E508" s="330" t="s">
        <v>605</v>
      </c>
      <c r="F508" s="331" t="s">
        <v>90</v>
      </c>
      <c r="G508" s="332">
        <v>5</v>
      </c>
      <c r="H508" s="332">
        <v>7</v>
      </c>
      <c r="I508" s="333">
        <v>6039.6</v>
      </c>
      <c r="J508" s="333">
        <v>5272</v>
      </c>
      <c r="K508" s="332">
        <v>40</v>
      </c>
      <c r="L508" s="205">
        <f>'Приложение 2 КСП 2018-2019 гг'!H509</f>
        <v>5241048</v>
      </c>
      <c r="M508" s="407">
        <v>0</v>
      </c>
      <c r="N508" s="407">
        <v>0</v>
      </c>
      <c r="O508" s="407">
        <v>0</v>
      </c>
      <c r="P508" s="407">
        <f t="shared" si="98"/>
        <v>5241048</v>
      </c>
      <c r="Q508" s="407">
        <v>0</v>
      </c>
      <c r="R508" s="267">
        <v>0</v>
      </c>
      <c r="S508" s="132" t="s">
        <v>590</v>
      </c>
      <c r="T508" s="126"/>
      <c r="U508" s="127"/>
    </row>
    <row r="509" spans="1:21" ht="9" customHeight="1">
      <c r="A509" s="406">
        <v>146</v>
      </c>
      <c r="B509" s="329" t="s">
        <v>783</v>
      </c>
      <c r="C509" s="356" t="s">
        <v>1155</v>
      </c>
      <c r="D509" s="207" t="s">
        <v>1154</v>
      </c>
      <c r="E509" s="330" t="s">
        <v>600</v>
      </c>
      <c r="F509" s="331" t="s">
        <v>88</v>
      </c>
      <c r="G509" s="332">
        <v>2</v>
      </c>
      <c r="H509" s="332">
        <v>3</v>
      </c>
      <c r="I509" s="333">
        <v>945.1</v>
      </c>
      <c r="J509" s="333">
        <v>858.2</v>
      </c>
      <c r="K509" s="332">
        <v>118</v>
      </c>
      <c r="L509" s="205">
        <f>'Приложение 2 КСП 2018-2019 гг'!H510</f>
        <v>2213776</v>
      </c>
      <c r="M509" s="407">
        <v>0</v>
      </c>
      <c r="N509" s="407">
        <v>0</v>
      </c>
      <c r="O509" s="407">
        <v>0</v>
      </c>
      <c r="P509" s="407">
        <f t="shared" si="98"/>
        <v>2213776</v>
      </c>
      <c r="Q509" s="407">
        <v>0</v>
      </c>
      <c r="R509" s="267">
        <v>0</v>
      </c>
      <c r="S509" s="132" t="s">
        <v>590</v>
      </c>
      <c r="T509" s="126"/>
      <c r="U509" s="127"/>
    </row>
    <row r="510" spans="1:21" ht="9" customHeight="1">
      <c r="A510" s="406">
        <v>147</v>
      </c>
      <c r="B510" s="329" t="s">
        <v>784</v>
      </c>
      <c r="C510" s="350" t="s">
        <v>1155</v>
      </c>
      <c r="D510" s="207" t="s">
        <v>1154</v>
      </c>
      <c r="E510" s="330" t="s">
        <v>594</v>
      </c>
      <c r="F510" s="331" t="s">
        <v>88</v>
      </c>
      <c r="G510" s="332">
        <v>3</v>
      </c>
      <c r="H510" s="332">
        <v>3</v>
      </c>
      <c r="I510" s="333">
        <v>1982.1</v>
      </c>
      <c r="J510" s="333">
        <v>1831.8</v>
      </c>
      <c r="K510" s="332">
        <v>22</v>
      </c>
      <c r="L510" s="205">
        <f>'Приложение 2 КСП 2018-2019 гг'!H511</f>
        <v>2193772</v>
      </c>
      <c r="M510" s="407">
        <v>0</v>
      </c>
      <c r="N510" s="407">
        <v>0</v>
      </c>
      <c r="O510" s="407">
        <v>0</v>
      </c>
      <c r="P510" s="407">
        <f t="shared" si="98"/>
        <v>2193772</v>
      </c>
      <c r="Q510" s="407">
        <v>0</v>
      </c>
      <c r="R510" s="267">
        <v>0</v>
      </c>
      <c r="S510" s="132" t="s">
        <v>590</v>
      </c>
      <c r="T510" s="126"/>
      <c r="U510" s="127"/>
    </row>
    <row r="511" spans="1:21" ht="9" customHeight="1">
      <c r="A511" s="406">
        <v>148</v>
      </c>
      <c r="B511" s="329" t="s">
        <v>785</v>
      </c>
      <c r="C511" s="347" t="s">
        <v>1155</v>
      </c>
      <c r="D511" s="207" t="s">
        <v>1154</v>
      </c>
      <c r="E511" s="330" t="s">
        <v>600</v>
      </c>
      <c r="F511" s="331" t="s">
        <v>90</v>
      </c>
      <c r="G511" s="332">
        <v>5</v>
      </c>
      <c r="H511" s="332">
        <v>8</v>
      </c>
      <c r="I511" s="333">
        <v>6505.2</v>
      </c>
      <c r="J511" s="333">
        <v>5704.3</v>
      </c>
      <c r="K511" s="332">
        <v>68</v>
      </c>
      <c r="L511" s="205">
        <f>'Приложение 2 КСП 2018-2019 гг'!H512</f>
        <v>5874508</v>
      </c>
      <c r="M511" s="407">
        <v>0</v>
      </c>
      <c r="N511" s="407">
        <v>0</v>
      </c>
      <c r="O511" s="407">
        <v>0</v>
      </c>
      <c r="P511" s="407">
        <f t="shared" si="98"/>
        <v>5874508</v>
      </c>
      <c r="Q511" s="407">
        <v>0</v>
      </c>
      <c r="R511" s="267">
        <v>0</v>
      </c>
      <c r="S511" s="132" t="s">
        <v>590</v>
      </c>
      <c r="T511" s="126"/>
      <c r="U511" s="127"/>
    </row>
    <row r="512" spans="1:21" ht="9" customHeight="1">
      <c r="A512" s="406">
        <v>149</v>
      </c>
      <c r="B512" s="329" t="s">
        <v>786</v>
      </c>
      <c r="C512" s="347" t="s">
        <v>1155</v>
      </c>
      <c r="D512" s="207" t="s">
        <v>1154</v>
      </c>
      <c r="E512" s="330" t="s">
        <v>593</v>
      </c>
      <c r="F512" s="331" t="s">
        <v>90</v>
      </c>
      <c r="G512" s="332">
        <v>5</v>
      </c>
      <c r="H512" s="332">
        <v>8</v>
      </c>
      <c r="I512" s="333">
        <v>6503.8</v>
      </c>
      <c r="J512" s="333">
        <v>5532.6</v>
      </c>
      <c r="K512" s="332">
        <v>45</v>
      </c>
      <c r="L512" s="205">
        <f>'Приложение 2 КСП 2018-2019 гг'!H513</f>
        <v>6084550</v>
      </c>
      <c r="M512" s="407">
        <v>0</v>
      </c>
      <c r="N512" s="407">
        <v>0</v>
      </c>
      <c r="O512" s="407">
        <v>0</v>
      </c>
      <c r="P512" s="407">
        <f t="shared" si="98"/>
        <v>6084550</v>
      </c>
      <c r="Q512" s="407">
        <v>0</v>
      </c>
      <c r="R512" s="267">
        <v>0</v>
      </c>
      <c r="S512" s="132" t="s">
        <v>590</v>
      </c>
      <c r="T512" s="126"/>
      <c r="U512" s="127"/>
    </row>
    <row r="513" spans="1:21" ht="9" customHeight="1">
      <c r="A513" s="406">
        <v>150</v>
      </c>
      <c r="B513" s="329" t="s">
        <v>787</v>
      </c>
      <c r="C513" s="350" t="s">
        <v>1155</v>
      </c>
      <c r="D513" s="207" t="s">
        <v>1154</v>
      </c>
      <c r="E513" s="330" t="s">
        <v>600</v>
      </c>
      <c r="F513" s="331" t="s">
        <v>88</v>
      </c>
      <c r="G513" s="332">
        <v>5</v>
      </c>
      <c r="H513" s="332">
        <v>1</v>
      </c>
      <c r="I513" s="333">
        <v>2968.9</v>
      </c>
      <c r="J513" s="333">
        <v>2443.3000000000002</v>
      </c>
      <c r="K513" s="332">
        <v>74</v>
      </c>
      <c r="L513" s="205">
        <f>'Приложение 2 КСП 2018-2019 гг'!H514</f>
        <v>2747216</v>
      </c>
      <c r="M513" s="407">
        <v>0</v>
      </c>
      <c r="N513" s="407">
        <v>0</v>
      </c>
      <c r="O513" s="407">
        <v>0</v>
      </c>
      <c r="P513" s="407">
        <f t="shared" si="98"/>
        <v>2747216</v>
      </c>
      <c r="Q513" s="407">
        <v>0</v>
      </c>
      <c r="R513" s="267">
        <v>0</v>
      </c>
      <c r="S513" s="132" t="s">
        <v>590</v>
      </c>
      <c r="T513" s="126"/>
      <c r="U513" s="127"/>
    </row>
    <row r="514" spans="1:21" ht="9" customHeight="1">
      <c r="A514" s="406">
        <v>151</v>
      </c>
      <c r="B514" s="213" t="s">
        <v>762</v>
      </c>
      <c r="C514" s="350" t="s">
        <v>1155</v>
      </c>
      <c r="D514" s="207" t="s">
        <v>1154</v>
      </c>
      <c r="E514" s="215" t="s">
        <v>775</v>
      </c>
      <c r="F514" s="216" t="s">
        <v>88</v>
      </c>
      <c r="G514" s="314">
        <v>2</v>
      </c>
      <c r="H514" s="314">
        <v>1</v>
      </c>
      <c r="I514" s="217">
        <v>232.5</v>
      </c>
      <c r="J514" s="217">
        <v>210.2</v>
      </c>
      <c r="K514" s="314">
        <v>7</v>
      </c>
      <c r="L514" s="205">
        <f>'Приложение 2 КСП 2018-2019 гг'!H515</f>
        <v>721182</v>
      </c>
      <c r="M514" s="407">
        <v>0</v>
      </c>
      <c r="N514" s="407">
        <v>0</v>
      </c>
      <c r="O514" s="407">
        <v>0</v>
      </c>
      <c r="P514" s="407">
        <f t="shared" si="98"/>
        <v>721182</v>
      </c>
      <c r="Q514" s="407">
        <v>0</v>
      </c>
      <c r="R514" s="267">
        <v>0</v>
      </c>
      <c r="S514" s="132" t="s">
        <v>590</v>
      </c>
      <c r="T514" s="126"/>
      <c r="U514" s="127"/>
    </row>
    <row r="515" spans="1:21" ht="27" customHeight="1">
      <c r="A515" s="946" t="s">
        <v>231</v>
      </c>
      <c r="B515" s="946"/>
      <c r="C515" s="132"/>
      <c r="D515" s="265"/>
      <c r="E515" s="141" t="s">
        <v>391</v>
      </c>
      <c r="F515" s="141" t="s">
        <v>391</v>
      </c>
      <c r="G515" s="141" t="s">
        <v>391</v>
      </c>
      <c r="H515" s="141" t="s">
        <v>391</v>
      </c>
      <c r="I515" s="362">
        <f>SUM(I503:I514)</f>
        <v>45485</v>
      </c>
      <c r="J515" s="362">
        <f t="shared" ref="J515:R515" si="99">SUM(J503:J514)</f>
        <v>40637.4</v>
      </c>
      <c r="K515" s="362">
        <f t="shared" si="99"/>
        <v>820</v>
      </c>
      <c r="L515" s="362">
        <f t="shared" si="99"/>
        <v>45220080</v>
      </c>
      <c r="M515" s="362">
        <f t="shared" si="99"/>
        <v>0</v>
      </c>
      <c r="N515" s="362">
        <f t="shared" si="99"/>
        <v>0</v>
      </c>
      <c r="O515" s="362">
        <f t="shared" si="99"/>
        <v>0</v>
      </c>
      <c r="P515" s="362">
        <f t="shared" si="99"/>
        <v>45220080</v>
      </c>
      <c r="Q515" s="362">
        <f t="shared" si="99"/>
        <v>0</v>
      </c>
      <c r="R515" s="362">
        <f t="shared" si="99"/>
        <v>0</v>
      </c>
      <c r="S515" s="267"/>
      <c r="T515" s="266"/>
      <c r="U515" s="127"/>
    </row>
    <row r="516" spans="1:21" ht="9" customHeight="1">
      <c r="A516" s="821" t="s">
        <v>242</v>
      </c>
      <c r="B516" s="821"/>
      <c r="C516" s="821"/>
      <c r="D516" s="821"/>
      <c r="E516" s="821"/>
      <c r="F516" s="821"/>
      <c r="G516" s="821"/>
      <c r="H516" s="821"/>
      <c r="I516" s="821"/>
      <c r="J516" s="821"/>
      <c r="K516" s="821"/>
      <c r="L516" s="821"/>
      <c r="M516" s="821"/>
      <c r="N516" s="821"/>
      <c r="O516" s="821"/>
      <c r="P516" s="821"/>
      <c r="Q516" s="821"/>
      <c r="R516" s="821"/>
      <c r="S516" s="821"/>
      <c r="T516" s="297"/>
      <c r="U516" s="297"/>
    </row>
    <row r="517" spans="1:21" ht="9" customHeight="1">
      <c r="A517" s="268">
        <v>152</v>
      </c>
      <c r="B517" s="334" t="s">
        <v>1019</v>
      </c>
      <c r="C517" s="357" t="s">
        <v>1155</v>
      </c>
      <c r="D517" s="207" t="s">
        <v>1154</v>
      </c>
      <c r="E517" s="335" t="s">
        <v>597</v>
      </c>
      <c r="F517" s="336" t="s">
        <v>88</v>
      </c>
      <c r="G517" s="337">
        <v>3</v>
      </c>
      <c r="H517" s="337">
        <v>2</v>
      </c>
      <c r="I517" s="338">
        <v>919.3</v>
      </c>
      <c r="J517" s="338">
        <v>895.2</v>
      </c>
      <c r="K517" s="337">
        <v>80</v>
      </c>
      <c r="L517" s="205">
        <f>'Приложение 2 КСП 2018-2019 гг'!H518</f>
        <v>1681680</v>
      </c>
      <c r="M517" s="407">
        <v>0</v>
      </c>
      <c r="N517" s="407">
        <v>0</v>
      </c>
      <c r="O517" s="407">
        <v>0</v>
      </c>
      <c r="P517" s="407">
        <f t="shared" ref="P517:P519" si="100">L517</f>
        <v>1681680</v>
      </c>
      <c r="Q517" s="267">
        <v>0</v>
      </c>
      <c r="R517" s="267">
        <v>0</v>
      </c>
      <c r="S517" s="132" t="s">
        <v>590</v>
      </c>
      <c r="T517" s="126"/>
      <c r="U517" s="127"/>
    </row>
    <row r="518" spans="1:21" ht="9" customHeight="1">
      <c r="A518" s="268">
        <v>153</v>
      </c>
      <c r="B518" s="334" t="s">
        <v>1020</v>
      </c>
      <c r="C518" s="357" t="s">
        <v>1155</v>
      </c>
      <c r="D518" s="207" t="s">
        <v>1154</v>
      </c>
      <c r="E518" s="335" t="s">
        <v>616</v>
      </c>
      <c r="F518" s="336" t="s">
        <v>88</v>
      </c>
      <c r="G518" s="337">
        <v>5</v>
      </c>
      <c r="H518" s="337">
        <v>1</v>
      </c>
      <c r="I518" s="338">
        <v>4632.1000000000004</v>
      </c>
      <c r="J518" s="338">
        <v>3823.3</v>
      </c>
      <c r="K518" s="337">
        <v>48</v>
      </c>
      <c r="L518" s="205">
        <f>'Приложение 2 КСП 2018-2019 гг'!H519</f>
        <v>3027272</v>
      </c>
      <c r="M518" s="407">
        <v>0</v>
      </c>
      <c r="N518" s="407">
        <v>0</v>
      </c>
      <c r="O518" s="407">
        <v>0</v>
      </c>
      <c r="P518" s="407">
        <f t="shared" si="100"/>
        <v>3027272</v>
      </c>
      <c r="Q518" s="267">
        <v>0</v>
      </c>
      <c r="R518" s="267">
        <v>0</v>
      </c>
      <c r="S518" s="132" t="s">
        <v>590</v>
      </c>
      <c r="T518" s="126"/>
      <c r="U518" s="127"/>
    </row>
    <row r="519" spans="1:21" ht="9" customHeight="1">
      <c r="A519" s="268">
        <v>154</v>
      </c>
      <c r="B519" s="315" t="s">
        <v>1069</v>
      </c>
      <c r="C519" s="353" t="s">
        <v>1155</v>
      </c>
      <c r="D519" s="316" t="s">
        <v>1153</v>
      </c>
      <c r="E519" s="317" t="s">
        <v>299</v>
      </c>
      <c r="F519" s="318" t="s">
        <v>88</v>
      </c>
      <c r="G519" s="319">
        <v>5</v>
      </c>
      <c r="H519" s="319">
        <v>4</v>
      </c>
      <c r="I519" s="320">
        <v>3422.3</v>
      </c>
      <c r="J519" s="320">
        <v>2764.1</v>
      </c>
      <c r="K519" s="319">
        <v>693</v>
      </c>
      <c r="L519" s="205">
        <f>'Приложение 2 КСП 2018-2019 гг'!H520</f>
        <v>2787224</v>
      </c>
      <c r="M519" s="407">
        <v>0</v>
      </c>
      <c r="N519" s="407">
        <v>0</v>
      </c>
      <c r="O519" s="407">
        <v>0</v>
      </c>
      <c r="P519" s="407">
        <f t="shared" si="100"/>
        <v>2787224</v>
      </c>
      <c r="Q519" s="267">
        <v>0</v>
      </c>
      <c r="R519" s="267">
        <v>0</v>
      </c>
      <c r="S519" s="132" t="s">
        <v>590</v>
      </c>
      <c r="T519" s="126"/>
      <c r="U519" s="127"/>
    </row>
    <row r="520" spans="1:21" ht="24.75" customHeight="1">
      <c r="A520" s="946" t="s">
        <v>426</v>
      </c>
      <c r="B520" s="946"/>
      <c r="C520" s="132"/>
      <c r="D520" s="265"/>
      <c r="E520" s="268" t="s">
        <v>391</v>
      </c>
      <c r="F520" s="268" t="s">
        <v>391</v>
      </c>
      <c r="G520" s="268" t="s">
        <v>391</v>
      </c>
      <c r="H520" s="268" t="s">
        <v>391</v>
      </c>
      <c r="I520" s="407">
        <f>SUM(I517:I519)</f>
        <v>8973.7000000000007</v>
      </c>
      <c r="J520" s="407">
        <f t="shared" ref="J520:R520" si="101">SUM(J517:J519)</f>
        <v>7482.6</v>
      </c>
      <c r="K520" s="407">
        <f t="shared" si="101"/>
        <v>821</v>
      </c>
      <c r="L520" s="407">
        <f t="shared" si="101"/>
        <v>7496176</v>
      </c>
      <c r="M520" s="407">
        <f t="shared" si="101"/>
        <v>0</v>
      </c>
      <c r="N520" s="407">
        <f t="shared" si="101"/>
        <v>0</v>
      </c>
      <c r="O520" s="407">
        <f t="shared" si="101"/>
        <v>0</v>
      </c>
      <c r="P520" s="407">
        <f t="shared" si="101"/>
        <v>7496176</v>
      </c>
      <c r="Q520" s="407">
        <f t="shared" si="101"/>
        <v>0</v>
      </c>
      <c r="R520" s="407">
        <f t="shared" si="101"/>
        <v>0</v>
      </c>
      <c r="S520" s="267"/>
      <c r="T520" s="126"/>
      <c r="U520" s="127"/>
    </row>
    <row r="521" spans="1:21" ht="9" customHeight="1">
      <c r="A521" s="821" t="s">
        <v>251</v>
      </c>
      <c r="B521" s="821"/>
      <c r="C521" s="821"/>
      <c r="D521" s="821"/>
      <c r="E521" s="821"/>
      <c r="F521" s="821"/>
      <c r="G521" s="821"/>
      <c r="H521" s="821"/>
      <c r="I521" s="821"/>
      <c r="J521" s="821"/>
      <c r="K521" s="821"/>
      <c r="L521" s="821"/>
      <c r="M521" s="821"/>
      <c r="N521" s="821"/>
      <c r="O521" s="821"/>
      <c r="P521" s="821"/>
      <c r="Q521" s="821"/>
      <c r="R521" s="821"/>
      <c r="S521" s="821"/>
      <c r="T521" s="297"/>
      <c r="U521" s="297"/>
    </row>
    <row r="522" spans="1:21" ht="9" customHeight="1">
      <c r="A522" s="268">
        <v>155</v>
      </c>
      <c r="B522" s="339" t="s">
        <v>798</v>
      </c>
      <c r="C522" s="132" t="s">
        <v>1155</v>
      </c>
      <c r="D522" s="207" t="s">
        <v>1154</v>
      </c>
      <c r="E522" s="268" t="s">
        <v>219</v>
      </c>
      <c r="F522" s="268" t="s">
        <v>88</v>
      </c>
      <c r="G522" s="130">
        <v>2</v>
      </c>
      <c r="H522" s="130">
        <v>2</v>
      </c>
      <c r="I522" s="267">
        <v>636.20000000000005</v>
      </c>
      <c r="J522" s="267">
        <v>622.20000000000005</v>
      </c>
      <c r="K522" s="268">
        <v>21</v>
      </c>
      <c r="L522" s="205">
        <f>'Приложение 2 КСП 2018-2019 гг'!H523</f>
        <v>1781934</v>
      </c>
      <c r="M522" s="407">
        <v>0</v>
      </c>
      <c r="N522" s="407">
        <v>0</v>
      </c>
      <c r="O522" s="407">
        <v>0</v>
      </c>
      <c r="P522" s="407">
        <f t="shared" ref="P522:P526" si="102">L522</f>
        <v>1781934</v>
      </c>
      <c r="Q522" s="267">
        <v>0</v>
      </c>
      <c r="R522" s="267">
        <v>0</v>
      </c>
      <c r="S522" s="132" t="s">
        <v>590</v>
      </c>
      <c r="T522" s="126"/>
      <c r="U522" s="127"/>
    </row>
    <row r="523" spans="1:21" ht="9" customHeight="1">
      <c r="A523" s="268">
        <v>156</v>
      </c>
      <c r="B523" s="339" t="s">
        <v>799</v>
      </c>
      <c r="C523" s="132" t="s">
        <v>1155</v>
      </c>
      <c r="D523" s="207" t="s">
        <v>1154</v>
      </c>
      <c r="E523" s="268" t="s">
        <v>89</v>
      </c>
      <c r="F523" s="268" t="s">
        <v>88</v>
      </c>
      <c r="G523" s="130">
        <v>2</v>
      </c>
      <c r="H523" s="130">
        <v>2</v>
      </c>
      <c r="I523" s="267">
        <v>646.1</v>
      </c>
      <c r="J523" s="267">
        <v>610.79999999999995</v>
      </c>
      <c r="K523" s="268">
        <v>29</v>
      </c>
      <c r="L523" s="205">
        <f>'Приложение 2 КСП 2018-2019 гг'!H524</f>
        <v>336012.6</v>
      </c>
      <c r="M523" s="407">
        <v>0</v>
      </c>
      <c r="N523" s="407">
        <v>0</v>
      </c>
      <c r="O523" s="407">
        <v>0</v>
      </c>
      <c r="P523" s="407">
        <f t="shared" si="102"/>
        <v>336012.6</v>
      </c>
      <c r="Q523" s="267">
        <v>0</v>
      </c>
      <c r="R523" s="267">
        <v>0</v>
      </c>
      <c r="S523" s="132" t="s">
        <v>590</v>
      </c>
      <c r="T523" s="126"/>
      <c r="U523" s="127"/>
    </row>
    <row r="524" spans="1:21" ht="9" customHeight="1">
      <c r="A524" s="406">
        <v>157</v>
      </c>
      <c r="B524" s="339" t="s">
        <v>800</v>
      </c>
      <c r="C524" s="132" t="s">
        <v>1155</v>
      </c>
      <c r="D524" s="207" t="s">
        <v>1154</v>
      </c>
      <c r="E524" s="268" t="s">
        <v>609</v>
      </c>
      <c r="F524" s="268" t="s">
        <v>88</v>
      </c>
      <c r="G524" s="130">
        <v>2</v>
      </c>
      <c r="H524" s="130">
        <v>1</v>
      </c>
      <c r="I524" s="267">
        <v>914.3</v>
      </c>
      <c r="J524" s="267">
        <v>635.4</v>
      </c>
      <c r="K524" s="268">
        <v>52</v>
      </c>
      <c r="L524" s="205">
        <f>'Приложение 2 КСП 2018-2019 гг'!H525</f>
        <v>1969506</v>
      </c>
      <c r="M524" s="407">
        <v>0</v>
      </c>
      <c r="N524" s="407">
        <v>0</v>
      </c>
      <c r="O524" s="407">
        <v>0</v>
      </c>
      <c r="P524" s="407">
        <f t="shared" si="102"/>
        <v>1969506</v>
      </c>
      <c r="Q524" s="267">
        <v>0</v>
      </c>
      <c r="R524" s="267">
        <v>0</v>
      </c>
      <c r="S524" s="132" t="s">
        <v>590</v>
      </c>
      <c r="T524" s="126"/>
      <c r="U524" s="127"/>
    </row>
    <row r="525" spans="1:21" ht="9" customHeight="1">
      <c r="A525" s="406">
        <v>158</v>
      </c>
      <c r="B525" s="339" t="s">
        <v>801</v>
      </c>
      <c r="C525" s="132" t="s">
        <v>1155</v>
      </c>
      <c r="D525" s="207" t="s">
        <v>1154</v>
      </c>
      <c r="E525" s="268" t="s">
        <v>619</v>
      </c>
      <c r="F525" s="268" t="s">
        <v>252</v>
      </c>
      <c r="G525" s="130">
        <v>3</v>
      </c>
      <c r="H525" s="130">
        <v>2</v>
      </c>
      <c r="I525" s="267">
        <v>1080</v>
      </c>
      <c r="J525" s="267">
        <v>623.5</v>
      </c>
      <c r="K525" s="268">
        <v>20</v>
      </c>
      <c r="L525" s="205">
        <f>'Приложение 2 КСП 2018-2019 гг'!H526</f>
        <v>2108568</v>
      </c>
      <c r="M525" s="407">
        <v>0</v>
      </c>
      <c r="N525" s="407">
        <v>0</v>
      </c>
      <c r="O525" s="407">
        <v>0</v>
      </c>
      <c r="P525" s="407">
        <f t="shared" si="102"/>
        <v>2108568</v>
      </c>
      <c r="Q525" s="267">
        <v>0</v>
      </c>
      <c r="R525" s="267">
        <v>0</v>
      </c>
      <c r="S525" s="132" t="s">
        <v>590</v>
      </c>
      <c r="T525" s="126"/>
      <c r="U525" s="127"/>
    </row>
    <row r="526" spans="1:21" ht="9" customHeight="1">
      <c r="A526" s="406">
        <v>159</v>
      </c>
      <c r="B526" s="339" t="s">
        <v>802</v>
      </c>
      <c r="C526" s="132" t="s">
        <v>1155</v>
      </c>
      <c r="D526" s="207" t="s">
        <v>1154</v>
      </c>
      <c r="E526" s="268" t="s">
        <v>803</v>
      </c>
      <c r="F526" s="268" t="s">
        <v>88</v>
      </c>
      <c r="G526" s="130">
        <v>2</v>
      </c>
      <c r="H526" s="130">
        <v>1</v>
      </c>
      <c r="I526" s="267">
        <v>578.29999999999995</v>
      </c>
      <c r="J526" s="267">
        <v>530.1</v>
      </c>
      <c r="K526" s="268">
        <v>15</v>
      </c>
      <c r="L526" s="205">
        <f>'Приложение 2 КСП 2018-2019 гг'!H527</f>
        <v>1465002</v>
      </c>
      <c r="M526" s="407">
        <v>0</v>
      </c>
      <c r="N526" s="407">
        <v>0</v>
      </c>
      <c r="O526" s="407">
        <v>0</v>
      </c>
      <c r="P526" s="407">
        <f t="shared" si="102"/>
        <v>1465002</v>
      </c>
      <c r="Q526" s="267">
        <v>0</v>
      </c>
      <c r="R526" s="267">
        <v>0</v>
      </c>
      <c r="S526" s="132" t="s">
        <v>590</v>
      </c>
      <c r="T526" s="126"/>
      <c r="U526" s="127"/>
    </row>
    <row r="527" spans="1:21" ht="25.5" customHeight="1">
      <c r="A527" s="946" t="s">
        <v>250</v>
      </c>
      <c r="B527" s="946"/>
      <c r="C527" s="132"/>
      <c r="D527" s="265"/>
      <c r="E527" s="268" t="s">
        <v>391</v>
      </c>
      <c r="F527" s="268" t="s">
        <v>391</v>
      </c>
      <c r="G527" s="268" t="s">
        <v>391</v>
      </c>
      <c r="H527" s="268" t="s">
        <v>391</v>
      </c>
      <c r="I527" s="407">
        <f>SUM(I522:I526)</f>
        <v>3854.9000000000005</v>
      </c>
      <c r="J527" s="407">
        <f t="shared" ref="J527:R527" si="103">SUM(J522:J526)</f>
        <v>3022</v>
      </c>
      <c r="K527" s="407">
        <f t="shared" si="103"/>
        <v>137</v>
      </c>
      <c r="L527" s="407">
        <f t="shared" si="103"/>
        <v>7661022.5999999996</v>
      </c>
      <c r="M527" s="407">
        <f t="shared" si="103"/>
        <v>0</v>
      </c>
      <c r="N527" s="407">
        <f t="shared" si="103"/>
        <v>0</v>
      </c>
      <c r="O527" s="407">
        <f t="shared" si="103"/>
        <v>0</v>
      </c>
      <c r="P527" s="407">
        <f t="shared" si="103"/>
        <v>7661022.5999999996</v>
      </c>
      <c r="Q527" s="407">
        <f t="shared" si="103"/>
        <v>0</v>
      </c>
      <c r="R527" s="407">
        <f t="shared" si="103"/>
        <v>0</v>
      </c>
      <c r="S527" s="267"/>
      <c r="T527" s="126"/>
      <c r="U527" s="127"/>
    </row>
    <row r="528" spans="1:21" ht="9" customHeight="1">
      <c r="A528" s="823" t="s">
        <v>259</v>
      </c>
      <c r="B528" s="823"/>
      <c r="C528" s="823"/>
      <c r="D528" s="823"/>
      <c r="E528" s="823"/>
      <c r="F528" s="823"/>
      <c r="G528" s="823"/>
      <c r="H528" s="823"/>
      <c r="I528" s="823"/>
      <c r="J528" s="823"/>
      <c r="K528" s="823"/>
      <c r="L528" s="823"/>
      <c r="M528" s="823"/>
      <c r="N528" s="823"/>
      <c r="O528" s="823"/>
      <c r="P528" s="823"/>
      <c r="Q528" s="823"/>
      <c r="R528" s="823"/>
      <c r="S528" s="823"/>
      <c r="T528" s="326"/>
      <c r="U528" s="326"/>
    </row>
    <row r="529" spans="1:21" ht="9" customHeight="1">
      <c r="A529" s="166">
        <v>160</v>
      </c>
      <c r="B529" s="265" t="s">
        <v>807</v>
      </c>
      <c r="C529" s="132" t="s">
        <v>1155</v>
      </c>
      <c r="D529" s="207" t="s">
        <v>1154</v>
      </c>
      <c r="E529" s="268" t="s">
        <v>219</v>
      </c>
      <c r="F529" s="268" t="s">
        <v>88</v>
      </c>
      <c r="G529" s="130">
        <v>2</v>
      </c>
      <c r="H529" s="130">
        <v>2</v>
      </c>
      <c r="I529" s="267">
        <v>782.35</v>
      </c>
      <c r="J529" s="267">
        <v>702.8</v>
      </c>
      <c r="K529" s="130">
        <v>26</v>
      </c>
      <c r="L529" s="205">
        <f>'Приложение 2 КСП 2018-2019 гг'!H530</f>
        <v>2076616.08</v>
      </c>
      <c r="M529" s="407">
        <v>0</v>
      </c>
      <c r="N529" s="407">
        <v>0</v>
      </c>
      <c r="O529" s="407">
        <v>0</v>
      </c>
      <c r="P529" s="407">
        <f t="shared" ref="P529:P530" si="104">L529</f>
        <v>2076616.08</v>
      </c>
      <c r="Q529" s="267">
        <v>0</v>
      </c>
      <c r="R529" s="267">
        <v>0</v>
      </c>
      <c r="S529" s="132" t="s">
        <v>590</v>
      </c>
      <c r="T529" s="126"/>
      <c r="U529" s="127"/>
    </row>
    <row r="530" spans="1:21" ht="9" customHeight="1">
      <c r="A530" s="166">
        <v>161</v>
      </c>
      <c r="B530" s="265" t="s">
        <v>808</v>
      </c>
      <c r="C530" s="132" t="s">
        <v>1155</v>
      </c>
      <c r="D530" s="207" t="s">
        <v>1154</v>
      </c>
      <c r="E530" s="268" t="s">
        <v>610</v>
      </c>
      <c r="F530" s="268" t="s">
        <v>88</v>
      </c>
      <c r="G530" s="130">
        <v>4</v>
      </c>
      <c r="H530" s="130">
        <v>2</v>
      </c>
      <c r="I530" s="267">
        <v>1950.1</v>
      </c>
      <c r="J530" s="267">
        <v>1798.2</v>
      </c>
      <c r="K530" s="130">
        <v>125</v>
      </c>
      <c r="L530" s="205">
        <f>'Приложение 2 КСП 2018-2019 гг'!H531</f>
        <v>3104640</v>
      </c>
      <c r="M530" s="407">
        <v>0</v>
      </c>
      <c r="N530" s="407">
        <v>0</v>
      </c>
      <c r="O530" s="407">
        <v>0</v>
      </c>
      <c r="P530" s="407">
        <f t="shared" si="104"/>
        <v>3104640</v>
      </c>
      <c r="Q530" s="267">
        <v>0</v>
      </c>
      <c r="R530" s="267">
        <v>0</v>
      </c>
      <c r="S530" s="132" t="s">
        <v>590</v>
      </c>
      <c r="T530" s="126"/>
      <c r="U530" s="127"/>
    </row>
    <row r="531" spans="1:21" ht="28.5" customHeight="1">
      <c r="A531" s="950" t="s">
        <v>261</v>
      </c>
      <c r="B531" s="950"/>
      <c r="C531" s="174"/>
      <c r="D531" s="270"/>
      <c r="E531" s="268" t="s">
        <v>391</v>
      </c>
      <c r="F531" s="268" t="s">
        <v>391</v>
      </c>
      <c r="G531" s="268" t="s">
        <v>391</v>
      </c>
      <c r="H531" s="268" t="s">
        <v>391</v>
      </c>
      <c r="I531" s="407">
        <f>SUM(I529:I530)</f>
        <v>2732.45</v>
      </c>
      <c r="J531" s="407">
        <f t="shared" ref="J531:R531" si="105">SUM(J529:J530)</f>
        <v>2501</v>
      </c>
      <c r="K531" s="407">
        <f t="shared" si="105"/>
        <v>151</v>
      </c>
      <c r="L531" s="407">
        <f t="shared" si="105"/>
        <v>5181256.08</v>
      </c>
      <c r="M531" s="407">
        <f t="shared" si="105"/>
        <v>0</v>
      </c>
      <c r="N531" s="407">
        <f t="shared" si="105"/>
        <v>0</v>
      </c>
      <c r="O531" s="407">
        <f t="shared" si="105"/>
        <v>0</v>
      </c>
      <c r="P531" s="407">
        <f t="shared" si="105"/>
        <v>5181256.08</v>
      </c>
      <c r="Q531" s="407">
        <f t="shared" si="105"/>
        <v>0</v>
      </c>
      <c r="R531" s="407">
        <f t="shared" si="105"/>
        <v>0</v>
      </c>
      <c r="S531" s="267"/>
      <c r="T531" s="298"/>
      <c r="U531" s="299"/>
    </row>
    <row r="532" spans="1:21" ht="9" customHeight="1">
      <c r="A532" s="821" t="s">
        <v>395</v>
      </c>
      <c r="B532" s="821"/>
      <c r="C532" s="821"/>
      <c r="D532" s="821"/>
      <c r="E532" s="821"/>
      <c r="F532" s="821"/>
      <c r="G532" s="821"/>
      <c r="H532" s="821"/>
      <c r="I532" s="821"/>
      <c r="J532" s="821"/>
      <c r="K532" s="821"/>
      <c r="L532" s="821"/>
      <c r="M532" s="821"/>
      <c r="N532" s="821"/>
      <c r="O532" s="821"/>
      <c r="P532" s="821"/>
      <c r="Q532" s="821"/>
      <c r="R532" s="821"/>
      <c r="S532" s="821"/>
      <c r="T532" s="297"/>
      <c r="U532" s="297"/>
    </row>
    <row r="533" spans="1:21" ht="9" customHeight="1">
      <c r="A533" s="268">
        <v>162</v>
      </c>
      <c r="B533" s="265" t="s">
        <v>829</v>
      </c>
      <c r="C533" s="132" t="s">
        <v>1155</v>
      </c>
      <c r="D533" s="207" t="s">
        <v>1154</v>
      </c>
      <c r="E533" s="268" t="s">
        <v>841</v>
      </c>
      <c r="F533" s="268" t="s">
        <v>90</v>
      </c>
      <c r="G533" s="130">
        <v>3</v>
      </c>
      <c r="H533" s="130">
        <v>3</v>
      </c>
      <c r="I533" s="267">
        <v>1058.2</v>
      </c>
      <c r="J533" s="267">
        <v>961.6</v>
      </c>
      <c r="K533" s="130">
        <v>37</v>
      </c>
      <c r="L533" s="205">
        <f>'Приложение 2 КСП 2018-2019 гг'!H534</f>
        <v>1500300</v>
      </c>
      <c r="M533" s="407">
        <v>0</v>
      </c>
      <c r="N533" s="407">
        <v>0</v>
      </c>
      <c r="O533" s="407">
        <v>0</v>
      </c>
      <c r="P533" s="407">
        <f t="shared" ref="P533" si="106">L533</f>
        <v>1500300</v>
      </c>
      <c r="Q533" s="267">
        <v>0</v>
      </c>
      <c r="R533" s="267">
        <v>0</v>
      </c>
      <c r="S533" s="132" t="s">
        <v>590</v>
      </c>
      <c r="T533" s="126"/>
      <c r="U533" s="127"/>
    </row>
    <row r="534" spans="1:21" ht="9" customHeight="1">
      <c r="A534" s="268">
        <v>163</v>
      </c>
      <c r="B534" s="265" t="s">
        <v>830</v>
      </c>
      <c r="C534" s="132" t="s">
        <v>1155</v>
      </c>
      <c r="D534" s="207" t="s">
        <v>1154</v>
      </c>
      <c r="E534" s="268" t="s">
        <v>842</v>
      </c>
      <c r="F534" s="268" t="s">
        <v>90</v>
      </c>
      <c r="G534" s="130">
        <v>3</v>
      </c>
      <c r="H534" s="130">
        <v>2</v>
      </c>
      <c r="I534" s="267">
        <v>989.7</v>
      </c>
      <c r="J534" s="267">
        <v>964.1</v>
      </c>
      <c r="K534" s="130">
        <v>55</v>
      </c>
      <c r="L534" s="205">
        <f>'Приложение 2 КСП 2018-2019 гг'!H535</f>
        <v>1500300</v>
      </c>
      <c r="M534" s="407">
        <v>0</v>
      </c>
      <c r="N534" s="407">
        <v>0</v>
      </c>
      <c r="O534" s="407">
        <v>0</v>
      </c>
      <c r="P534" s="407">
        <f t="shared" ref="P534:P545" si="107">L534</f>
        <v>1500300</v>
      </c>
      <c r="Q534" s="267">
        <v>0</v>
      </c>
      <c r="R534" s="267">
        <v>0</v>
      </c>
      <c r="S534" s="132" t="s">
        <v>590</v>
      </c>
      <c r="T534" s="126"/>
      <c r="U534" s="127"/>
    </row>
    <row r="535" spans="1:21" ht="9" customHeight="1">
      <c r="A535" s="406">
        <v>164</v>
      </c>
      <c r="B535" s="265" t="s">
        <v>831</v>
      </c>
      <c r="C535" s="132" t="s">
        <v>1155</v>
      </c>
      <c r="D535" s="207" t="s">
        <v>1154</v>
      </c>
      <c r="E535" s="268" t="s">
        <v>788</v>
      </c>
      <c r="F535" s="268" t="s">
        <v>88</v>
      </c>
      <c r="G535" s="130">
        <v>3</v>
      </c>
      <c r="H535" s="130">
        <v>3</v>
      </c>
      <c r="I535" s="267">
        <v>1058.2</v>
      </c>
      <c r="J535" s="267">
        <v>961.6</v>
      </c>
      <c r="K535" s="130">
        <v>52</v>
      </c>
      <c r="L535" s="205">
        <f>'Приложение 2 КСП 2018-2019 гг'!H536</f>
        <v>1500300</v>
      </c>
      <c r="M535" s="407">
        <v>0</v>
      </c>
      <c r="N535" s="407">
        <v>0</v>
      </c>
      <c r="O535" s="407">
        <v>0</v>
      </c>
      <c r="P535" s="407">
        <f t="shared" si="107"/>
        <v>1500300</v>
      </c>
      <c r="Q535" s="267">
        <v>0</v>
      </c>
      <c r="R535" s="267">
        <v>0</v>
      </c>
      <c r="S535" s="132" t="s">
        <v>590</v>
      </c>
      <c r="T535" s="126"/>
      <c r="U535" s="127"/>
    </row>
    <row r="536" spans="1:21" ht="9" customHeight="1">
      <c r="A536" s="406">
        <v>165</v>
      </c>
      <c r="B536" s="265" t="s">
        <v>832</v>
      </c>
      <c r="C536" s="132" t="s">
        <v>1155</v>
      </c>
      <c r="D536" s="207" t="s">
        <v>1154</v>
      </c>
      <c r="E536" s="268" t="s">
        <v>613</v>
      </c>
      <c r="F536" s="268" t="s">
        <v>88</v>
      </c>
      <c r="G536" s="130">
        <v>4</v>
      </c>
      <c r="H536" s="130">
        <v>4</v>
      </c>
      <c r="I536" s="267">
        <v>2763.4</v>
      </c>
      <c r="J536" s="267">
        <v>1676.6</v>
      </c>
      <c r="K536" s="130">
        <v>124</v>
      </c>
      <c r="L536" s="205">
        <f>'Приложение 2 КСП 2018-2019 гг'!H537</f>
        <v>3596208</v>
      </c>
      <c r="M536" s="407">
        <v>0</v>
      </c>
      <c r="N536" s="407">
        <v>0</v>
      </c>
      <c r="O536" s="407">
        <v>0</v>
      </c>
      <c r="P536" s="407">
        <f t="shared" si="107"/>
        <v>3596208</v>
      </c>
      <c r="Q536" s="267">
        <v>0</v>
      </c>
      <c r="R536" s="267">
        <v>0</v>
      </c>
      <c r="S536" s="132" t="s">
        <v>590</v>
      </c>
      <c r="T536" s="126"/>
      <c r="U536" s="127"/>
    </row>
    <row r="537" spans="1:21" ht="9" customHeight="1">
      <c r="A537" s="406">
        <v>166</v>
      </c>
      <c r="B537" s="265" t="s">
        <v>833</v>
      </c>
      <c r="C537" s="132" t="s">
        <v>1155</v>
      </c>
      <c r="D537" s="207" t="s">
        <v>1154</v>
      </c>
      <c r="E537" s="268" t="s">
        <v>746</v>
      </c>
      <c r="F537" s="268" t="s">
        <v>88</v>
      </c>
      <c r="G537" s="130">
        <v>3</v>
      </c>
      <c r="H537" s="130">
        <v>2</v>
      </c>
      <c r="I537" s="267">
        <v>1441.2</v>
      </c>
      <c r="J537" s="267">
        <v>1295.5999999999999</v>
      </c>
      <c r="K537" s="130">
        <v>68</v>
      </c>
      <c r="L537" s="205">
        <f>'Приложение 2 КСП 2018-2019 гг'!H538</f>
        <v>2572514.4</v>
      </c>
      <c r="M537" s="407">
        <v>0</v>
      </c>
      <c r="N537" s="407">
        <v>0</v>
      </c>
      <c r="O537" s="407">
        <v>0</v>
      </c>
      <c r="P537" s="407">
        <f t="shared" si="107"/>
        <v>2572514.4</v>
      </c>
      <c r="Q537" s="267">
        <v>0</v>
      </c>
      <c r="R537" s="267">
        <v>0</v>
      </c>
      <c r="S537" s="132" t="s">
        <v>590</v>
      </c>
      <c r="T537" s="126"/>
      <c r="U537" s="127"/>
    </row>
    <row r="538" spans="1:21" ht="9" customHeight="1">
      <c r="A538" s="406">
        <v>167</v>
      </c>
      <c r="B538" s="265" t="s">
        <v>834</v>
      </c>
      <c r="C538" s="132" t="s">
        <v>1155</v>
      </c>
      <c r="D538" s="207" t="s">
        <v>1154</v>
      </c>
      <c r="E538" s="268" t="s">
        <v>617</v>
      </c>
      <c r="F538" s="268" t="s">
        <v>88</v>
      </c>
      <c r="G538" s="130">
        <v>3</v>
      </c>
      <c r="H538" s="130">
        <v>3</v>
      </c>
      <c r="I538" s="267">
        <v>1710</v>
      </c>
      <c r="J538" s="267">
        <v>1545</v>
      </c>
      <c r="K538" s="268">
        <v>75</v>
      </c>
      <c r="L538" s="205">
        <f>'Приложение 2 КСП 2018-2019 гг'!H539</f>
        <v>3104640</v>
      </c>
      <c r="M538" s="407">
        <v>0</v>
      </c>
      <c r="N538" s="407">
        <v>0</v>
      </c>
      <c r="O538" s="407">
        <v>0</v>
      </c>
      <c r="P538" s="407">
        <f t="shared" si="107"/>
        <v>3104640</v>
      </c>
      <c r="Q538" s="267">
        <v>0</v>
      </c>
      <c r="R538" s="267">
        <v>0</v>
      </c>
      <c r="S538" s="132" t="s">
        <v>590</v>
      </c>
      <c r="T538" s="126"/>
      <c r="U538" s="127"/>
    </row>
    <row r="539" spans="1:21" ht="9" customHeight="1">
      <c r="A539" s="406">
        <v>168</v>
      </c>
      <c r="B539" s="265" t="s">
        <v>835</v>
      </c>
      <c r="C539" s="132" t="s">
        <v>1155</v>
      </c>
      <c r="D539" s="207" t="s">
        <v>1154</v>
      </c>
      <c r="E539" s="268" t="s">
        <v>617</v>
      </c>
      <c r="F539" s="268" t="s">
        <v>88</v>
      </c>
      <c r="G539" s="130">
        <v>3</v>
      </c>
      <c r="H539" s="130">
        <v>3</v>
      </c>
      <c r="I539" s="267">
        <v>1711.6</v>
      </c>
      <c r="J539" s="267">
        <v>1546.6</v>
      </c>
      <c r="K539" s="268">
        <v>74</v>
      </c>
      <c r="L539" s="205">
        <f>'Приложение 2 КСП 2018-2019 гг'!H540</f>
        <v>3104640</v>
      </c>
      <c r="M539" s="407">
        <v>0</v>
      </c>
      <c r="N539" s="407">
        <v>0</v>
      </c>
      <c r="O539" s="407">
        <v>0</v>
      </c>
      <c r="P539" s="407">
        <f t="shared" si="107"/>
        <v>3104640</v>
      </c>
      <c r="Q539" s="267">
        <v>0</v>
      </c>
      <c r="R539" s="267">
        <v>0</v>
      </c>
      <c r="S539" s="132" t="s">
        <v>590</v>
      </c>
      <c r="T539" s="126"/>
      <c r="U539" s="127"/>
    </row>
    <row r="540" spans="1:21" ht="9" customHeight="1">
      <c r="A540" s="406">
        <v>169</v>
      </c>
      <c r="B540" s="265" t="s">
        <v>836</v>
      </c>
      <c r="C540" s="132" t="s">
        <v>1155</v>
      </c>
      <c r="D540" s="207" t="s">
        <v>1154</v>
      </c>
      <c r="E540" s="268" t="s">
        <v>797</v>
      </c>
      <c r="F540" s="268" t="s">
        <v>88</v>
      </c>
      <c r="G540" s="130">
        <v>1</v>
      </c>
      <c r="H540" s="130">
        <v>1</v>
      </c>
      <c r="I540" s="267">
        <v>223.1</v>
      </c>
      <c r="J540" s="267">
        <v>208.8</v>
      </c>
      <c r="K540" s="130">
        <v>7</v>
      </c>
      <c r="L540" s="205">
        <f>'Приложение 2 КСП 2018-2019 гг'!H541</f>
        <v>740586</v>
      </c>
      <c r="M540" s="407">
        <v>0</v>
      </c>
      <c r="N540" s="407">
        <v>0</v>
      </c>
      <c r="O540" s="407">
        <v>0</v>
      </c>
      <c r="P540" s="407">
        <f t="shared" si="107"/>
        <v>740586</v>
      </c>
      <c r="Q540" s="267">
        <v>0</v>
      </c>
      <c r="R540" s="267">
        <v>0</v>
      </c>
      <c r="S540" s="132" t="s">
        <v>590</v>
      </c>
      <c r="T540" s="126"/>
      <c r="U540" s="127"/>
    </row>
    <row r="541" spans="1:21" ht="9" customHeight="1">
      <c r="A541" s="406">
        <v>170</v>
      </c>
      <c r="B541" s="265" t="s">
        <v>837</v>
      </c>
      <c r="C541" s="132" t="s">
        <v>1155</v>
      </c>
      <c r="D541" s="207" t="s">
        <v>1154</v>
      </c>
      <c r="E541" s="268" t="s">
        <v>753</v>
      </c>
      <c r="F541" s="268" t="s">
        <v>88</v>
      </c>
      <c r="G541" s="130">
        <v>3</v>
      </c>
      <c r="H541" s="130">
        <v>4</v>
      </c>
      <c r="I541" s="267">
        <v>3284.6</v>
      </c>
      <c r="J541" s="267">
        <v>2138.4</v>
      </c>
      <c r="K541" s="130">
        <v>110</v>
      </c>
      <c r="L541" s="205">
        <f>'Приложение 2 КСП 2018-2019 гг'!H542</f>
        <v>3485030.2</v>
      </c>
      <c r="M541" s="407">
        <v>0</v>
      </c>
      <c r="N541" s="407">
        <v>0</v>
      </c>
      <c r="O541" s="407">
        <v>0</v>
      </c>
      <c r="P541" s="407">
        <f t="shared" si="107"/>
        <v>3485030.2</v>
      </c>
      <c r="Q541" s="267">
        <v>0</v>
      </c>
      <c r="R541" s="267">
        <v>0</v>
      </c>
      <c r="S541" s="132" t="s">
        <v>590</v>
      </c>
      <c r="T541" s="126"/>
      <c r="U541" s="127"/>
    </row>
    <row r="542" spans="1:21" ht="9" customHeight="1">
      <c r="A542" s="406">
        <v>171</v>
      </c>
      <c r="B542" s="265" t="s">
        <v>838</v>
      </c>
      <c r="C542" s="132" t="s">
        <v>1155</v>
      </c>
      <c r="D542" s="207" t="s">
        <v>1154</v>
      </c>
      <c r="E542" s="268" t="s">
        <v>608</v>
      </c>
      <c r="F542" s="268" t="s">
        <v>90</v>
      </c>
      <c r="G542" s="130">
        <v>2</v>
      </c>
      <c r="H542" s="130">
        <v>1</v>
      </c>
      <c r="I542" s="267">
        <v>636.4</v>
      </c>
      <c r="J542" s="267">
        <v>400.2</v>
      </c>
      <c r="K542" s="130">
        <v>26</v>
      </c>
      <c r="L542" s="205">
        <f>'Приложение 2 КСП 2018-2019 гг'!H543</f>
        <v>733480</v>
      </c>
      <c r="M542" s="407">
        <v>0</v>
      </c>
      <c r="N542" s="407">
        <v>0</v>
      </c>
      <c r="O542" s="407">
        <v>0</v>
      </c>
      <c r="P542" s="407">
        <f t="shared" si="107"/>
        <v>733480</v>
      </c>
      <c r="Q542" s="267">
        <v>0</v>
      </c>
      <c r="R542" s="267">
        <v>0</v>
      </c>
      <c r="S542" s="132" t="s">
        <v>590</v>
      </c>
      <c r="T542" s="126"/>
      <c r="U542" s="127"/>
    </row>
    <row r="543" spans="1:21" ht="9" customHeight="1">
      <c r="A543" s="406">
        <v>172</v>
      </c>
      <c r="B543" s="265" t="s">
        <v>824</v>
      </c>
      <c r="C543" s="132" t="s">
        <v>1155</v>
      </c>
      <c r="D543" s="207" t="s">
        <v>1154</v>
      </c>
      <c r="E543" s="268" t="s">
        <v>601</v>
      </c>
      <c r="F543" s="268" t="s">
        <v>88</v>
      </c>
      <c r="G543" s="130">
        <v>2</v>
      </c>
      <c r="H543" s="130">
        <v>1</v>
      </c>
      <c r="I543" s="267">
        <v>637.9</v>
      </c>
      <c r="J543" s="267">
        <v>375.9</v>
      </c>
      <c r="K543" s="268">
        <v>22</v>
      </c>
      <c r="L543" s="205">
        <f>'Приложение 2 КСП 2018-2019 гг'!H544</f>
        <v>988697.7</v>
      </c>
      <c r="M543" s="407">
        <v>0</v>
      </c>
      <c r="N543" s="407">
        <v>0</v>
      </c>
      <c r="O543" s="407">
        <v>0</v>
      </c>
      <c r="P543" s="407">
        <f t="shared" si="107"/>
        <v>988697.7</v>
      </c>
      <c r="Q543" s="267">
        <v>0</v>
      </c>
      <c r="R543" s="267">
        <v>0</v>
      </c>
      <c r="S543" s="132" t="s">
        <v>590</v>
      </c>
      <c r="T543" s="126"/>
      <c r="U543" s="127"/>
    </row>
    <row r="544" spans="1:21" ht="9" customHeight="1">
      <c r="A544" s="406">
        <v>173</v>
      </c>
      <c r="B544" s="265" t="s">
        <v>839</v>
      </c>
      <c r="C544" s="132" t="s">
        <v>1155</v>
      </c>
      <c r="D544" s="207" t="s">
        <v>1154</v>
      </c>
      <c r="E544" s="268" t="s">
        <v>592</v>
      </c>
      <c r="F544" s="268" t="s">
        <v>90</v>
      </c>
      <c r="G544" s="130">
        <v>2</v>
      </c>
      <c r="H544" s="130">
        <v>2</v>
      </c>
      <c r="I544" s="267">
        <v>1257.5999999999999</v>
      </c>
      <c r="J544" s="267">
        <v>732.9</v>
      </c>
      <c r="K544" s="130">
        <v>37</v>
      </c>
      <c r="L544" s="205">
        <f>'Приложение 2 КСП 2018-2019 гг'!H545</f>
        <v>1646996</v>
      </c>
      <c r="M544" s="407">
        <v>0</v>
      </c>
      <c r="N544" s="407">
        <v>0</v>
      </c>
      <c r="O544" s="407">
        <v>0</v>
      </c>
      <c r="P544" s="407">
        <f t="shared" si="107"/>
        <v>1646996</v>
      </c>
      <c r="Q544" s="267">
        <v>0</v>
      </c>
      <c r="R544" s="267">
        <v>0</v>
      </c>
      <c r="S544" s="132" t="s">
        <v>590</v>
      </c>
      <c r="T544" s="126"/>
      <c r="U544" s="127"/>
    </row>
    <row r="545" spans="1:21" ht="9" customHeight="1">
      <c r="A545" s="406">
        <v>174</v>
      </c>
      <c r="B545" s="265" t="s">
        <v>840</v>
      </c>
      <c r="C545" s="132" t="s">
        <v>1155</v>
      </c>
      <c r="D545" s="207" t="s">
        <v>1154</v>
      </c>
      <c r="E545" s="268" t="s">
        <v>613</v>
      </c>
      <c r="F545" s="268" t="s">
        <v>88</v>
      </c>
      <c r="G545" s="130">
        <v>2</v>
      </c>
      <c r="H545" s="130">
        <v>2</v>
      </c>
      <c r="I545" s="267">
        <v>538</v>
      </c>
      <c r="J545" s="267">
        <v>476.9</v>
      </c>
      <c r="K545" s="130">
        <v>33</v>
      </c>
      <c r="L545" s="205">
        <f>'Приложение 2 КСП 2018-2019 гг'!H546</f>
        <v>1252320.33</v>
      </c>
      <c r="M545" s="407">
        <v>0</v>
      </c>
      <c r="N545" s="407">
        <v>0</v>
      </c>
      <c r="O545" s="407">
        <v>0</v>
      </c>
      <c r="P545" s="407">
        <f t="shared" si="107"/>
        <v>1252320.33</v>
      </c>
      <c r="Q545" s="267">
        <v>0</v>
      </c>
      <c r="R545" s="267">
        <v>0</v>
      </c>
      <c r="S545" s="132" t="s">
        <v>590</v>
      </c>
      <c r="T545" s="126"/>
      <c r="U545" s="127"/>
    </row>
    <row r="546" spans="1:21" ht="23.25" customHeight="1">
      <c r="A546" s="946" t="s">
        <v>271</v>
      </c>
      <c r="B546" s="946"/>
      <c r="C546" s="132"/>
      <c r="D546" s="265"/>
      <c r="E546" s="141" t="s">
        <v>391</v>
      </c>
      <c r="F546" s="141" t="s">
        <v>391</v>
      </c>
      <c r="G546" s="141" t="s">
        <v>391</v>
      </c>
      <c r="H546" s="141" t="s">
        <v>391</v>
      </c>
      <c r="I546" s="362">
        <f>SUM(I533:I545)</f>
        <v>17309.900000000001</v>
      </c>
      <c r="J546" s="362">
        <f t="shared" ref="J546:R546" si="108">SUM(J533:J545)</f>
        <v>13284.199999999999</v>
      </c>
      <c r="K546" s="362">
        <f t="shared" si="108"/>
        <v>720</v>
      </c>
      <c r="L546" s="362">
        <f t="shared" si="108"/>
        <v>25726012.629999995</v>
      </c>
      <c r="M546" s="362">
        <f t="shared" si="108"/>
        <v>0</v>
      </c>
      <c r="N546" s="362">
        <f t="shared" si="108"/>
        <v>0</v>
      </c>
      <c r="O546" s="362">
        <f t="shared" si="108"/>
        <v>0</v>
      </c>
      <c r="P546" s="362">
        <f t="shared" si="108"/>
        <v>25726012.629999995</v>
      </c>
      <c r="Q546" s="362">
        <f t="shared" si="108"/>
        <v>0</v>
      </c>
      <c r="R546" s="362">
        <f t="shared" si="108"/>
        <v>0</v>
      </c>
      <c r="S546" s="267"/>
      <c r="T546" s="266"/>
      <c r="U546" s="127"/>
    </row>
    <row r="547" spans="1:21" ht="9" customHeight="1">
      <c r="A547" s="823" t="s">
        <v>445</v>
      </c>
      <c r="B547" s="823"/>
      <c r="C547" s="823"/>
      <c r="D547" s="823"/>
      <c r="E547" s="823"/>
      <c r="F547" s="823"/>
      <c r="G547" s="823"/>
      <c r="H547" s="823"/>
      <c r="I547" s="823"/>
      <c r="J547" s="823"/>
      <c r="K547" s="823"/>
      <c r="L547" s="823"/>
      <c r="M547" s="823"/>
      <c r="N547" s="823"/>
      <c r="O547" s="823"/>
      <c r="P547" s="823"/>
      <c r="Q547" s="823"/>
      <c r="R547" s="823"/>
      <c r="S547" s="823"/>
      <c r="T547" s="326"/>
      <c r="U547" s="326"/>
    </row>
    <row r="548" spans="1:21" ht="9" customHeight="1">
      <c r="A548" s="166">
        <v>175</v>
      </c>
      <c r="B548" s="265" t="s">
        <v>847</v>
      </c>
      <c r="C548" s="132" t="s">
        <v>1155</v>
      </c>
      <c r="D548" s="207" t="s">
        <v>1154</v>
      </c>
      <c r="E548" s="268" t="s">
        <v>299</v>
      </c>
      <c r="F548" s="268" t="s">
        <v>90</v>
      </c>
      <c r="G548" s="130">
        <v>3</v>
      </c>
      <c r="H548" s="130">
        <v>3</v>
      </c>
      <c r="I548" s="267">
        <v>1476.6</v>
      </c>
      <c r="J548" s="267">
        <v>1332.3</v>
      </c>
      <c r="K548" s="267">
        <v>101</v>
      </c>
      <c r="L548" s="205">
        <f>'Приложение 2 КСП 2018-2019 гг'!H549</f>
        <v>2037420</v>
      </c>
      <c r="M548" s="407">
        <v>0</v>
      </c>
      <c r="N548" s="407">
        <v>0</v>
      </c>
      <c r="O548" s="407">
        <v>0</v>
      </c>
      <c r="P548" s="407">
        <f t="shared" ref="P548" si="109">L548</f>
        <v>2037420</v>
      </c>
      <c r="Q548" s="407">
        <v>0</v>
      </c>
      <c r="R548" s="267">
        <v>0</v>
      </c>
      <c r="S548" s="132" t="s">
        <v>590</v>
      </c>
      <c r="T548" s="126"/>
      <c r="U548" s="127"/>
    </row>
    <row r="549" spans="1:21" ht="34.5" customHeight="1">
      <c r="A549" s="950" t="s">
        <v>446</v>
      </c>
      <c r="B549" s="950"/>
      <c r="C549" s="174"/>
      <c r="D549" s="270"/>
      <c r="E549" s="166" t="s">
        <v>391</v>
      </c>
      <c r="F549" s="166" t="s">
        <v>391</v>
      </c>
      <c r="G549" s="166" t="s">
        <v>391</v>
      </c>
      <c r="H549" s="166" t="s">
        <v>391</v>
      </c>
      <c r="I549" s="167">
        <f>SUM(I548)</f>
        <v>1476.6</v>
      </c>
      <c r="J549" s="167">
        <f t="shared" ref="J549:R549" si="110">SUM(J548)</f>
        <v>1332.3</v>
      </c>
      <c r="K549" s="167">
        <f t="shared" si="110"/>
        <v>101</v>
      </c>
      <c r="L549" s="167">
        <f t="shared" si="110"/>
        <v>2037420</v>
      </c>
      <c r="M549" s="167">
        <f t="shared" si="110"/>
        <v>0</v>
      </c>
      <c r="N549" s="167">
        <f t="shared" si="110"/>
        <v>0</v>
      </c>
      <c r="O549" s="167">
        <f t="shared" si="110"/>
        <v>0</v>
      </c>
      <c r="P549" s="167">
        <f t="shared" si="110"/>
        <v>2037420</v>
      </c>
      <c r="Q549" s="167">
        <f t="shared" si="110"/>
        <v>0</v>
      </c>
      <c r="R549" s="167">
        <f t="shared" si="110"/>
        <v>0</v>
      </c>
      <c r="S549" s="267"/>
      <c r="T549" s="126"/>
      <c r="U549" s="298"/>
    </row>
    <row r="550" spans="1:21" ht="9" customHeight="1">
      <c r="A550" s="823" t="s">
        <v>397</v>
      </c>
      <c r="B550" s="823"/>
      <c r="C550" s="823"/>
      <c r="D550" s="823"/>
      <c r="E550" s="823"/>
      <c r="F550" s="823"/>
      <c r="G550" s="823"/>
      <c r="H550" s="823"/>
      <c r="I550" s="823"/>
      <c r="J550" s="823"/>
      <c r="K550" s="823"/>
      <c r="L550" s="823"/>
      <c r="M550" s="823"/>
      <c r="N550" s="823"/>
      <c r="O550" s="823"/>
      <c r="P550" s="823"/>
      <c r="Q550" s="823"/>
      <c r="R550" s="823"/>
      <c r="S550" s="823"/>
      <c r="T550" s="326"/>
      <c r="U550" s="326"/>
    </row>
    <row r="551" spans="1:21" ht="9" customHeight="1">
      <c r="A551" s="166">
        <v>176</v>
      </c>
      <c r="B551" s="265" t="s">
        <v>848</v>
      </c>
      <c r="C551" s="132" t="s">
        <v>1155</v>
      </c>
      <c r="D551" s="207" t="s">
        <v>1154</v>
      </c>
      <c r="E551" s="268" t="s">
        <v>614</v>
      </c>
      <c r="F551" s="268" t="s">
        <v>90</v>
      </c>
      <c r="G551" s="130">
        <v>2</v>
      </c>
      <c r="H551" s="130">
        <v>2</v>
      </c>
      <c r="I551" s="267">
        <v>1004.4</v>
      </c>
      <c r="J551" s="267">
        <v>887.8</v>
      </c>
      <c r="K551" s="130">
        <v>8</v>
      </c>
      <c r="L551" s="205">
        <f>'Приложение 2 КСП 2018-2019 гг'!H552</f>
        <v>1400280</v>
      </c>
      <c r="M551" s="407">
        <v>0</v>
      </c>
      <c r="N551" s="407">
        <v>0</v>
      </c>
      <c r="O551" s="407">
        <v>0</v>
      </c>
      <c r="P551" s="407">
        <f t="shared" ref="P551:P552" si="111">L551</f>
        <v>1400280</v>
      </c>
      <c r="Q551" s="407">
        <v>0</v>
      </c>
      <c r="R551" s="267">
        <v>0</v>
      </c>
      <c r="S551" s="132" t="s">
        <v>590</v>
      </c>
      <c r="T551" s="126"/>
      <c r="U551" s="127"/>
    </row>
    <row r="552" spans="1:21" ht="9" customHeight="1">
      <c r="A552" s="166">
        <v>177</v>
      </c>
      <c r="B552" s="265" t="s">
        <v>849</v>
      </c>
      <c r="C552" s="132" t="s">
        <v>1155</v>
      </c>
      <c r="D552" s="207" t="s">
        <v>1154</v>
      </c>
      <c r="E552" s="268" t="s">
        <v>600</v>
      </c>
      <c r="F552" s="268" t="s">
        <v>90</v>
      </c>
      <c r="G552" s="130">
        <v>2</v>
      </c>
      <c r="H552" s="130">
        <v>2</v>
      </c>
      <c r="I552" s="267">
        <v>647.4</v>
      </c>
      <c r="J552" s="267">
        <v>581.79999999999995</v>
      </c>
      <c r="K552" s="130">
        <v>8</v>
      </c>
      <c r="L552" s="205">
        <f>'Приложение 2 КСП 2018-2019 гг'!H553</f>
        <v>1400280</v>
      </c>
      <c r="M552" s="407">
        <v>0</v>
      </c>
      <c r="N552" s="407">
        <v>0</v>
      </c>
      <c r="O552" s="407">
        <v>0</v>
      </c>
      <c r="P552" s="407">
        <f t="shared" si="111"/>
        <v>1400280</v>
      </c>
      <c r="Q552" s="407">
        <v>0</v>
      </c>
      <c r="R552" s="267">
        <v>0</v>
      </c>
      <c r="S552" s="132" t="s">
        <v>590</v>
      </c>
      <c r="T552" s="126"/>
      <c r="U552" s="127"/>
    </row>
    <row r="553" spans="1:21" ht="24.75" customHeight="1">
      <c r="A553" s="950" t="s">
        <v>398</v>
      </c>
      <c r="B553" s="950"/>
      <c r="C553" s="174"/>
      <c r="D553" s="166"/>
      <c r="E553" s="166" t="s">
        <v>391</v>
      </c>
      <c r="F553" s="166" t="s">
        <v>391</v>
      </c>
      <c r="G553" s="166" t="s">
        <v>391</v>
      </c>
      <c r="H553" s="166" t="s">
        <v>391</v>
      </c>
      <c r="I553" s="167">
        <f>SUM(I551:I552)</f>
        <v>1651.8</v>
      </c>
      <c r="J553" s="167">
        <f t="shared" ref="J553:R553" si="112">SUM(J551:J552)</f>
        <v>1469.6</v>
      </c>
      <c r="K553" s="167">
        <f t="shared" si="112"/>
        <v>16</v>
      </c>
      <c r="L553" s="167">
        <f t="shared" si="112"/>
        <v>2800560</v>
      </c>
      <c r="M553" s="167">
        <f t="shared" si="112"/>
        <v>0</v>
      </c>
      <c r="N553" s="167">
        <f t="shared" si="112"/>
        <v>0</v>
      </c>
      <c r="O553" s="167">
        <f t="shared" si="112"/>
        <v>0</v>
      </c>
      <c r="P553" s="167">
        <f t="shared" si="112"/>
        <v>2800560</v>
      </c>
      <c r="Q553" s="167">
        <f t="shared" si="112"/>
        <v>0</v>
      </c>
      <c r="R553" s="167">
        <f t="shared" si="112"/>
        <v>0</v>
      </c>
      <c r="S553" s="267"/>
      <c r="T553" s="126"/>
      <c r="U553" s="298"/>
    </row>
    <row r="554" spans="1:21" ht="9" customHeight="1">
      <c r="A554" s="821" t="s">
        <v>442</v>
      </c>
      <c r="B554" s="821"/>
      <c r="C554" s="821"/>
      <c r="D554" s="821"/>
      <c r="E554" s="821"/>
      <c r="F554" s="821"/>
      <c r="G554" s="821"/>
      <c r="H554" s="821"/>
      <c r="I554" s="821"/>
      <c r="J554" s="821"/>
      <c r="K554" s="821"/>
      <c r="L554" s="821"/>
      <c r="M554" s="821"/>
      <c r="N554" s="821"/>
      <c r="O554" s="821"/>
      <c r="P554" s="821"/>
      <c r="Q554" s="821"/>
      <c r="R554" s="821"/>
      <c r="S554" s="821"/>
      <c r="T554" s="297"/>
      <c r="U554" s="297"/>
    </row>
    <row r="555" spans="1:21" ht="9" customHeight="1">
      <c r="A555" s="268">
        <v>178</v>
      </c>
      <c r="B555" s="265" t="s">
        <v>850</v>
      </c>
      <c r="C555" s="132" t="s">
        <v>1155</v>
      </c>
      <c r="D555" s="207" t="s">
        <v>1154</v>
      </c>
      <c r="E555" s="268" t="s">
        <v>746</v>
      </c>
      <c r="F555" s="268" t="s">
        <v>88</v>
      </c>
      <c r="G555" s="130">
        <v>3</v>
      </c>
      <c r="H555" s="130">
        <v>3</v>
      </c>
      <c r="I555" s="267">
        <v>2049.8000000000002</v>
      </c>
      <c r="J555" s="267">
        <v>1538.2</v>
      </c>
      <c r="K555" s="130">
        <v>18</v>
      </c>
      <c r="L555" s="205">
        <f>'Приложение 2 КСП 2018-2019 гг'!H556</f>
        <v>1157975.58</v>
      </c>
      <c r="M555" s="407">
        <v>0</v>
      </c>
      <c r="N555" s="407">
        <v>0</v>
      </c>
      <c r="O555" s="407">
        <v>0</v>
      </c>
      <c r="P555" s="407">
        <f t="shared" ref="P555:P556" si="113">L555</f>
        <v>1157975.58</v>
      </c>
      <c r="Q555" s="407">
        <v>0</v>
      </c>
      <c r="R555" s="267">
        <v>0</v>
      </c>
      <c r="S555" s="132" t="s">
        <v>590</v>
      </c>
      <c r="T555" s="126"/>
      <c r="U555" s="127"/>
    </row>
    <row r="556" spans="1:21" ht="9" customHeight="1">
      <c r="A556" s="268">
        <v>179</v>
      </c>
      <c r="B556" s="265" t="s">
        <v>851</v>
      </c>
      <c r="C556" s="132" t="s">
        <v>1155</v>
      </c>
      <c r="D556" s="207" t="s">
        <v>1154</v>
      </c>
      <c r="E556" s="268" t="s">
        <v>599</v>
      </c>
      <c r="F556" s="268" t="s">
        <v>88</v>
      </c>
      <c r="G556" s="130">
        <v>3</v>
      </c>
      <c r="H556" s="130">
        <v>3</v>
      </c>
      <c r="I556" s="267">
        <v>1670.6</v>
      </c>
      <c r="J556" s="267">
        <v>1223.42</v>
      </c>
      <c r="K556" s="130">
        <v>14</v>
      </c>
      <c r="L556" s="205">
        <f>'Приложение 2 КСП 2018-2019 гг'!H557</f>
        <v>269152.40000000002</v>
      </c>
      <c r="M556" s="407">
        <v>0</v>
      </c>
      <c r="N556" s="407">
        <v>0</v>
      </c>
      <c r="O556" s="407">
        <v>0</v>
      </c>
      <c r="P556" s="407">
        <f t="shared" si="113"/>
        <v>269152.40000000002</v>
      </c>
      <c r="Q556" s="407">
        <v>0</v>
      </c>
      <c r="R556" s="267">
        <v>0</v>
      </c>
      <c r="S556" s="132" t="s">
        <v>590</v>
      </c>
      <c r="T556" s="126"/>
      <c r="U556" s="127"/>
    </row>
    <row r="557" spans="1:21" ht="24.75" customHeight="1">
      <c r="A557" s="946" t="s">
        <v>443</v>
      </c>
      <c r="B557" s="946"/>
      <c r="C557" s="132"/>
      <c r="D557" s="265"/>
      <c r="E557" s="268" t="s">
        <v>391</v>
      </c>
      <c r="F557" s="268" t="s">
        <v>391</v>
      </c>
      <c r="G557" s="268" t="s">
        <v>391</v>
      </c>
      <c r="H557" s="268" t="s">
        <v>391</v>
      </c>
      <c r="I557" s="407">
        <f>SUM(I555:I556)</f>
        <v>3720.4</v>
      </c>
      <c r="J557" s="407">
        <f t="shared" ref="J557:R557" si="114">SUM(J555:J556)</f>
        <v>2761.62</v>
      </c>
      <c r="K557" s="407">
        <f t="shared" si="114"/>
        <v>32</v>
      </c>
      <c r="L557" s="407">
        <f t="shared" si="114"/>
        <v>1427127.98</v>
      </c>
      <c r="M557" s="407">
        <f t="shared" si="114"/>
        <v>0</v>
      </c>
      <c r="N557" s="407">
        <f t="shared" si="114"/>
        <v>0</v>
      </c>
      <c r="O557" s="407">
        <f t="shared" si="114"/>
        <v>0</v>
      </c>
      <c r="P557" s="407">
        <f t="shared" si="114"/>
        <v>1427127.98</v>
      </c>
      <c r="Q557" s="407">
        <f t="shared" si="114"/>
        <v>0</v>
      </c>
      <c r="R557" s="407">
        <f t="shared" si="114"/>
        <v>0</v>
      </c>
      <c r="S557" s="267"/>
      <c r="T557" s="126"/>
      <c r="U557" s="127"/>
    </row>
    <row r="558" spans="1:21" ht="9" customHeight="1">
      <c r="A558" s="821" t="s">
        <v>856</v>
      </c>
      <c r="B558" s="821"/>
      <c r="C558" s="821"/>
      <c r="D558" s="821"/>
      <c r="E558" s="821"/>
      <c r="F558" s="821"/>
      <c r="G558" s="821"/>
      <c r="H558" s="821"/>
      <c r="I558" s="821"/>
      <c r="J558" s="821"/>
      <c r="K558" s="821"/>
      <c r="L558" s="821"/>
      <c r="M558" s="821"/>
      <c r="N558" s="821"/>
      <c r="O558" s="821"/>
      <c r="P558" s="821"/>
      <c r="Q558" s="821"/>
      <c r="R558" s="821"/>
      <c r="S558" s="821"/>
      <c r="T558" s="297"/>
      <c r="U558" s="297"/>
    </row>
    <row r="559" spans="1:21" ht="9" customHeight="1">
      <c r="A559" s="268">
        <v>180</v>
      </c>
      <c r="B559" s="265" t="s">
        <v>852</v>
      </c>
      <c r="C559" s="132" t="s">
        <v>1155</v>
      </c>
      <c r="D559" s="207" t="s">
        <v>1154</v>
      </c>
      <c r="E559" s="268" t="s">
        <v>614</v>
      </c>
      <c r="F559" s="268" t="s">
        <v>88</v>
      </c>
      <c r="G559" s="130">
        <v>2</v>
      </c>
      <c r="H559" s="130">
        <v>3</v>
      </c>
      <c r="I559" s="267">
        <v>939.58</v>
      </c>
      <c r="J559" s="267">
        <v>858.98</v>
      </c>
      <c r="K559" s="130">
        <v>10</v>
      </c>
      <c r="L559" s="205">
        <f>'Приложение 2 КСП 2018-2019 гг'!H560</f>
        <v>537687.12</v>
      </c>
      <c r="M559" s="407">
        <v>0</v>
      </c>
      <c r="N559" s="407">
        <v>0</v>
      </c>
      <c r="O559" s="407">
        <v>0</v>
      </c>
      <c r="P559" s="407">
        <f t="shared" ref="P559:P562" si="115">L559</f>
        <v>537687.12</v>
      </c>
      <c r="Q559" s="407">
        <v>0</v>
      </c>
      <c r="R559" s="267">
        <v>0</v>
      </c>
      <c r="S559" s="132" t="s">
        <v>590</v>
      </c>
      <c r="T559" s="126"/>
      <c r="U559" s="127"/>
    </row>
    <row r="560" spans="1:21" ht="9" customHeight="1">
      <c r="A560" s="268">
        <v>181</v>
      </c>
      <c r="B560" s="265" t="s">
        <v>853</v>
      </c>
      <c r="C560" s="132" t="s">
        <v>1155</v>
      </c>
      <c r="D560" s="207" t="s">
        <v>1154</v>
      </c>
      <c r="E560" s="268" t="s">
        <v>605</v>
      </c>
      <c r="F560" s="268" t="s">
        <v>90</v>
      </c>
      <c r="G560" s="130">
        <v>2</v>
      </c>
      <c r="H560" s="130">
        <v>2</v>
      </c>
      <c r="I560" s="267">
        <v>672.75</v>
      </c>
      <c r="J560" s="267">
        <v>596.15</v>
      </c>
      <c r="K560" s="130">
        <v>30</v>
      </c>
      <c r="L560" s="205">
        <f>'Приложение 2 КСП 2018-2019 гг'!H561</f>
        <v>373166.06</v>
      </c>
      <c r="M560" s="407">
        <v>0</v>
      </c>
      <c r="N560" s="407">
        <v>0</v>
      </c>
      <c r="O560" s="407">
        <v>0</v>
      </c>
      <c r="P560" s="407">
        <f t="shared" si="115"/>
        <v>373166.06</v>
      </c>
      <c r="Q560" s="407">
        <v>0</v>
      </c>
      <c r="R560" s="267">
        <v>0</v>
      </c>
      <c r="S560" s="132" t="s">
        <v>590</v>
      </c>
      <c r="T560" s="126"/>
      <c r="U560" s="127"/>
    </row>
    <row r="561" spans="1:21" ht="9" customHeight="1">
      <c r="A561" s="406">
        <v>182</v>
      </c>
      <c r="B561" s="265" t="s">
        <v>854</v>
      </c>
      <c r="C561" s="132" t="s">
        <v>1155</v>
      </c>
      <c r="D561" s="207" t="s">
        <v>1154</v>
      </c>
      <c r="E561" s="268" t="s">
        <v>605</v>
      </c>
      <c r="F561" s="268" t="s">
        <v>90</v>
      </c>
      <c r="G561" s="130">
        <v>2</v>
      </c>
      <c r="H561" s="130">
        <v>2</v>
      </c>
      <c r="I561" s="267">
        <v>666.96</v>
      </c>
      <c r="J561" s="267">
        <v>590.36</v>
      </c>
      <c r="K561" s="130">
        <v>13</v>
      </c>
      <c r="L561" s="205">
        <f>'Приложение 2 КСП 2018-2019 гг'!H562</f>
        <v>369541.75</v>
      </c>
      <c r="M561" s="407">
        <v>0</v>
      </c>
      <c r="N561" s="407">
        <v>0</v>
      </c>
      <c r="O561" s="407">
        <v>0</v>
      </c>
      <c r="P561" s="407">
        <f t="shared" si="115"/>
        <v>369541.75</v>
      </c>
      <c r="Q561" s="407">
        <v>0</v>
      </c>
      <c r="R561" s="267">
        <v>0</v>
      </c>
      <c r="S561" s="132" t="s">
        <v>590</v>
      </c>
      <c r="T561" s="126"/>
      <c r="U561" s="127"/>
    </row>
    <row r="562" spans="1:21" ht="9" customHeight="1">
      <c r="A562" s="406">
        <v>183</v>
      </c>
      <c r="B562" s="265" t="s">
        <v>855</v>
      </c>
      <c r="C562" s="132" t="s">
        <v>1155</v>
      </c>
      <c r="D562" s="207" t="s">
        <v>1154</v>
      </c>
      <c r="E562" s="268" t="s">
        <v>828</v>
      </c>
      <c r="F562" s="268" t="s">
        <v>90</v>
      </c>
      <c r="G562" s="130">
        <v>2</v>
      </c>
      <c r="H562" s="130">
        <v>2</v>
      </c>
      <c r="I562" s="267">
        <v>650.49</v>
      </c>
      <c r="J562" s="267">
        <v>585.69000000000005</v>
      </c>
      <c r="K562" s="130">
        <v>39</v>
      </c>
      <c r="L562" s="205">
        <f>'Приложение 2 КСП 2018-2019 гг'!H563</f>
        <v>366618.51</v>
      </c>
      <c r="M562" s="407">
        <v>0</v>
      </c>
      <c r="N562" s="407">
        <v>0</v>
      </c>
      <c r="O562" s="407">
        <v>0</v>
      </c>
      <c r="P562" s="407">
        <f t="shared" si="115"/>
        <v>366618.51</v>
      </c>
      <c r="Q562" s="407">
        <v>0</v>
      </c>
      <c r="R562" s="267">
        <v>0</v>
      </c>
      <c r="S562" s="132" t="s">
        <v>590</v>
      </c>
      <c r="T562" s="126"/>
      <c r="U562" s="127"/>
    </row>
    <row r="563" spans="1:21" ht="35.25" customHeight="1">
      <c r="A563" s="946" t="s">
        <v>1152</v>
      </c>
      <c r="B563" s="946"/>
      <c r="C563" s="132"/>
      <c r="D563" s="268"/>
      <c r="E563" s="268" t="s">
        <v>391</v>
      </c>
      <c r="F563" s="268" t="s">
        <v>391</v>
      </c>
      <c r="G563" s="268" t="s">
        <v>391</v>
      </c>
      <c r="H563" s="268" t="s">
        <v>391</v>
      </c>
      <c r="I563" s="407">
        <f>SUM(I559:I562)</f>
        <v>2929.7799999999997</v>
      </c>
      <c r="J563" s="407">
        <f t="shared" ref="J563:R563" si="116">SUM(J559:J562)</f>
        <v>2631.1800000000003</v>
      </c>
      <c r="K563" s="407">
        <f t="shared" si="116"/>
        <v>92</v>
      </c>
      <c r="L563" s="407">
        <f t="shared" si="116"/>
        <v>1647013.44</v>
      </c>
      <c r="M563" s="407">
        <f t="shared" si="116"/>
        <v>0</v>
      </c>
      <c r="N563" s="407">
        <f t="shared" si="116"/>
        <v>0</v>
      </c>
      <c r="O563" s="407">
        <f t="shared" si="116"/>
        <v>0</v>
      </c>
      <c r="P563" s="407">
        <f t="shared" si="116"/>
        <v>1647013.44</v>
      </c>
      <c r="Q563" s="407">
        <f t="shared" si="116"/>
        <v>0</v>
      </c>
      <c r="R563" s="407">
        <f t="shared" si="116"/>
        <v>0</v>
      </c>
      <c r="S563" s="267"/>
      <c r="T563" s="126"/>
      <c r="U563" s="127"/>
    </row>
    <row r="564" spans="1:21" ht="9" customHeight="1">
      <c r="A564" s="823" t="s">
        <v>435</v>
      </c>
      <c r="B564" s="823"/>
      <c r="C564" s="823"/>
      <c r="D564" s="823"/>
      <c r="E564" s="823"/>
      <c r="F564" s="823"/>
      <c r="G564" s="823"/>
      <c r="H564" s="823"/>
      <c r="I564" s="823"/>
      <c r="J564" s="823"/>
      <c r="K564" s="823"/>
      <c r="L564" s="823"/>
      <c r="M564" s="823"/>
      <c r="N564" s="823"/>
      <c r="O564" s="823"/>
      <c r="P564" s="823"/>
      <c r="Q564" s="823"/>
      <c r="R564" s="823"/>
      <c r="S564" s="823"/>
      <c r="T564" s="326"/>
      <c r="U564" s="326"/>
    </row>
    <row r="565" spans="1:21" ht="9" customHeight="1">
      <c r="A565" s="166">
        <v>184</v>
      </c>
      <c r="B565" s="265" t="s">
        <v>859</v>
      </c>
      <c r="C565" s="132" t="s">
        <v>1155</v>
      </c>
      <c r="D565" s="207" t="s">
        <v>1154</v>
      </c>
      <c r="E565" s="268" t="s">
        <v>0</v>
      </c>
      <c r="F565" s="268" t="s">
        <v>88</v>
      </c>
      <c r="G565" s="130">
        <v>2</v>
      </c>
      <c r="H565" s="130">
        <v>1</v>
      </c>
      <c r="I565" s="267">
        <v>510.7</v>
      </c>
      <c r="J565" s="267">
        <v>424.1</v>
      </c>
      <c r="K565" s="130">
        <v>20</v>
      </c>
      <c r="L565" s="205">
        <f>'Приложение 2 КСП 2018-2019 гг'!H566</f>
        <v>1513512</v>
      </c>
      <c r="M565" s="407">
        <v>0</v>
      </c>
      <c r="N565" s="407">
        <v>0</v>
      </c>
      <c r="O565" s="407">
        <v>0</v>
      </c>
      <c r="P565" s="407">
        <f t="shared" ref="P565:P566" si="117">L565</f>
        <v>1513512</v>
      </c>
      <c r="Q565" s="407">
        <v>0</v>
      </c>
      <c r="R565" s="267">
        <v>0</v>
      </c>
      <c r="S565" s="132" t="s">
        <v>590</v>
      </c>
      <c r="T565" s="126"/>
      <c r="U565" s="127"/>
    </row>
    <row r="566" spans="1:21" ht="9" customHeight="1">
      <c r="A566" s="166">
        <v>185</v>
      </c>
      <c r="B566" s="265" t="s">
        <v>860</v>
      </c>
      <c r="C566" s="132" t="s">
        <v>1155</v>
      </c>
      <c r="D566" s="207" t="s">
        <v>1154</v>
      </c>
      <c r="E566" s="268" t="s">
        <v>591</v>
      </c>
      <c r="F566" s="268" t="s">
        <v>88</v>
      </c>
      <c r="G566" s="130">
        <v>2</v>
      </c>
      <c r="H566" s="130">
        <v>2</v>
      </c>
      <c r="I566" s="267">
        <v>534.20000000000005</v>
      </c>
      <c r="J566" s="267">
        <v>488.2</v>
      </c>
      <c r="K566" s="130">
        <v>20</v>
      </c>
      <c r="L566" s="205">
        <f>'Приложение 2 КСП 2018-2019 гг'!H567</f>
        <v>1752828</v>
      </c>
      <c r="M566" s="407">
        <v>0</v>
      </c>
      <c r="N566" s="407">
        <v>0</v>
      </c>
      <c r="O566" s="407">
        <v>0</v>
      </c>
      <c r="P566" s="407">
        <f t="shared" si="117"/>
        <v>1752828</v>
      </c>
      <c r="Q566" s="407">
        <v>0</v>
      </c>
      <c r="R566" s="267">
        <v>0</v>
      </c>
      <c r="S566" s="132" t="s">
        <v>590</v>
      </c>
      <c r="T566" s="126"/>
      <c r="U566" s="127"/>
    </row>
    <row r="567" spans="1:21" ht="24.75" customHeight="1">
      <c r="A567" s="946" t="s">
        <v>436</v>
      </c>
      <c r="B567" s="946"/>
      <c r="C567" s="132"/>
      <c r="D567" s="265"/>
      <c r="E567" s="166" t="s">
        <v>391</v>
      </c>
      <c r="F567" s="166" t="s">
        <v>391</v>
      </c>
      <c r="G567" s="166" t="s">
        <v>391</v>
      </c>
      <c r="H567" s="166" t="s">
        <v>391</v>
      </c>
      <c r="I567" s="167">
        <f>SUM(I565:I566)</f>
        <v>1044.9000000000001</v>
      </c>
      <c r="J567" s="167">
        <f t="shared" ref="J567:R567" si="118">SUM(J565:J566)</f>
        <v>912.3</v>
      </c>
      <c r="K567" s="167">
        <f t="shared" si="118"/>
        <v>40</v>
      </c>
      <c r="L567" s="167">
        <f t="shared" si="118"/>
        <v>3266340</v>
      </c>
      <c r="M567" s="167">
        <f t="shared" si="118"/>
        <v>0</v>
      </c>
      <c r="N567" s="167">
        <f t="shared" si="118"/>
        <v>0</v>
      </c>
      <c r="O567" s="167">
        <f t="shared" si="118"/>
        <v>0</v>
      </c>
      <c r="P567" s="167">
        <f t="shared" si="118"/>
        <v>3266340</v>
      </c>
      <c r="Q567" s="167">
        <f t="shared" si="118"/>
        <v>0</v>
      </c>
      <c r="R567" s="167">
        <f t="shared" si="118"/>
        <v>0</v>
      </c>
      <c r="S567" s="267"/>
      <c r="T567" s="126"/>
      <c r="U567" s="298"/>
    </row>
    <row r="568" spans="1:21" ht="9" customHeight="1">
      <c r="A568" s="821" t="s">
        <v>1085</v>
      </c>
      <c r="B568" s="821"/>
      <c r="C568" s="821"/>
      <c r="D568" s="821"/>
      <c r="E568" s="821"/>
      <c r="F568" s="821"/>
      <c r="G568" s="821"/>
      <c r="H568" s="821"/>
      <c r="I568" s="821"/>
      <c r="J568" s="821"/>
      <c r="K568" s="821"/>
      <c r="L568" s="821"/>
      <c r="M568" s="821"/>
      <c r="N568" s="821"/>
      <c r="O568" s="821"/>
      <c r="P568" s="821"/>
      <c r="Q568" s="821"/>
      <c r="R568" s="821"/>
      <c r="S568" s="821"/>
      <c r="T568" s="297"/>
      <c r="U568" s="297"/>
    </row>
    <row r="569" spans="1:21" ht="9" customHeight="1">
      <c r="A569" s="268">
        <v>186</v>
      </c>
      <c r="B569" s="265" t="s">
        <v>887</v>
      </c>
      <c r="C569" s="132" t="s">
        <v>1155</v>
      </c>
      <c r="D569" s="207" t="s">
        <v>1154</v>
      </c>
      <c r="E569" s="268" t="s">
        <v>605</v>
      </c>
      <c r="F569" s="268" t="s">
        <v>620</v>
      </c>
      <c r="G569" s="130">
        <v>5</v>
      </c>
      <c r="H569" s="130">
        <v>13</v>
      </c>
      <c r="I569" s="267">
        <v>9951</v>
      </c>
      <c r="J569" s="267">
        <v>8774</v>
      </c>
      <c r="K569" s="268">
        <v>637</v>
      </c>
      <c r="L569" s="205">
        <f>'Приложение 2 КСП 2018-2019 гг'!H570</f>
        <v>7967926.5999999996</v>
      </c>
      <c r="M569" s="407">
        <v>0</v>
      </c>
      <c r="N569" s="407">
        <v>0</v>
      </c>
      <c r="O569" s="407">
        <v>0</v>
      </c>
      <c r="P569" s="407">
        <f t="shared" ref="P569" si="119">L569</f>
        <v>7967926.5999999996</v>
      </c>
      <c r="Q569" s="407">
        <v>0</v>
      </c>
      <c r="R569" s="267">
        <v>0</v>
      </c>
      <c r="S569" s="132" t="s">
        <v>590</v>
      </c>
      <c r="T569" s="126"/>
      <c r="U569" s="127"/>
    </row>
    <row r="570" spans="1:21" ht="33.75" customHeight="1">
      <c r="A570" s="946" t="s">
        <v>1086</v>
      </c>
      <c r="B570" s="946"/>
      <c r="C570" s="132"/>
      <c r="D570" s="265"/>
      <c r="E570" s="268" t="s">
        <v>391</v>
      </c>
      <c r="F570" s="268" t="s">
        <v>391</v>
      </c>
      <c r="G570" s="268" t="s">
        <v>391</v>
      </c>
      <c r="H570" s="268" t="s">
        <v>391</v>
      </c>
      <c r="I570" s="407">
        <f>SUM(I569)</f>
        <v>9951</v>
      </c>
      <c r="J570" s="407">
        <f t="shared" ref="J570:R570" si="120">SUM(J569)</f>
        <v>8774</v>
      </c>
      <c r="K570" s="407">
        <f t="shared" si="120"/>
        <v>637</v>
      </c>
      <c r="L570" s="407">
        <f t="shared" si="120"/>
        <v>7967926.5999999996</v>
      </c>
      <c r="M570" s="407">
        <f t="shared" si="120"/>
        <v>0</v>
      </c>
      <c r="N570" s="407">
        <f t="shared" si="120"/>
        <v>0</v>
      </c>
      <c r="O570" s="407">
        <f t="shared" si="120"/>
        <v>0</v>
      </c>
      <c r="P570" s="407">
        <f t="shared" si="120"/>
        <v>7967926.5999999996</v>
      </c>
      <c r="Q570" s="407">
        <f t="shared" si="120"/>
        <v>0</v>
      </c>
      <c r="R570" s="407">
        <f t="shared" si="120"/>
        <v>0</v>
      </c>
      <c r="S570" s="267"/>
      <c r="T570" s="126"/>
      <c r="U570" s="307"/>
    </row>
    <row r="571" spans="1:21" ht="9" customHeight="1">
      <c r="A571" s="821" t="s">
        <v>305</v>
      </c>
      <c r="B571" s="821"/>
      <c r="C571" s="821"/>
      <c r="D571" s="821"/>
      <c r="E571" s="821"/>
      <c r="F571" s="821"/>
      <c r="G571" s="821"/>
      <c r="H571" s="821"/>
      <c r="I571" s="821"/>
      <c r="J571" s="821"/>
      <c r="K571" s="821"/>
      <c r="L571" s="821"/>
      <c r="M571" s="821"/>
      <c r="N571" s="821"/>
      <c r="O571" s="821"/>
      <c r="P571" s="821"/>
      <c r="Q571" s="821"/>
      <c r="R571" s="821"/>
      <c r="S571" s="821"/>
      <c r="T571" s="297"/>
      <c r="U571" s="297"/>
    </row>
    <row r="572" spans="1:21" ht="9" customHeight="1">
      <c r="A572" s="268">
        <v>187</v>
      </c>
      <c r="B572" s="265" t="s">
        <v>888</v>
      </c>
      <c r="C572" s="132" t="s">
        <v>1155</v>
      </c>
      <c r="D572" s="207" t="s">
        <v>1154</v>
      </c>
      <c r="E572" s="268" t="s">
        <v>591</v>
      </c>
      <c r="F572" s="268" t="s">
        <v>88</v>
      </c>
      <c r="G572" s="130">
        <v>2</v>
      </c>
      <c r="H572" s="130">
        <v>2</v>
      </c>
      <c r="I572" s="267">
        <v>613.1</v>
      </c>
      <c r="J572" s="267">
        <v>602.1</v>
      </c>
      <c r="K572" s="268">
        <v>29</v>
      </c>
      <c r="L572" s="205">
        <f>'Приложение 2 КСП 2018-2019 гг'!H573</f>
        <v>1734588.24</v>
      </c>
      <c r="M572" s="407">
        <v>0</v>
      </c>
      <c r="N572" s="407">
        <v>0</v>
      </c>
      <c r="O572" s="407">
        <v>0</v>
      </c>
      <c r="P572" s="407">
        <f t="shared" ref="P572" si="121">L572</f>
        <v>1734588.24</v>
      </c>
      <c r="Q572" s="407">
        <v>0</v>
      </c>
      <c r="R572" s="267">
        <v>0</v>
      </c>
      <c r="S572" s="132" t="s">
        <v>590</v>
      </c>
      <c r="T572" s="126"/>
      <c r="U572" s="127"/>
    </row>
    <row r="573" spans="1:21" ht="35.25" customHeight="1">
      <c r="A573" s="946" t="s">
        <v>300</v>
      </c>
      <c r="B573" s="946"/>
      <c r="C573" s="132"/>
      <c r="D573" s="265"/>
      <c r="E573" s="268" t="s">
        <v>391</v>
      </c>
      <c r="F573" s="268" t="s">
        <v>391</v>
      </c>
      <c r="G573" s="268" t="s">
        <v>391</v>
      </c>
      <c r="H573" s="268" t="s">
        <v>391</v>
      </c>
      <c r="I573" s="407">
        <f>SUM(I572)</f>
        <v>613.1</v>
      </c>
      <c r="J573" s="407">
        <f t="shared" ref="J573:R573" si="122">SUM(J572)</f>
        <v>602.1</v>
      </c>
      <c r="K573" s="407">
        <f t="shared" si="122"/>
        <v>29</v>
      </c>
      <c r="L573" s="407">
        <f t="shared" si="122"/>
        <v>1734588.24</v>
      </c>
      <c r="M573" s="407">
        <f t="shared" si="122"/>
        <v>0</v>
      </c>
      <c r="N573" s="407">
        <f t="shared" si="122"/>
        <v>0</v>
      </c>
      <c r="O573" s="407">
        <f t="shared" si="122"/>
        <v>0</v>
      </c>
      <c r="P573" s="407">
        <f t="shared" si="122"/>
        <v>1734588.24</v>
      </c>
      <c r="Q573" s="407">
        <f t="shared" si="122"/>
        <v>0</v>
      </c>
      <c r="R573" s="407">
        <f t="shared" si="122"/>
        <v>0</v>
      </c>
      <c r="S573" s="267"/>
      <c r="T573" s="266"/>
      <c r="U573" s="127"/>
    </row>
    <row r="574" spans="1:21" ht="9" customHeight="1">
      <c r="A574" s="821" t="s">
        <v>295</v>
      </c>
      <c r="B574" s="821"/>
      <c r="C574" s="821"/>
      <c r="D574" s="821"/>
      <c r="E574" s="821"/>
      <c r="F574" s="821"/>
      <c r="G574" s="821"/>
      <c r="H574" s="821"/>
      <c r="I574" s="821"/>
      <c r="J574" s="821"/>
      <c r="K574" s="821"/>
      <c r="L574" s="821"/>
      <c r="M574" s="821"/>
      <c r="N574" s="821"/>
      <c r="O574" s="821"/>
      <c r="P574" s="821"/>
      <c r="Q574" s="821"/>
      <c r="R574" s="821"/>
      <c r="S574" s="821"/>
      <c r="T574" s="297"/>
      <c r="U574" s="297"/>
    </row>
    <row r="575" spans="1:21" ht="9" customHeight="1">
      <c r="A575" s="268">
        <v>188</v>
      </c>
      <c r="B575" s="265" t="s">
        <v>872</v>
      </c>
      <c r="C575" s="132" t="s">
        <v>1155</v>
      </c>
      <c r="D575" s="207" t="s">
        <v>1154</v>
      </c>
      <c r="E575" s="268" t="s">
        <v>601</v>
      </c>
      <c r="F575" s="268" t="s">
        <v>88</v>
      </c>
      <c r="G575" s="130">
        <v>5</v>
      </c>
      <c r="H575" s="130">
        <v>6</v>
      </c>
      <c r="I575" s="267">
        <v>5323.9</v>
      </c>
      <c r="J575" s="267">
        <v>4437.3999999999996</v>
      </c>
      <c r="K575" s="130">
        <v>40</v>
      </c>
      <c r="L575" s="205">
        <f>'Приложение 2 КСП 2018-2019 гг'!H576</f>
        <v>4456224.4000000004</v>
      </c>
      <c r="M575" s="407">
        <v>0</v>
      </c>
      <c r="N575" s="407">
        <v>0</v>
      </c>
      <c r="O575" s="407">
        <v>0</v>
      </c>
      <c r="P575" s="407">
        <f t="shared" ref="P575" si="123">L575</f>
        <v>4456224.4000000004</v>
      </c>
      <c r="Q575" s="407">
        <v>0</v>
      </c>
      <c r="R575" s="267">
        <v>0</v>
      </c>
      <c r="S575" s="132" t="s">
        <v>590</v>
      </c>
      <c r="T575" s="126"/>
      <c r="U575" s="127"/>
    </row>
    <row r="576" spans="1:21" ht="9" customHeight="1">
      <c r="A576" s="268">
        <v>189</v>
      </c>
      <c r="B576" s="265" t="s">
        <v>873</v>
      </c>
      <c r="C576" s="132" t="s">
        <v>1155</v>
      </c>
      <c r="D576" s="207" t="s">
        <v>1154</v>
      </c>
      <c r="E576" s="268" t="s">
        <v>841</v>
      </c>
      <c r="F576" s="268" t="s">
        <v>88</v>
      </c>
      <c r="G576" s="130">
        <v>5</v>
      </c>
      <c r="H576" s="130">
        <v>4</v>
      </c>
      <c r="I576" s="267">
        <v>3156.8</v>
      </c>
      <c r="J576" s="267">
        <v>2840.9</v>
      </c>
      <c r="K576" s="130">
        <v>107</v>
      </c>
      <c r="L576" s="205">
        <f>'Приложение 2 КСП 2018-2019 гг'!H577</f>
        <v>2658531.6</v>
      </c>
      <c r="M576" s="407">
        <v>0</v>
      </c>
      <c r="N576" s="407">
        <v>0</v>
      </c>
      <c r="O576" s="407">
        <v>0</v>
      </c>
      <c r="P576" s="407">
        <f t="shared" ref="P576:P583" si="124">L576</f>
        <v>2658531.6</v>
      </c>
      <c r="Q576" s="407">
        <v>0</v>
      </c>
      <c r="R576" s="267">
        <v>0</v>
      </c>
      <c r="S576" s="132" t="s">
        <v>590</v>
      </c>
      <c r="T576" s="126"/>
      <c r="U576" s="127"/>
    </row>
    <row r="577" spans="1:21" ht="9" customHeight="1">
      <c r="A577" s="406">
        <v>190</v>
      </c>
      <c r="B577" s="265" t="s">
        <v>874</v>
      </c>
      <c r="C577" s="132" t="s">
        <v>1155</v>
      </c>
      <c r="D577" s="207" t="s">
        <v>1154</v>
      </c>
      <c r="E577" s="268" t="s">
        <v>612</v>
      </c>
      <c r="F577" s="268" t="s">
        <v>88</v>
      </c>
      <c r="G577" s="130">
        <v>1</v>
      </c>
      <c r="H577" s="268">
        <v>1</v>
      </c>
      <c r="I577" s="267">
        <v>515.5</v>
      </c>
      <c r="J577" s="267">
        <v>504.1</v>
      </c>
      <c r="K577" s="130">
        <v>26</v>
      </c>
      <c r="L577" s="205">
        <f>'Приложение 2 КСП 2018-2019 гг'!H578</f>
        <v>1804572</v>
      </c>
      <c r="M577" s="407">
        <v>0</v>
      </c>
      <c r="N577" s="407">
        <v>0</v>
      </c>
      <c r="O577" s="407">
        <v>0</v>
      </c>
      <c r="P577" s="407">
        <f t="shared" si="124"/>
        <v>1804572</v>
      </c>
      <c r="Q577" s="407">
        <v>0</v>
      </c>
      <c r="R577" s="267">
        <v>0</v>
      </c>
      <c r="S577" s="132" t="s">
        <v>590</v>
      </c>
      <c r="T577" s="126"/>
      <c r="U577" s="127"/>
    </row>
    <row r="578" spans="1:21" ht="9" customHeight="1">
      <c r="A578" s="406">
        <v>191</v>
      </c>
      <c r="B578" s="265" t="s">
        <v>875</v>
      </c>
      <c r="C578" s="132" t="s">
        <v>1155</v>
      </c>
      <c r="D578" s="207" t="s">
        <v>1154</v>
      </c>
      <c r="E578" s="268" t="s">
        <v>592</v>
      </c>
      <c r="F578" s="268" t="s">
        <v>88</v>
      </c>
      <c r="G578" s="130">
        <v>2</v>
      </c>
      <c r="H578" s="130">
        <v>4</v>
      </c>
      <c r="I578" s="267">
        <v>1212.3</v>
      </c>
      <c r="J578" s="267">
        <v>718.4</v>
      </c>
      <c r="K578" s="130">
        <v>12</v>
      </c>
      <c r="L578" s="205">
        <f>'Приложение 2 КСП 2018-2019 гг'!H579</f>
        <v>2080457.6600000001</v>
      </c>
      <c r="M578" s="407">
        <v>0</v>
      </c>
      <c r="N578" s="407">
        <v>0</v>
      </c>
      <c r="O578" s="407">
        <v>0</v>
      </c>
      <c r="P578" s="407">
        <f t="shared" si="124"/>
        <v>2080457.6600000001</v>
      </c>
      <c r="Q578" s="407">
        <v>0</v>
      </c>
      <c r="R578" s="267">
        <v>0</v>
      </c>
      <c r="S578" s="132" t="s">
        <v>590</v>
      </c>
      <c r="T578" s="126"/>
      <c r="U578" s="127"/>
    </row>
    <row r="579" spans="1:21" ht="9" customHeight="1">
      <c r="A579" s="406">
        <v>192</v>
      </c>
      <c r="B579" s="265" t="s">
        <v>876</v>
      </c>
      <c r="C579" s="132" t="s">
        <v>1155</v>
      </c>
      <c r="D579" s="207" t="s">
        <v>1154</v>
      </c>
      <c r="E579" s="268" t="s">
        <v>797</v>
      </c>
      <c r="F579" s="268" t="s">
        <v>88</v>
      </c>
      <c r="G579" s="130">
        <v>2</v>
      </c>
      <c r="H579" s="130">
        <v>1</v>
      </c>
      <c r="I579" s="267">
        <v>794.7</v>
      </c>
      <c r="J579" s="267">
        <v>784.7</v>
      </c>
      <c r="K579" s="130">
        <v>11</v>
      </c>
      <c r="L579" s="205">
        <f>'Приложение 2 КСП 2018-2019 гг'!H580</f>
        <v>2248406.16</v>
      </c>
      <c r="M579" s="407">
        <v>0</v>
      </c>
      <c r="N579" s="407">
        <v>0</v>
      </c>
      <c r="O579" s="407">
        <v>0</v>
      </c>
      <c r="P579" s="407">
        <f t="shared" si="124"/>
        <v>2248406.16</v>
      </c>
      <c r="Q579" s="407">
        <v>0</v>
      </c>
      <c r="R579" s="267">
        <v>0</v>
      </c>
      <c r="S579" s="132" t="s">
        <v>590</v>
      </c>
      <c r="T579" s="126"/>
      <c r="U579" s="127"/>
    </row>
    <row r="580" spans="1:21" ht="9" customHeight="1">
      <c r="A580" s="406">
        <v>193</v>
      </c>
      <c r="B580" s="265" t="s">
        <v>877</v>
      </c>
      <c r="C580" s="132" t="s">
        <v>1155</v>
      </c>
      <c r="D580" s="207" t="s">
        <v>1154</v>
      </c>
      <c r="E580" s="268" t="s">
        <v>618</v>
      </c>
      <c r="F580" s="268" t="s">
        <v>88</v>
      </c>
      <c r="G580" s="130">
        <v>5</v>
      </c>
      <c r="H580" s="130">
        <v>6</v>
      </c>
      <c r="I580" s="267">
        <v>4760.2</v>
      </c>
      <c r="J580" s="267">
        <v>4096.8</v>
      </c>
      <c r="K580" s="130">
        <v>227</v>
      </c>
      <c r="L580" s="205">
        <f>'Приложение 2 КСП 2018-2019 гг'!H581</f>
        <v>4169667.1</v>
      </c>
      <c r="M580" s="407">
        <v>0</v>
      </c>
      <c r="N580" s="407">
        <v>0</v>
      </c>
      <c r="O580" s="407">
        <v>0</v>
      </c>
      <c r="P580" s="407">
        <f t="shared" si="124"/>
        <v>4169667.1</v>
      </c>
      <c r="Q580" s="407">
        <v>0</v>
      </c>
      <c r="R580" s="267">
        <v>0</v>
      </c>
      <c r="S580" s="132" t="s">
        <v>590</v>
      </c>
      <c r="T580" s="126"/>
      <c r="U580" s="127"/>
    </row>
    <row r="581" spans="1:21" ht="9" customHeight="1">
      <c r="A581" s="406">
        <v>194</v>
      </c>
      <c r="B581" s="265" t="s">
        <v>878</v>
      </c>
      <c r="C581" s="132" t="s">
        <v>1155</v>
      </c>
      <c r="D581" s="207" t="s">
        <v>1154</v>
      </c>
      <c r="E581" s="268" t="s">
        <v>604</v>
      </c>
      <c r="F581" s="268" t="s">
        <v>88</v>
      </c>
      <c r="G581" s="130">
        <v>2</v>
      </c>
      <c r="H581" s="130">
        <v>1</v>
      </c>
      <c r="I581" s="267">
        <v>442.1</v>
      </c>
      <c r="J581" s="267">
        <v>384.5</v>
      </c>
      <c r="K581" s="130">
        <v>176</v>
      </c>
      <c r="L581" s="205">
        <f>'Приложение 2 КСП 2018-2019 гг'!H582</f>
        <v>1024538.2</v>
      </c>
      <c r="M581" s="407">
        <v>0</v>
      </c>
      <c r="N581" s="407">
        <v>0</v>
      </c>
      <c r="O581" s="407">
        <v>0</v>
      </c>
      <c r="P581" s="407">
        <f t="shared" si="124"/>
        <v>1024538.2</v>
      </c>
      <c r="Q581" s="407">
        <v>0</v>
      </c>
      <c r="R581" s="267">
        <v>0</v>
      </c>
      <c r="S581" s="132" t="s">
        <v>590</v>
      </c>
      <c r="T581" s="126"/>
      <c r="U581" s="127"/>
    </row>
    <row r="582" spans="1:21" ht="9" customHeight="1">
      <c r="A582" s="406">
        <v>195</v>
      </c>
      <c r="B582" s="265" t="s">
        <v>879</v>
      </c>
      <c r="C582" s="132" t="s">
        <v>1155</v>
      </c>
      <c r="D582" s="207" t="s">
        <v>1154</v>
      </c>
      <c r="E582" s="268" t="s">
        <v>592</v>
      </c>
      <c r="F582" s="268" t="s">
        <v>881</v>
      </c>
      <c r="G582" s="130">
        <v>2</v>
      </c>
      <c r="H582" s="130">
        <v>2</v>
      </c>
      <c r="I582" s="267">
        <v>573.29999999999995</v>
      </c>
      <c r="J582" s="267">
        <v>458</v>
      </c>
      <c r="K582" s="130">
        <v>25</v>
      </c>
      <c r="L582" s="205">
        <f>'Приложение 2 КСП 2018-2019 гг'!H583</f>
        <v>1623468</v>
      </c>
      <c r="M582" s="407">
        <v>0</v>
      </c>
      <c r="N582" s="407">
        <v>0</v>
      </c>
      <c r="O582" s="407">
        <v>0</v>
      </c>
      <c r="P582" s="407">
        <f t="shared" si="124"/>
        <v>1623468</v>
      </c>
      <c r="Q582" s="407">
        <v>0</v>
      </c>
      <c r="R582" s="267">
        <v>0</v>
      </c>
      <c r="S582" s="132" t="s">
        <v>590</v>
      </c>
      <c r="T582" s="126"/>
      <c r="U582" s="127"/>
    </row>
    <row r="583" spans="1:21" ht="9" customHeight="1">
      <c r="A583" s="406">
        <v>196</v>
      </c>
      <c r="B583" s="265" t="s">
        <v>880</v>
      </c>
      <c r="C583" s="132" t="s">
        <v>1155</v>
      </c>
      <c r="D583" s="207" t="s">
        <v>1154</v>
      </c>
      <c r="E583" s="268" t="s">
        <v>617</v>
      </c>
      <c r="F583" s="268" t="s">
        <v>88</v>
      </c>
      <c r="G583" s="130">
        <v>2</v>
      </c>
      <c r="H583" s="130">
        <v>1</v>
      </c>
      <c r="I583" s="267">
        <v>417.5</v>
      </c>
      <c r="J583" s="267">
        <v>371</v>
      </c>
      <c r="K583" s="130">
        <v>15</v>
      </c>
      <c r="L583" s="205">
        <f>'Приложение 2 КСП 2018-2019 гг'!H584</f>
        <v>1234913.6000000001</v>
      </c>
      <c r="M583" s="407">
        <v>0</v>
      </c>
      <c r="N583" s="407">
        <v>0</v>
      </c>
      <c r="O583" s="407">
        <v>0</v>
      </c>
      <c r="P583" s="407">
        <f t="shared" si="124"/>
        <v>1234913.6000000001</v>
      </c>
      <c r="Q583" s="407">
        <v>0</v>
      </c>
      <c r="R583" s="267">
        <v>0</v>
      </c>
      <c r="S583" s="132" t="s">
        <v>590</v>
      </c>
      <c r="T583" s="126"/>
      <c r="U583" s="127"/>
    </row>
    <row r="584" spans="1:21" ht="33.75" customHeight="1">
      <c r="A584" s="946" t="s">
        <v>301</v>
      </c>
      <c r="B584" s="946"/>
      <c r="C584" s="132"/>
      <c r="D584" s="268"/>
      <c r="E584" s="268" t="s">
        <v>391</v>
      </c>
      <c r="F584" s="268" t="s">
        <v>391</v>
      </c>
      <c r="G584" s="268" t="s">
        <v>391</v>
      </c>
      <c r="H584" s="268" t="s">
        <v>391</v>
      </c>
      <c r="I584" s="407">
        <f>SUM(I575:I583)</f>
        <v>17196.300000000003</v>
      </c>
      <c r="J584" s="407">
        <f t="shared" ref="J584:R584" si="125">SUM(J575:J583)</f>
        <v>14595.8</v>
      </c>
      <c r="K584" s="407">
        <f t="shared" si="125"/>
        <v>639</v>
      </c>
      <c r="L584" s="407">
        <f t="shared" si="125"/>
        <v>21300778.720000003</v>
      </c>
      <c r="M584" s="407">
        <f t="shared" si="125"/>
        <v>0</v>
      </c>
      <c r="N584" s="407">
        <f t="shared" si="125"/>
        <v>0</v>
      </c>
      <c r="O584" s="407">
        <f t="shared" si="125"/>
        <v>0</v>
      </c>
      <c r="P584" s="407">
        <f t="shared" si="125"/>
        <v>21300778.720000003</v>
      </c>
      <c r="Q584" s="407">
        <f t="shared" si="125"/>
        <v>0</v>
      </c>
      <c r="R584" s="407">
        <f t="shared" si="125"/>
        <v>0</v>
      </c>
      <c r="S584" s="267"/>
      <c r="T584" s="126"/>
      <c r="U584" s="127"/>
    </row>
    <row r="585" spans="1:21" ht="9" customHeight="1">
      <c r="A585" s="821" t="s">
        <v>296</v>
      </c>
      <c r="B585" s="821"/>
      <c r="C585" s="821"/>
      <c r="D585" s="821"/>
      <c r="E585" s="821"/>
      <c r="F585" s="821"/>
      <c r="G585" s="821"/>
      <c r="H585" s="821"/>
      <c r="I585" s="821"/>
      <c r="J585" s="821"/>
      <c r="K585" s="821"/>
      <c r="L585" s="821"/>
      <c r="M585" s="821"/>
      <c r="N585" s="821"/>
      <c r="O585" s="821"/>
      <c r="P585" s="821"/>
      <c r="Q585" s="821"/>
      <c r="R585" s="821"/>
      <c r="S585" s="821"/>
      <c r="T585" s="297"/>
      <c r="U585" s="297"/>
    </row>
    <row r="586" spans="1:21" ht="9" customHeight="1">
      <c r="A586" s="157">
        <v>197</v>
      </c>
      <c r="B586" s="156" t="s">
        <v>885</v>
      </c>
      <c r="C586" s="132" t="s">
        <v>1155</v>
      </c>
      <c r="D586" s="207" t="s">
        <v>1154</v>
      </c>
      <c r="E586" s="268" t="s">
        <v>602</v>
      </c>
      <c r="F586" s="268" t="s">
        <v>88</v>
      </c>
      <c r="G586" s="130">
        <v>2</v>
      </c>
      <c r="H586" s="130">
        <v>2</v>
      </c>
      <c r="I586" s="267">
        <v>380.2</v>
      </c>
      <c r="J586" s="267">
        <v>347.9</v>
      </c>
      <c r="K586" s="130">
        <v>13</v>
      </c>
      <c r="L586" s="205">
        <f>'Приложение 2 КСП 2018-2019 гг'!H587</f>
        <v>1188495</v>
      </c>
      <c r="M586" s="407">
        <v>0</v>
      </c>
      <c r="N586" s="407">
        <v>0</v>
      </c>
      <c r="O586" s="407">
        <v>0</v>
      </c>
      <c r="P586" s="407">
        <f t="shared" ref="P586" si="126">L586</f>
        <v>1188495</v>
      </c>
      <c r="Q586" s="407">
        <v>0</v>
      </c>
      <c r="R586" s="267">
        <v>0</v>
      </c>
      <c r="S586" s="132" t="s">
        <v>590</v>
      </c>
      <c r="T586" s="126"/>
      <c r="U586" s="127"/>
    </row>
    <row r="587" spans="1:21" ht="36" customHeight="1">
      <c r="A587" s="946" t="s">
        <v>302</v>
      </c>
      <c r="B587" s="946"/>
      <c r="C587" s="132"/>
      <c r="D587" s="265"/>
      <c r="E587" s="268" t="s">
        <v>391</v>
      </c>
      <c r="F587" s="268" t="s">
        <v>391</v>
      </c>
      <c r="G587" s="268" t="s">
        <v>391</v>
      </c>
      <c r="H587" s="268" t="s">
        <v>391</v>
      </c>
      <c r="I587" s="407">
        <f>SUM(I586)</f>
        <v>380.2</v>
      </c>
      <c r="J587" s="407">
        <f t="shared" ref="J587:R587" si="127">SUM(J586)</f>
        <v>347.9</v>
      </c>
      <c r="K587" s="407">
        <f t="shared" si="127"/>
        <v>13</v>
      </c>
      <c r="L587" s="407">
        <f t="shared" si="127"/>
        <v>1188495</v>
      </c>
      <c r="M587" s="407">
        <f t="shared" si="127"/>
        <v>0</v>
      </c>
      <c r="N587" s="407">
        <f t="shared" si="127"/>
        <v>0</v>
      </c>
      <c r="O587" s="407">
        <f t="shared" si="127"/>
        <v>0</v>
      </c>
      <c r="P587" s="407">
        <f t="shared" si="127"/>
        <v>1188495</v>
      </c>
      <c r="Q587" s="407">
        <f t="shared" si="127"/>
        <v>0</v>
      </c>
      <c r="R587" s="407">
        <f t="shared" si="127"/>
        <v>0</v>
      </c>
      <c r="S587" s="267"/>
      <c r="T587" s="126"/>
      <c r="U587" s="127"/>
    </row>
    <row r="588" spans="1:21" ht="9" customHeight="1">
      <c r="A588" s="821" t="s">
        <v>298</v>
      </c>
      <c r="B588" s="821"/>
      <c r="C588" s="821"/>
      <c r="D588" s="821"/>
      <c r="E588" s="821"/>
      <c r="F588" s="821"/>
      <c r="G588" s="821"/>
      <c r="H588" s="821"/>
      <c r="I588" s="821"/>
      <c r="J588" s="821"/>
      <c r="K588" s="821"/>
      <c r="L588" s="821"/>
      <c r="M588" s="821"/>
      <c r="N588" s="821"/>
      <c r="O588" s="821"/>
      <c r="P588" s="821"/>
      <c r="Q588" s="821"/>
      <c r="R588" s="821"/>
      <c r="S588" s="821"/>
      <c r="T588" s="297"/>
      <c r="U588" s="297"/>
    </row>
    <row r="589" spans="1:21" ht="9" customHeight="1">
      <c r="A589" s="268">
        <v>198</v>
      </c>
      <c r="B589" s="265" t="s">
        <v>883</v>
      </c>
      <c r="C589" s="132" t="s">
        <v>1155</v>
      </c>
      <c r="D589" s="207" t="s">
        <v>1154</v>
      </c>
      <c r="E589" s="268" t="s">
        <v>618</v>
      </c>
      <c r="F589" s="268" t="s">
        <v>88</v>
      </c>
      <c r="G589" s="130">
        <v>2</v>
      </c>
      <c r="H589" s="130">
        <v>3</v>
      </c>
      <c r="I589" s="267">
        <v>2570.4</v>
      </c>
      <c r="J589" s="267">
        <v>994.1</v>
      </c>
      <c r="K589" s="268">
        <v>38</v>
      </c>
      <c r="L589" s="205">
        <f>'Приложение 2 КСП 2018-2019 гг'!H590</f>
        <v>3568395.6</v>
      </c>
      <c r="M589" s="407">
        <v>0</v>
      </c>
      <c r="N589" s="407">
        <v>0</v>
      </c>
      <c r="O589" s="407">
        <v>0</v>
      </c>
      <c r="P589" s="407">
        <f t="shared" ref="P589" si="128">L589</f>
        <v>3568395.6</v>
      </c>
      <c r="Q589" s="407">
        <v>0</v>
      </c>
      <c r="R589" s="267">
        <v>0</v>
      </c>
      <c r="S589" s="132" t="s">
        <v>590</v>
      </c>
      <c r="T589" s="126"/>
      <c r="U589" s="127"/>
    </row>
    <row r="590" spans="1:21" ht="34.5" customHeight="1">
      <c r="A590" s="946" t="s">
        <v>304</v>
      </c>
      <c r="B590" s="946"/>
      <c r="C590" s="132"/>
      <c r="D590" s="265"/>
      <c r="E590" s="268" t="s">
        <v>391</v>
      </c>
      <c r="F590" s="268" t="s">
        <v>391</v>
      </c>
      <c r="G590" s="268" t="s">
        <v>391</v>
      </c>
      <c r="H590" s="268" t="s">
        <v>391</v>
      </c>
      <c r="I590" s="407">
        <f>SUM(I589)</f>
        <v>2570.4</v>
      </c>
      <c r="J590" s="407">
        <f t="shared" ref="J590:R590" si="129">SUM(J589)</f>
        <v>994.1</v>
      </c>
      <c r="K590" s="407">
        <f t="shared" si="129"/>
        <v>38</v>
      </c>
      <c r="L590" s="407">
        <f t="shared" si="129"/>
        <v>3568395.6</v>
      </c>
      <c r="M590" s="407">
        <f t="shared" si="129"/>
        <v>0</v>
      </c>
      <c r="N590" s="407">
        <f t="shared" si="129"/>
        <v>0</v>
      </c>
      <c r="O590" s="407">
        <f t="shared" si="129"/>
        <v>0</v>
      </c>
      <c r="P590" s="407">
        <f t="shared" si="129"/>
        <v>3568395.6</v>
      </c>
      <c r="Q590" s="407">
        <f t="shared" si="129"/>
        <v>0</v>
      </c>
      <c r="R590" s="407">
        <f t="shared" si="129"/>
        <v>0</v>
      </c>
      <c r="S590" s="267"/>
      <c r="T590" s="266"/>
      <c r="U590" s="127"/>
    </row>
    <row r="591" spans="1:21" ht="9" customHeight="1">
      <c r="A591" s="828" t="s">
        <v>899</v>
      </c>
      <c r="B591" s="828"/>
      <c r="C591" s="828"/>
      <c r="D591" s="828"/>
      <c r="E591" s="828"/>
      <c r="F591" s="828"/>
      <c r="G591" s="828"/>
      <c r="H591" s="828"/>
      <c r="I591" s="828"/>
      <c r="J591" s="828"/>
      <c r="K591" s="828"/>
      <c r="L591" s="828"/>
      <c r="M591" s="828"/>
      <c r="N591" s="828"/>
      <c r="O591" s="828"/>
      <c r="P591" s="828"/>
      <c r="Q591" s="828"/>
      <c r="R591" s="828"/>
      <c r="S591" s="828"/>
      <c r="T591" s="327"/>
      <c r="U591" s="327"/>
    </row>
    <row r="592" spans="1:21" ht="9" customHeight="1">
      <c r="A592" s="178">
        <v>199</v>
      </c>
      <c r="B592" s="265" t="s">
        <v>900</v>
      </c>
      <c r="C592" s="132" t="s">
        <v>1155</v>
      </c>
      <c r="D592" s="207" t="s">
        <v>1154</v>
      </c>
      <c r="E592" s="268" t="s">
        <v>591</v>
      </c>
      <c r="F592" s="268" t="s">
        <v>88</v>
      </c>
      <c r="G592" s="130">
        <v>2</v>
      </c>
      <c r="H592" s="130">
        <v>2</v>
      </c>
      <c r="I592" s="267">
        <v>665.6</v>
      </c>
      <c r="J592" s="267">
        <v>601.1</v>
      </c>
      <c r="K592" s="268">
        <v>29</v>
      </c>
      <c r="L592" s="205">
        <f>'Приложение 2 КСП 2018-2019 гг'!H593</f>
        <v>1513512</v>
      </c>
      <c r="M592" s="407">
        <v>0</v>
      </c>
      <c r="N592" s="407">
        <v>0</v>
      </c>
      <c r="O592" s="407">
        <v>0</v>
      </c>
      <c r="P592" s="407">
        <f t="shared" ref="P592" si="130">L592</f>
        <v>1513512</v>
      </c>
      <c r="Q592" s="407">
        <v>0</v>
      </c>
      <c r="R592" s="267">
        <v>0</v>
      </c>
      <c r="S592" s="132" t="s">
        <v>590</v>
      </c>
      <c r="T592" s="126"/>
      <c r="U592" s="127"/>
    </row>
    <row r="593" spans="1:21" ht="25.5" customHeight="1">
      <c r="A593" s="951" t="s">
        <v>901</v>
      </c>
      <c r="B593" s="951"/>
      <c r="C593" s="182"/>
      <c r="D593" s="269"/>
      <c r="E593" s="268" t="s">
        <v>391</v>
      </c>
      <c r="F593" s="268" t="s">
        <v>391</v>
      </c>
      <c r="G593" s="268" t="s">
        <v>391</v>
      </c>
      <c r="H593" s="268" t="s">
        <v>391</v>
      </c>
      <c r="I593" s="407">
        <f>SUM(I592)</f>
        <v>665.6</v>
      </c>
      <c r="J593" s="407">
        <f t="shared" ref="J593:R593" si="131">SUM(J592)</f>
        <v>601.1</v>
      </c>
      <c r="K593" s="407">
        <f t="shared" si="131"/>
        <v>29</v>
      </c>
      <c r="L593" s="407">
        <f t="shared" si="131"/>
        <v>1513512</v>
      </c>
      <c r="M593" s="407">
        <f t="shared" si="131"/>
        <v>0</v>
      </c>
      <c r="N593" s="407">
        <f t="shared" si="131"/>
        <v>0</v>
      </c>
      <c r="O593" s="407">
        <f t="shared" si="131"/>
        <v>0</v>
      </c>
      <c r="P593" s="407">
        <f t="shared" si="131"/>
        <v>1513512</v>
      </c>
      <c r="Q593" s="407">
        <f t="shared" si="131"/>
        <v>0</v>
      </c>
      <c r="R593" s="407">
        <f t="shared" si="131"/>
        <v>0</v>
      </c>
      <c r="S593" s="267"/>
      <c r="T593" s="300"/>
      <c r="U593" s="301"/>
    </row>
    <row r="594" spans="1:21" ht="9" customHeight="1">
      <c r="A594" s="828" t="s">
        <v>1027</v>
      </c>
      <c r="B594" s="828"/>
      <c r="C594" s="828"/>
      <c r="D594" s="828"/>
      <c r="E594" s="828"/>
      <c r="F594" s="828"/>
      <c r="G594" s="828"/>
      <c r="H594" s="828"/>
      <c r="I594" s="828"/>
      <c r="J594" s="828"/>
      <c r="K594" s="828"/>
      <c r="L594" s="828"/>
      <c r="M594" s="828"/>
      <c r="N594" s="828"/>
      <c r="O594" s="828"/>
      <c r="P594" s="828"/>
      <c r="Q594" s="828"/>
      <c r="R594" s="828"/>
      <c r="S594" s="828"/>
      <c r="T594" s="327"/>
      <c r="U594" s="327"/>
    </row>
    <row r="595" spans="1:21" ht="9" customHeight="1">
      <c r="A595" s="178">
        <v>200</v>
      </c>
      <c r="B595" s="265" t="s">
        <v>893</v>
      </c>
      <c r="C595" s="132" t="s">
        <v>1155</v>
      </c>
      <c r="D595" s="207" t="s">
        <v>1154</v>
      </c>
      <c r="E595" s="268" t="s">
        <v>607</v>
      </c>
      <c r="F595" s="268" t="s">
        <v>90</v>
      </c>
      <c r="G595" s="130">
        <v>5</v>
      </c>
      <c r="H595" s="130">
        <v>3</v>
      </c>
      <c r="I595" s="267">
        <v>4425.1000000000004</v>
      </c>
      <c r="J595" s="267">
        <v>3105.5</v>
      </c>
      <c r="K595" s="268">
        <v>123</v>
      </c>
      <c r="L595" s="205">
        <f>'Приложение 2 КСП 2018-2019 гг'!H596</f>
        <v>2933920</v>
      </c>
      <c r="M595" s="407">
        <v>0</v>
      </c>
      <c r="N595" s="407">
        <v>0</v>
      </c>
      <c r="O595" s="407">
        <v>0</v>
      </c>
      <c r="P595" s="407">
        <f t="shared" ref="P595:P600" si="132">L595</f>
        <v>2933920</v>
      </c>
      <c r="Q595" s="407">
        <v>0</v>
      </c>
      <c r="R595" s="267">
        <v>0</v>
      </c>
      <c r="S595" s="132" t="s">
        <v>590</v>
      </c>
      <c r="T595" s="126"/>
      <c r="U595" s="127"/>
    </row>
    <row r="596" spans="1:21" ht="9" customHeight="1">
      <c r="A596" s="178">
        <v>201</v>
      </c>
      <c r="B596" s="265" t="s">
        <v>894</v>
      </c>
      <c r="C596" s="132" t="s">
        <v>1155</v>
      </c>
      <c r="D596" s="207" t="s">
        <v>1154</v>
      </c>
      <c r="E596" s="268" t="s">
        <v>599</v>
      </c>
      <c r="F596" s="268" t="s">
        <v>90</v>
      </c>
      <c r="G596" s="130">
        <v>5</v>
      </c>
      <c r="H596" s="130">
        <v>4</v>
      </c>
      <c r="I596" s="267">
        <v>4402.8999999999996</v>
      </c>
      <c r="J596" s="267">
        <v>3225.6</v>
      </c>
      <c r="K596" s="130">
        <v>125</v>
      </c>
      <c r="L596" s="205">
        <f>'Приложение 2 КСП 2018-2019 гг'!H597</f>
        <v>2817230</v>
      </c>
      <c r="M596" s="407">
        <v>0</v>
      </c>
      <c r="N596" s="407">
        <v>0</v>
      </c>
      <c r="O596" s="407">
        <v>0</v>
      </c>
      <c r="P596" s="407">
        <f t="shared" si="132"/>
        <v>2817230</v>
      </c>
      <c r="Q596" s="407">
        <v>0</v>
      </c>
      <c r="R596" s="267">
        <v>0</v>
      </c>
      <c r="S596" s="132" t="s">
        <v>590</v>
      </c>
      <c r="T596" s="126"/>
      <c r="U596" s="127"/>
    </row>
    <row r="597" spans="1:21" ht="9" customHeight="1">
      <c r="A597" s="178">
        <v>202</v>
      </c>
      <c r="B597" s="265" t="s">
        <v>895</v>
      </c>
      <c r="C597" s="132" t="s">
        <v>1155</v>
      </c>
      <c r="D597" s="207" t="s">
        <v>1154</v>
      </c>
      <c r="E597" s="268" t="s">
        <v>616</v>
      </c>
      <c r="F597" s="268" t="s">
        <v>88</v>
      </c>
      <c r="G597" s="130">
        <v>5</v>
      </c>
      <c r="H597" s="130">
        <v>4</v>
      </c>
      <c r="I597" s="267">
        <v>3605.7</v>
      </c>
      <c r="J597" s="267">
        <v>2592.1999999999998</v>
      </c>
      <c r="K597" s="130">
        <v>106</v>
      </c>
      <c r="L597" s="205">
        <f>'Приложение 2 КСП 2018-2019 гг'!H598</f>
        <v>2817230</v>
      </c>
      <c r="M597" s="407">
        <v>0</v>
      </c>
      <c r="N597" s="407">
        <v>0</v>
      </c>
      <c r="O597" s="407">
        <v>0</v>
      </c>
      <c r="P597" s="407">
        <f t="shared" si="132"/>
        <v>2817230</v>
      </c>
      <c r="Q597" s="407">
        <v>0</v>
      </c>
      <c r="R597" s="267">
        <v>0</v>
      </c>
      <c r="S597" s="132" t="s">
        <v>590</v>
      </c>
      <c r="T597" s="126"/>
      <c r="U597" s="127"/>
    </row>
    <row r="598" spans="1:21" ht="9" customHeight="1">
      <c r="A598" s="178">
        <v>203</v>
      </c>
      <c r="B598" s="265" t="s">
        <v>896</v>
      </c>
      <c r="C598" s="132" t="s">
        <v>1155</v>
      </c>
      <c r="D598" s="207" t="s">
        <v>1154</v>
      </c>
      <c r="E598" s="268" t="s">
        <v>616</v>
      </c>
      <c r="F598" s="268" t="s">
        <v>88</v>
      </c>
      <c r="G598" s="130">
        <v>5</v>
      </c>
      <c r="H598" s="130">
        <v>4</v>
      </c>
      <c r="I598" s="267">
        <v>4527.5</v>
      </c>
      <c r="J598" s="267">
        <v>3042.2</v>
      </c>
      <c r="K598" s="130">
        <v>112</v>
      </c>
      <c r="L598" s="205">
        <f>'Приложение 2 КСП 2018-2019 гг'!H599</f>
        <v>3127292</v>
      </c>
      <c r="M598" s="407">
        <v>0</v>
      </c>
      <c r="N598" s="407">
        <v>0</v>
      </c>
      <c r="O598" s="407">
        <v>0</v>
      </c>
      <c r="P598" s="407">
        <f t="shared" si="132"/>
        <v>3127292</v>
      </c>
      <c r="Q598" s="407">
        <v>0</v>
      </c>
      <c r="R598" s="267">
        <v>0</v>
      </c>
      <c r="S598" s="132" t="s">
        <v>590</v>
      </c>
      <c r="T598" s="126"/>
      <c r="U598" s="127"/>
    </row>
    <row r="599" spans="1:21" ht="9" customHeight="1">
      <c r="A599" s="178">
        <v>204</v>
      </c>
      <c r="B599" s="265" t="s">
        <v>897</v>
      </c>
      <c r="C599" s="132" t="s">
        <v>1155</v>
      </c>
      <c r="D599" s="207" t="s">
        <v>1154</v>
      </c>
      <c r="E599" s="268" t="s">
        <v>612</v>
      </c>
      <c r="F599" s="268" t="s">
        <v>88</v>
      </c>
      <c r="G599" s="130">
        <v>5</v>
      </c>
      <c r="H599" s="130">
        <v>6</v>
      </c>
      <c r="I599" s="267">
        <v>4554.8</v>
      </c>
      <c r="J599" s="267">
        <v>3077.1</v>
      </c>
      <c r="K599" s="130">
        <v>113</v>
      </c>
      <c r="L599" s="205">
        <f>'Приложение 2 КСП 2018-2019 гг'!H600</f>
        <v>2327132</v>
      </c>
      <c r="M599" s="407">
        <v>0</v>
      </c>
      <c r="N599" s="407">
        <v>0</v>
      </c>
      <c r="O599" s="407">
        <v>0</v>
      </c>
      <c r="P599" s="407">
        <f t="shared" si="132"/>
        <v>2327132</v>
      </c>
      <c r="Q599" s="407">
        <v>0</v>
      </c>
      <c r="R599" s="267">
        <v>0</v>
      </c>
      <c r="S599" s="132" t="s">
        <v>590</v>
      </c>
      <c r="T599" s="126"/>
      <c r="U599" s="127"/>
    </row>
    <row r="600" spans="1:21" ht="9" customHeight="1">
      <c r="A600" s="178">
        <v>205</v>
      </c>
      <c r="B600" s="265" t="s">
        <v>898</v>
      </c>
      <c r="C600" s="132" t="s">
        <v>1155</v>
      </c>
      <c r="D600" s="207" t="s">
        <v>1154</v>
      </c>
      <c r="E600" s="268" t="s">
        <v>616</v>
      </c>
      <c r="F600" s="268" t="s">
        <v>88</v>
      </c>
      <c r="G600" s="130">
        <v>5</v>
      </c>
      <c r="H600" s="130">
        <v>4</v>
      </c>
      <c r="I600" s="267">
        <v>4523.3599999999997</v>
      </c>
      <c r="J600" s="267">
        <v>3071.76</v>
      </c>
      <c r="K600" s="130">
        <v>142</v>
      </c>
      <c r="L600" s="205">
        <f>'Приложение 2 КСП 2018-2019 гг'!H601</f>
        <v>3110622</v>
      </c>
      <c r="M600" s="407">
        <v>0</v>
      </c>
      <c r="N600" s="407">
        <v>0</v>
      </c>
      <c r="O600" s="407">
        <v>0</v>
      </c>
      <c r="P600" s="407">
        <f t="shared" si="132"/>
        <v>3110622</v>
      </c>
      <c r="Q600" s="407">
        <v>0</v>
      </c>
      <c r="R600" s="267">
        <v>0</v>
      </c>
      <c r="S600" s="132" t="s">
        <v>590</v>
      </c>
      <c r="T600" s="126"/>
      <c r="U600" s="127"/>
    </row>
    <row r="601" spans="1:21" ht="36.75" customHeight="1">
      <c r="A601" s="951" t="s">
        <v>331</v>
      </c>
      <c r="B601" s="951"/>
      <c r="C601" s="182"/>
      <c r="D601" s="178"/>
      <c r="E601" s="268" t="s">
        <v>391</v>
      </c>
      <c r="F601" s="268" t="s">
        <v>391</v>
      </c>
      <c r="G601" s="268" t="s">
        <v>391</v>
      </c>
      <c r="H601" s="268" t="s">
        <v>391</v>
      </c>
      <c r="I601" s="407">
        <f>SUM(I595:I600)</f>
        <v>26039.360000000001</v>
      </c>
      <c r="J601" s="407">
        <f t="shared" ref="J601:R601" si="133">SUM(J595:J600)</f>
        <v>18114.36</v>
      </c>
      <c r="K601" s="407">
        <f t="shared" si="133"/>
        <v>721</v>
      </c>
      <c r="L601" s="407">
        <f t="shared" si="133"/>
        <v>17133426</v>
      </c>
      <c r="M601" s="407">
        <f t="shared" si="133"/>
        <v>0</v>
      </c>
      <c r="N601" s="407">
        <f t="shared" si="133"/>
        <v>0</v>
      </c>
      <c r="O601" s="407">
        <f t="shared" si="133"/>
        <v>0</v>
      </c>
      <c r="P601" s="407">
        <f t="shared" si="133"/>
        <v>17133426</v>
      </c>
      <c r="Q601" s="407">
        <f t="shared" si="133"/>
        <v>0</v>
      </c>
      <c r="R601" s="407">
        <f t="shared" si="133"/>
        <v>0</v>
      </c>
      <c r="S601" s="267"/>
      <c r="T601" s="300"/>
      <c r="U601" s="301"/>
    </row>
    <row r="602" spans="1:21" ht="9" customHeight="1">
      <c r="A602" s="821" t="s">
        <v>405</v>
      </c>
      <c r="B602" s="821"/>
      <c r="C602" s="821"/>
      <c r="D602" s="821"/>
      <c r="E602" s="821"/>
      <c r="F602" s="821"/>
      <c r="G602" s="821"/>
      <c r="H602" s="821"/>
      <c r="I602" s="821"/>
      <c r="J602" s="821"/>
      <c r="K602" s="821"/>
      <c r="L602" s="821"/>
      <c r="M602" s="821"/>
      <c r="N602" s="821"/>
      <c r="O602" s="821"/>
      <c r="P602" s="821"/>
      <c r="Q602" s="821"/>
      <c r="R602" s="821"/>
      <c r="S602" s="821"/>
      <c r="T602" s="297"/>
      <c r="U602" s="297"/>
    </row>
    <row r="603" spans="1:21" ht="9" customHeight="1">
      <c r="A603" s="268">
        <v>206</v>
      </c>
      <c r="B603" s="265" t="s">
        <v>905</v>
      </c>
      <c r="C603" s="132" t="s">
        <v>1155</v>
      </c>
      <c r="D603" s="207" t="s">
        <v>1154</v>
      </c>
      <c r="E603" s="268" t="s">
        <v>606</v>
      </c>
      <c r="F603" s="268" t="s">
        <v>88</v>
      </c>
      <c r="G603" s="130">
        <v>2</v>
      </c>
      <c r="H603" s="130">
        <v>2</v>
      </c>
      <c r="I603" s="267">
        <v>580.20000000000005</v>
      </c>
      <c r="J603" s="267">
        <v>536.67999999999995</v>
      </c>
      <c r="K603" s="130">
        <v>40</v>
      </c>
      <c r="L603" s="205">
        <f>'Приложение 2 КСП 2018-2019 гг'!H604</f>
        <v>1534533</v>
      </c>
      <c r="M603" s="407">
        <v>0</v>
      </c>
      <c r="N603" s="407">
        <v>0</v>
      </c>
      <c r="O603" s="407">
        <v>0</v>
      </c>
      <c r="P603" s="407">
        <f t="shared" ref="P603" si="134">L603</f>
        <v>1534533</v>
      </c>
      <c r="Q603" s="407">
        <v>0</v>
      </c>
      <c r="R603" s="267">
        <v>0</v>
      </c>
      <c r="S603" s="132" t="s">
        <v>590</v>
      </c>
      <c r="T603" s="126"/>
      <c r="U603" s="127"/>
    </row>
    <row r="604" spans="1:21" ht="36.75" customHeight="1">
      <c r="A604" s="946" t="s">
        <v>406</v>
      </c>
      <c r="B604" s="946"/>
      <c r="C604" s="132"/>
      <c r="D604" s="265"/>
      <c r="E604" s="268" t="s">
        <v>391</v>
      </c>
      <c r="F604" s="268" t="s">
        <v>391</v>
      </c>
      <c r="G604" s="268" t="s">
        <v>391</v>
      </c>
      <c r="H604" s="268" t="s">
        <v>391</v>
      </c>
      <c r="I604" s="407">
        <f>SUM(I603)</f>
        <v>580.20000000000005</v>
      </c>
      <c r="J604" s="407">
        <f t="shared" ref="J604:R604" si="135">SUM(J603)</f>
        <v>536.67999999999995</v>
      </c>
      <c r="K604" s="407">
        <f t="shared" si="135"/>
        <v>40</v>
      </c>
      <c r="L604" s="407">
        <f t="shared" si="135"/>
        <v>1534533</v>
      </c>
      <c r="M604" s="407">
        <f t="shared" si="135"/>
        <v>0</v>
      </c>
      <c r="N604" s="407">
        <f t="shared" si="135"/>
        <v>0</v>
      </c>
      <c r="O604" s="407">
        <f t="shared" si="135"/>
        <v>0</v>
      </c>
      <c r="P604" s="407">
        <f t="shared" si="135"/>
        <v>1534533</v>
      </c>
      <c r="Q604" s="407">
        <f t="shared" si="135"/>
        <v>0</v>
      </c>
      <c r="R604" s="407">
        <f t="shared" si="135"/>
        <v>0</v>
      </c>
      <c r="S604" s="267"/>
      <c r="T604" s="266"/>
      <c r="U604" s="127"/>
    </row>
    <row r="605" spans="1:21" ht="9" customHeight="1">
      <c r="A605" s="821" t="s">
        <v>427</v>
      </c>
      <c r="B605" s="821"/>
      <c r="C605" s="821"/>
      <c r="D605" s="821"/>
      <c r="E605" s="821"/>
      <c r="F605" s="821"/>
      <c r="G605" s="821"/>
      <c r="H605" s="821"/>
      <c r="I605" s="821"/>
      <c r="J605" s="821"/>
      <c r="K605" s="821"/>
      <c r="L605" s="821"/>
      <c r="M605" s="821"/>
      <c r="N605" s="821"/>
      <c r="O605" s="821"/>
      <c r="P605" s="821"/>
      <c r="Q605" s="821"/>
      <c r="R605" s="821"/>
      <c r="S605" s="821"/>
      <c r="T605" s="297"/>
      <c r="U605" s="297"/>
    </row>
    <row r="606" spans="1:21" ht="9" customHeight="1">
      <c r="A606" s="268">
        <v>207</v>
      </c>
      <c r="B606" s="156" t="s">
        <v>912</v>
      </c>
      <c r="C606" s="132" t="s">
        <v>1155</v>
      </c>
      <c r="D606" s="207" t="s">
        <v>1154</v>
      </c>
      <c r="E606" s="268" t="s">
        <v>612</v>
      </c>
      <c r="F606" s="268" t="s">
        <v>88</v>
      </c>
      <c r="G606" s="130">
        <v>2</v>
      </c>
      <c r="H606" s="130">
        <v>2</v>
      </c>
      <c r="I606" s="267">
        <v>536.20000000000005</v>
      </c>
      <c r="J606" s="267">
        <v>492</v>
      </c>
      <c r="K606" s="130">
        <v>202</v>
      </c>
      <c r="L606" s="205">
        <f>'Приложение 2 КСП 2018-2019 гг'!H607</f>
        <v>1455300</v>
      </c>
      <c r="M606" s="407">
        <v>0</v>
      </c>
      <c r="N606" s="407">
        <v>0</v>
      </c>
      <c r="O606" s="407">
        <v>0</v>
      </c>
      <c r="P606" s="407">
        <f t="shared" ref="P606" si="136">L606</f>
        <v>1455300</v>
      </c>
      <c r="Q606" s="407">
        <v>0</v>
      </c>
      <c r="R606" s="267">
        <v>0</v>
      </c>
      <c r="S606" s="132" t="s">
        <v>590</v>
      </c>
      <c r="T606" s="126"/>
      <c r="U606" s="127"/>
    </row>
    <row r="607" spans="1:21" ht="9" customHeight="1">
      <c r="A607" s="268">
        <v>208</v>
      </c>
      <c r="B607" s="156" t="s">
        <v>913</v>
      </c>
      <c r="C607" s="132" t="s">
        <v>1155</v>
      </c>
      <c r="D607" s="207" t="s">
        <v>1154</v>
      </c>
      <c r="E607" s="268" t="s">
        <v>612</v>
      </c>
      <c r="F607" s="268" t="s">
        <v>88</v>
      </c>
      <c r="G607" s="130">
        <v>2</v>
      </c>
      <c r="H607" s="130">
        <v>3</v>
      </c>
      <c r="I607" s="267">
        <v>873.1</v>
      </c>
      <c r="J607" s="267">
        <v>795.7</v>
      </c>
      <c r="K607" s="130">
        <v>91</v>
      </c>
      <c r="L607" s="205">
        <f>'Приложение 2 КСП 2018-2019 гг'!H608</f>
        <v>2102100</v>
      </c>
      <c r="M607" s="407">
        <v>0</v>
      </c>
      <c r="N607" s="407">
        <v>0</v>
      </c>
      <c r="O607" s="407">
        <v>0</v>
      </c>
      <c r="P607" s="407">
        <f t="shared" ref="P607:P611" si="137">L607</f>
        <v>2102100</v>
      </c>
      <c r="Q607" s="407">
        <v>0</v>
      </c>
      <c r="R607" s="267">
        <v>0</v>
      </c>
      <c r="S607" s="132" t="s">
        <v>590</v>
      </c>
      <c r="T607" s="126"/>
      <c r="U607" s="127"/>
    </row>
    <row r="608" spans="1:21" ht="9" customHeight="1">
      <c r="A608" s="406">
        <v>209</v>
      </c>
      <c r="B608" s="156" t="s">
        <v>914</v>
      </c>
      <c r="C608" s="132" t="s">
        <v>1155</v>
      </c>
      <c r="D608" s="207" t="s">
        <v>1154</v>
      </c>
      <c r="E608" s="268" t="s">
        <v>615</v>
      </c>
      <c r="F608" s="268" t="s">
        <v>88</v>
      </c>
      <c r="G608" s="130">
        <v>5</v>
      </c>
      <c r="H608" s="130">
        <v>4</v>
      </c>
      <c r="I608" s="267">
        <v>3445.6</v>
      </c>
      <c r="J608" s="267">
        <v>2606</v>
      </c>
      <c r="K608" s="130">
        <v>52</v>
      </c>
      <c r="L608" s="205">
        <f>'Приложение 2 КСП 2018-2019 гг'!H609</f>
        <v>3087499.8</v>
      </c>
      <c r="M608" s="407">
        <v>0</v>
      </c>
      <c r="N608" s="407">
        <v>0</v>
      </c>
      <c r="O608" s="407">
        <v>0</v>
      </c>
      <c r="P608" s="407">
        <f t="shared" si="137"/>
        <v>3087499.8</v>
      </c>
      <c r="Q608" s="407">
        <v>0</v>
      </c>
      <c r="R608" s="267">
        <v>0</v>
      </c>
      <c r="S608" s="132" t="s">
        <v>590</v>
      </c>
      <c r="T608" s="126"/>
      <c r="U608" s="127"/>
    </row>
    <row r="609" spans="1:21" ht="9" customHeight="1">
      <c r="A609" s="406">
        <v>210</v>
      </c>
      <c r="B609" s="156" t="s">
        <v>915</v>
      </c>
      <c r="C609" s="132" t="s">
        <v>1155</v>
      </c>
      <c r="D609" s="207" t="s">
        <v>1154</v>
      </c>
      <c r="E609" s="268" t="s">
        <v>597</v>
      </c>
      <c r="F609" s="268" t="s">
        <v>88</v>
      </c>
      <c r="G609" s="130">
        <v>2</v>
      </c>
      <c r="H609" s="130">
        <v>1</v>
      </c>
      <c r="I609" s="267">
        <v>323.10000000000002</v>
      </c>
      <c r="J609" s="267">
        <v>292.3</v>
      </c>
      <c r="K609" s="130">
        <v>15</v>
      </c>
      <c r="L609" s="205">
        <f>'Приложение 2 КСП 2018-2019 гг'!H610</f>
        <v>867746.88</v>
      </c>
      <c r="M609" s="407">
        <v>0</v>
      </c>
      <c r="N609" s="407">
        <v>0</v>
      </c>
      <c r="O609" s="407">
        <v>0</v>
      </c>
      <c r="P609" s="407">
        <f t="shared" si="137"/>
        <v>867746.88</v>
      </c>
      <c r="Q609" s="407">
        <v>0</v>
      </c>
      <c r="R609" s="267">
        <v>0</v>
      </c>
      <c r="S609" s="132" t="s">
        <v>590</v>
      </c>
      <c r="T609" s="126"/>
      <c r="U609" s="127"/>
    </row>
    <row r="610" spans="1:21" ht="9" customHeight="1">
      <c r="A610" s="406">
        <v>211</v>
      </c>
      <c r="B610" s="156" t="s">
        <v>916</v>
      </c>
      <c r="C610" s="132" t="s">
        <v>1155</v>
      </c>
      <c r="D610" s="207" t="s">
        <v>1154</v>
      </c>
      <c r="E610" s="268" t="s">
        <v>745</v>
      </c>
      <c r="F610" s="268" t="s">
        <v>88</v>
      </c>
      <c r="G610" s="130">
        <v>5</v>
      </c>
      <c r="H610" s="130">
        <v>2</v>
      </c>
      <c r="I610" s="267">
        <v>2219.9</v>
      </c>
      <c r="J610" s="267">
        <v>1702.9</v>
      </c>
      <c r="K610" s="130">
        <v>122</v>
      </c>
      <c r="L610" s="205">
        <f>'Приложение 2 КСП 2018-2019 гг'!H611</f>
        <v>2102100</v>
      </c>
      <c r="M610" s="407">
        <v>0</v>
      </c>
      <c r="N610" s="407">
        <v>0</v>
      </c>
      <c r="O610" s="407">
        <v>0</v>
      </c>
      <c r="P610" s="407">
        <f t="shared" si="137"/>
        <v>2102100</v>
      </c>
      <c r="Q610" s="407">
        <v>0</v>
      </c>
      <c r="R610" s="267">
        <v>0</v>
      </c>
      <c r="S610" s="132" t="s">
        <v>590</v>
      </c>
      <c r="T610" s="126"/>
      <c r="U610" s="127"/>
    </row>
    <row r="611" spans="1:21" ht="9" customHeight="1">
      <c r="A611" s="406">
        <v>212</v>
      </c>
      <c r="B611" s="156" t="s">
        <v>917</v>
      </c>
      <c r="C611" s="132" t="s">
        <v>1155</v>
      </c>
      <c r="D611" s="207" t="s">
        <v>1154</v>
      </c>
      <c r="E611" s="268" t="s">
        <v>591</v>
      </c>
      <c r="F611" s="268" t="s">
        <v>88</v>
      </c>
      <c r="G611" s="130">
        <v>4</v>
      </c>
      <c r="H611" s="130">
        <v>2</v>
      </c>
      <c r="I611" s="267">
        <v>1623</v>
      </c>
      <c r="J611" s="267">
        <v>1233</v>
      </c>
      <c r="K611" s="130">
        <v>30</v>
      </c>
      <c r="L611" s="205">
        <f>'Приложение 2 КСП 2018-2019 гг'!H612</f>
        <v>1798104</v>
      </c>
      <c r="M611" s="407">
        <v>0</v>
      </c>
      <c r="N611" s="407">
        <v>0</v>
      </c>
      <c r="O611" s="407">
        <v>0</v>
      </c>
      <c r="P611" s="407">
        <f t="shared" si="137"/>
        <v>1798104</v>
      </c>
      <c r="Q611" s="407">
        <v>0</v>
      </c>
      <c r="R611" s="267">
        <v>0</v>
      </c>
      <c r="S611" s="132" t="s">
        <v>590</v>
      </c>
      <c r="T611" s="126"/>
      <c r="U611" s="127"/>
    </row>
    <row r="612" spans="1:21" ht="25.5" customHeight="1">
      <c r="A612" s="946" t="s">
        <v>428</v>
      </c>
      <c r="B612" s="946"/>
      <c r="C612" s="132"/>
      <c r="D612" s="265"/>
      <c r="E612" s="141" t="s">
        <v>391</v>
      </c>
      <c r="F612" s="141" t="s">
        <v>391</v>
      </c>
      <c r="G612" s="141" t="s">
        <v>391</v>
      </c>
      <c r="H612" s="141" t="s">
        <v>391</v>
      </c>
      <c r="I612" s="362">
        <f>SUM(I606:I611)</f>
        <v>9020.9</v>
      </c>
      <c r="J612" s="362">
        <f t="shared" ref="J612:R612" si="138">SUM(J606:J611)</f>
        <v>7121.9</v>
      </c>
      <c r="K612" s="362">
        <f t="shared" si="138"/>
        <v>512</v>
      </c>
      <c r="L612" s="362">
        <f t="shared" si="138"/>
        <v>11412850.68</v>
      </c>
      <c r="M612" s="362">
        <f t="shared" si="138"/>
        <v>0</v>
      </c>
      <c r="N612" s="362">
        <f t="shared" si="138"/>
        <v>0</v>
      </c>
      <c r="O612" s="362">
        <f t="shared" si="138"/>
        <v>0</v>
      </c>
      <c r="P612" s="362">
        <f t="shared" si="138"/>
        <v>11412850.68</v>
      </c>
      <c r="Q612" s="362">
        <f t="shared" si="138"/>
        <v>0</v>
      </c>
      <c r="R612" s="362">
        <f t="shared" si="138"/>
        <v>0</v>
      </c>
      <c r="S612" s="267"/>
      <c r="T612" s="266"/>
      <c r="U612" s="127"/>
    </row>
    <row r="613" spans="1:21" ht="9" customHeight="1">
      <c r="A613" s="821" t="s">
        <v>345</v>
      </c>
      <c r="B613" s="821"/>
      <c r="C613" s="821"/>
      <c r="D613" s="821"/>
      <c r="E613" s="821"/>
      <c r="F613" s="821"/>
      <c r="G613" s="821"/>
      <c r="H613" s="821"/>
      <c r="I613" s="821"/>
      <c r="J613" s="821"/>
      <c r="K613" s="821"/>
      <c r="L613" s="821"/>
      <c r="M613" s="821"/>
      <c r="N613" s="821"/>
      <c r="O613" s="821"/>
      <c r="P613" s="821"/>
      <c r="Q613" s="821"/>
      <c r="R613" s="821"/>
      <c r="S613" s="821"/>
      <c r="T613" s="297"/>
      <c r="U613" s="297"/>
    </row>
    <row r="614" spans="1:21" ht="9" customHeight="1">
      <c r="A614" s="268">
        <v>213</v>
      </c>
      <c r="B614" s="156" t="s">
        <v>921</v>
      </c>
      <c r="C614" s="132" t="s">
        <v>1155</v>
      </c>
      <c r="D614" s="207" t="s">
        <v>1154</v>
      </c>
      <c r="E614" s="268" t="s">
        <v>616</v>
      </c>
      <c r="F614" s="268" t="s">
        <v>88</v>
      </c>
      <c r="G614" s="130">
        <v>2</v>
      </c>
      <c r="H614" s="130">
        <v>3</v>
      </c>
      <c r="I614" s="267">
        <v>965.8</v>
      </c>
      <c r="J614" s="267">
        <v>878.5</v>
      </c>
      <c r="K614" s="130">
        <v>42</v>
      </c>
      <c r="L614" s="205">
        <f>'Приложение 2 КСП 2018-2019 гг'!H615</f>
        <v>2728687.5</v>
      </c>
      <c r="M614" s="407">
        <v>0</v>
      </c>
      <c r="N614" s="407">
        <v>0</v>
      </c>
      <c r="O614" s="407">
        <v>0</v>
      </c>
      <c r="P614" s="407">
        <f t="shared" ref="P614:P615" si="139">L614</f>
        <v>2728687.5</v>
      </c>
      <c r="Q614" s="407">
        <v>0</v>
      </c>
      <c r="R614" s="407">
        <v>0</v>
      </c>
      <c r="S614" s="132" t="s">
        <v>590</v>
      </c>
      <c r="T614" s="126"/>
      <c r="U614" s="127"/>
    </row>
    <row r="615" spans="1:21" ht="9" customHeight="1">
      <c r="A615" s="268">
        <v>214</v>
      </c>
      <c r="B615" s="156" t="s">
        <v>922</v>
      </c>
      <c r="C615" s="132" t="s">
        <v>1155</v>
      </c>
      <c r="D615" s="207" t="s">
        <v>1154</v>
      </c>
      <c r="E615" s="268" t="s">
        <v>299</v>
      </c>
      <c r="F615" s="268" t="s">
        <v>88</v>
      </c>
      <c r="G615" s="130">
        <v>2</v>
      </c>
      <c r="H615" s="130">
        <v>3</v>
      </c>
      <c r="I615" s="267">
        <v>1018.8</v>
      </c>
      <c r="J615" s="267">
        <v>942.74</v>
      </c>
      <c r="K615" s="130">
        <v>68</v>
      </c>
      <c r="L615" s="205">
        <f>'Приложение 2 КСП 2018-2019 гг'!H616</f>
        <v>3178375.2</v>
      </c>
      <c r="M615" s="407">
        <v>0</v>
      </c>
      <c r="N615" s="407">
        <v>0</v>
      </c>
      <c r="O615" s="407">
        <v>0</v>
      </c>
      <c r="P615" s="407">
        <f t="shared" si="139"/>
        <v>3178375.2</v>
      </c>
      <c r="Q615" s="407">
        <v>0</v>
      </c>
      <c r="R615" s="407">
        <v>0</v>
      </c>
      <c r="S615" s="132" t="s">
        <v>590</v>
      </c>
      <c r="T615" s="126"/>
      <c r="U615" s="127"/>
    </row>
    <row r="616" spans="1:21" ht="38.25" customHeight="1">
      <c r="A616" s="946" t="s">
        <v>1004</v>
      </c>
      <c r="B616" s="946"/>
      <c r="C616" s="132"/>
      <c r="D616" s="265"/>
      <c r="E616" s="141" t="s">
        <v>391</v>
      </c>
      <c r="F616" s="141" t="s">
        <v>391</v>
      </c>
      <c r="G616" s="141" t="s">
        <v>391</v>
      </c>
      <c r="H616" s="141" t="s">
        <v>391</v>
      </c>
      <c r="I616" s="362">
        <f>SUM(I614:I615)</f>
        <v>1984.6</v>
      </c>
      <c r="J616" s="362">
        <f t="shared" ref="J616:R616" si="140">SUM(J614:J615)</f>
        <v>1821.24</v>
      </c>
      <c r="K616" s="362">
        <f t="shared" si="140"/>
        <v>110</v>
      </c>
      <c r="L616" s="362">
        <f t="shared" si="140"/>
        <v>5907062.7000000002</v>
      </c>
      <c r="M616" s="362">
        <f t="shared" si="140"/>
        <v>0</v>
      </c>
      <c r="N616" s="362">
        <f t="shared" si="140"/>
        <v>0</v>
      </c>
      <c r="O616" s="362">
        <f t="shared" si="140"/>
        <v>0</v>
      </c>
      <c r="P616" s="362">
        <f t="shared" si="140"/>
        <v>5907062.7000000002</v>
      </c>
      <c r="Q616" s="362">
        <f t="shared" si="140"/>
        <v>0</v>
      </c>
      <c r="R616" s="362">
        <f t="shared" si="140"/>
        <v>0</v>
      </c>
      <c r="S616" s="267"/>
      <c r="T616" s="266"/>
      <c r="U616" s="127"/>
    </row>
    <row r="617" spans="1:21" ht="9" customHeight="1">
      <c r="A617" s="821" t="s">
        <v>425</v>
      </c>
      <c r="B617" s="821"/>
      <c r="C617" s="821"/>
      <c r="D617" s="821"/>
      <c r="E617" s="821"/>
      <c r="F617" s="821"/>
      <c r="G617" s="821"/>
      <c r="H617" s="821"/>
      <c r="I617" s="821"/>
      <c r="J617" s="821"/>
      <c r="K617" s="821"/>
      <c r="L617" s="821"/>
      <c r="M617" s="821"/>
      <c r="N617" s="821"/>
      <c r="O617" s="821"/>
      <c r="P617" s="821"/>
      <c r="Q617" s="821"/>
      <c r="R617" s="821"/>
      <c r="S617" s="821"/>
      <c r="T617" s="297"/>
      <c r="U617" s="297"/>
    </row>
    <row r="618" spans="1:21" ht="9" customHeight="1">
      <c r="A618" s="268">
        <v>215</v>
      </c>
      <c r="B618" s="156" t="s">
        <v>924</v>
      </c>
      <c r="C618" s="132" t="s">
        <v>1155</v>
      </c>
      <c r="D618" s="207" t="s">
        <v>1154</v>
      </c>
      <c r="E618" s="268" t="s">
        <v>617</v>
      </c>
      <c r="F618" s="268" t="s">
        <v>88</v>
      </c>
      <c r="G618" s="130">
        <v>2</v>
      </c>
      <c r="H618" s="130">
        <v>2</v>
      </c>
      <c r="I618" s="267">
        <v>647</v>
      </c>
      <c r="J618" s="267">
        <v>567.1</v>
      </c>
      <c r="K618" s="130">
        <v>30</v>
      </c>
      <c r="L618" s="205">
        <f>'Приложение 2 КСП 2018-2019 гг'!H619</f>
        <v>2003463</v>
      </c>
      <c r="M618" s="407">
        <v>0</v>
      </c>
      <c r="N618" s="407">
        <v>0</v>
      </c>
      <c r="O618" s="407">
        <v>0</v>
      </c>
      <c r="P618" s="407">
        <f t="shared" ref="P618" si="141">L618</f>
        <v>2003463</v>
      </c>
      <c r="Q618" s="407">
        <v>0</v>
      </c>
      <c r="R618" s="407">
        <v>0</v>
      </c>
      <c r="S618" s="132" t="s">
        <v>590</v>
      </c>
      <c r="T618" s="126"/>
      <c r="U618" s="127"/>
    </row>
    <row r="619" spans="1:21" ht="22.5" customHeight="1">
      <c r="A619" s="946" t="s">
        <v>424</v>
      </c>
      <c r="B619" s="946"/>
      <c r="C619" s="132"/>
      <c r="D619" s="265"/>
      <c r="E619" s="141" t="s">
        <v>391</v>
      </c>
      <c r="F619" s="141" t="s">
        <v>391</v>
      </c>
      <c r="G619" s="141" t="s">
        <v>391</v>
      </c>
      <c r="H619" s="141" t="s">
        <v>391</v>
      </c>
      <c r="I619" s="362">
        <f>SUM(I618)</f>
        <v>647</v>
      </c>
      <c r="J619" s="362">
        <f t="shared" ref="J619:R619" si="142">SUM(J618)</f>
        <v>567.1</v>
      </c>
      <c r="K619" s="362">
        <f t="shared" si="142"/>
        <v>30</v>
      </c>
      <c r="L619" s="362">
        <f t="shared" si="142"/>
        <v>2003463</v>
      </c>
      <c r="M619" s="362">
        <f t="shared" si="142"/>
        <v>0</v>
      </c>
      <c r="N619" s="362">
        <f t="shared" si="142"/>
        <v>0</v>
      </c>
      <c r="O619" s="362">
        <f t="shared" si="142"/>
        <v>0</v>
      </c>
      <c r="P619" s="362">
        <f t="shared" si="142"/>
        <v>2003463</v>
      </c>
      <c r="Q619" s="362">
        <f t="shared" si="142"/>
        <v>0</v>
      </c>
      <c r="R619" s="362">
        <f t="shared" si="142"/>
        <v>0</v>
      </c>
      <c r="S619" s="267"/>
      <c r="T619" s="126"/>
      <c r="U619" s="126"/>
    </row>
    <row r="620" spans="1:21" ht="9.75" customHeight="1">
      <c r="A620" s="821" t="s">
        <v>352</v>
      </c>
      <c r="B620" s="821"/>
      <c r="C620" s="821"/>
      <c r="D620" s="821"/>
      <c r="E620" s="821"/>
      <c r="F620" s="821"/>
      <c r="G620" s="821"/>
      <c r="H620" s="821"/>
      <c r="I620" s="821"/>
      <c r="J620" s="821"/>
      <c r="K620" s="821"/>
      <c r="L620" s="821"/>
      <c r="M620" s="821"/>
      <c r="N620" s="821"/>
      <c r="O620" s="821"/>
      <c r="P620" s="821"/>
      <c r="Q620" s="821"/>
      <c r="R620" s="821"/>
      <c r="S620" s="821"/>
      <c r="T620" s="297"/>
      <c r="U620" s="297"/>
    </row>
    <row r="621" spans="1:21" ht="9" customHeight="1">
      <c r="A621" s="268">
        <v>216</v>
      </c>
      <c r="B621" s="265" t="s">
        <v>926</v>
      </c>
      <c r="C621" s="132" t="s">
        <v>1155</v>
      </c>
      <c r="D621" s="207" t="s">
        <v>1154</v>
      </c>
      <c r="E621" s="268" t="s">
        <v>107</v>
      </c>
      <c r="F621" s="268" t="s">
        <v>88</v>
      </c>
      <c r="G621" s="130">
        <v>2</v>
      </c>
      <c r="H621" s="130">
        <v>1</v>
      </c>
      <c r="I621" s="268">
        <v>286.62</v>
      </c>
      <c r="J621" s="268">
        <v>265.62</v>
      </c>
      <c r="K621" s="130">
        <v>6</v>
      </c>
      <c r="L621" s="205">
        <f>'Приложение 2 КСП 2018-2019 гг'!H622</f>
        <v>908754</v>
      </c>
      <c r="M621" s="407">
        <v>0</v>
      </c>
      <c r="N621" s="407">
        <v>0</v>
      </c>
      <c r="O621" s="407">
        <v>0</v>
      </c>
      <c r="P621" s="407">
        <f t="shared" ref="P621:P622" si="143">L621</f>
        <v>908754</v>
      </c>
      <c r="Q621" s="407">
        <v>0</v>
      </c>
      <c r="R621" s="407">
        <v>0</v>
      </c>
      <c r="S621" s="132" t="s">
        <v>590</v>
      </c>
      <c r="T621" s="126"/>
      <c r="U621" s="127"/>
    </row>
    <row r="622" spans="1:21" ht="9" customHeight="1">
      <c r="A622" s="268">
        <v>217</v>
      </c>
      <c r="B622" s="265" t="s">
        <v>927</v>
      </c>
      <c r="C622" s="132" t="s">
        <v>1155</v>
      </c>
      <c r="D622" s="207" t="s">
        <v>1154</v>
      </c>
      <c r="E622" s="268" t="s">
        <v>746</v>
      </c>
      <c r="F622" s="268" t="s">
        <v>90</v>
      </c>
      <c r="G622" s="130">
        <v>2</v>
      </c>
      <c r="H622" s="130">
        <v>2</v>
      </c>
      <c r="I622" s="267">
        <v>679.66</v>
      </c>
      <c r="J622" s="267">
        <v>641.38</v>
      </c>
      <c r="K622" s="130">
        <v>21</v>
      </c>
      <c r="L622" s="205">
        <f>'Приложение 2 КСП 2018-2019 гг'!H623</f>
        <v>1817508</v>
      </c>
      <c r="M622" s="407">
        <v>0</v>
      </c>
      <c r="N622" s="407">
        <v>0</v>
      </c>
      <c r="O622" s="407">
        <v>0</v>
      </c>
      <c r="P622" s="407">
        <f t="shared" si="143"/>
        <v>1817508</v>
      </c>
      <c r="Q622" s="407">
        <v>0</v>
      </c>
      <c r="R622" s="407">
        <v>0</v>
      </c>
      <c r="S622" s="132" t="s">
        <v>590</v>
      </c>
      <c r="T622" s="126"/>
      <c r="U622" s="127"/>
    </row>
    <row r="623" spans="1:21" ht="24.75" customHeight="1">
      <c r="A623" s="946" t="s">
        <v>351</v>
      </c>
      <c r="B623" s="946"/>
      <c r="C623" s="132"/>
      <c r="D623" s="265"/>
      <c r="E623" s="141" t="s">
        <v>391</v>
      </c>
      <c r="F623" s="141" t="s">
        <v>391</v>
      </c>
      <c r="G623" s="141" t="s">
        <v>391</v>
      </c>
      <c r="H623" s="141" t="s">
        <v>391</v>
      </c>
      <c r="I623" s="141">
        <f>SUM(I621:I622)</f>
        <v>966.28</v>
      </c>
      <c r="J623" s="141">
        <f t="shared" ref="J623:R623" si="144">SUM(J621:J622)</f>
        <v>907</v>
      </c>
      <c r="K623" s="141">
        <f t="shared" si="144"/>
        <v>27</v>
      </c>
      <c r="L623" s="189">
        <f t="shared" si="144"/>
        <v>2726262</v>
      </c>
      <c r="M623" s="141">
        <f t="shared" si="144"/>
        <v>0</v>
      </c>
      <c r="N623" s="141">
        <f t="shared" si="144"/>
        <v>0</v>
      </c>
      <c r="O623" s="141">
        <f t="shared" si="144"/>
        <v>0</v>
      </c>
      <c r="P623" s="141">
        <f t="shared" si="144"/>
        <v>2726262</v>
      </c>
      <c r="Q623" s="141">
        <f t="shared" si="144"/>
        <v>0</v>
      </c>
      <c r="R623" s="141">
        <f t="shared" si="144"/>
        <v>0</v>
      </c>
      <c r="S623" s="267"/>
      <c r="T623" s="126"/>
      <c r="U623" s="127"/>
    </row>
    <row r="624" spans="1:21" ht="9" customHeight="1">
      <c r="A624" s="821" t="s">
        <v>433</v>
      </c>
      <c r="B624" s="821"/>
      <c r="C624" s="821"/>
      <c r="D624" s="821"/>
      <c r="E624" s="821"/>
      <c r="F624" s="821"/>
      <c r="G624" s="821"/>
      <c r="H624" s="821"/>
      <c r="I624" s="821"/>
      <c r="J624" s="821"/>
      <c r="K624" s="821"/>
      <c r="L624" s="821"/>
      <c r="M624" s="821"/>
      <c r="N624" s="821"/>
      <c r="O624" s="821"/>
      <c r="P624" s="821"/>
      <c r="Q624" s="821"/>
      <c r="R624" s="821"/>
      <c r="S624" s="821"/>
      <c r="T624" s="297"/>
      <c r="U624" s="297"/>
    </row>
    <row r="625" spans="1:21" ht="9" customHeight="1">
      <c r="A625" s="184">
        <v>218</v>
      </c>
      <c r="B625" s="185" t="s">
        <v>928</v>
      </c>
      <c r="C625" s="188" t="s">
        <v>1155</v>
      </c>
      <c r="D625" s="207" t="s">
        <v>1154</v>
      </c>
      <c r="E625" s="186" t="s">
        <v>608</v>
      </c>
      <c r="F625" s="186" t="s">
        <v>88</v>
      </c>
      <c r="G625" s="221">
        <v>2</v>
      </c>
      <c r="H625" s="221">
        <v>3</v>
      </c>
      <c r="I625" s="187">
        <v>1396.25</v>
      </c>
      <c r="J625" s="187">
        <v>851.45</v>
      </c>
      <c r="K625" s="186">
        <v>32</v>
      </c>
      <c r="L625" s="205">
        <f>'Приложение 2 КСП 2018-2019 гг'!H626</f>
        <v>258031.92</v>
      </c>
      <c r="M625" s="407">
        <v>0</v>
      </c>
      <c r="N625" s="407">
        <v>0</v>
      </c>
      <c r="O625" s="407">
        <v>0</v>
      </c>
      <c r="P625" s="407">
        <f t="shared" ref="P625:P627" si="145">L625</f>
        <v>258031.92</v>
      </c>
      <c r="Q625" s="407">
        <v>0</v>
      </c>
      <c r="R625" s="407">
        <v>0</v>
      </c>
      <c r="S625" s="132" t="s">
        <v>590</v>
      </c>
      <c r="T625" s="126"/>
      <c r="U625" s="127"/>
    </row>
    <row r="626" spans="1:21" ht="9" customHeight="1">
      <c r="A626" s="184">
        <v>219</v>
      </c>
      <c r="B626" s="185" t="s">
        <v>929</v>
      </c>
      <c r="C626" s="188" t="s">
        <v>1155</v>
      </c>
      <c r="D626" s="207" t="s">
        <v>1154</v>
      </c>
      <c r="E626" s="186" t="s">
        <v>618</v>
      </c>
      <c r="F626" s="186" t="s">
        <v>88</v>
      </c>
      <c r="G626" s="221">
        <v>2</v>
      </c>
      <c r="H626" s="221">
        <v>3</v>
      </c>
      <c r="I626" s="187">
        <v>1225.5</v>
      </c>
      <c r="J626" s="187">
        <v>869.8</v>
      </c>
      <c r="K626" s="221">
        <v>39</v>
      </c>
      <c r="L626" s="205">
        <f>'Приложение 2 КСП 2018-2019 гг'!H627</f>
        <v>2193489.5</v>
      </c>
      <c r="M626" s="407">
        <v>0</v>
      </c>
      <c r="N626" s="407">
        <v>0</v>
      </c>
      <c r="O626" s="407">
        <v>0</v>
      </c>
      <c r="P626" s="407">
        <f t="shared" si="145"/>
        <v>2193489.5</v>
      </c>
      <c r="Q626" s="407">
        <v>0</v>
      </c>
      <c r="R626" s="407">
        <v>0</v>
      </c>
      <c r="S626" s="132" t="s">
        <v>590</v>
      </c>
      <c r="T626" s="126"/>
      <c r="U626" s="127"/>
    </row>
    <row r="627" spans="1:21" ht="9" customHeight="1">
      <c r="A627" s="184">
        <v>220</v>
      </c>
      <c r="B627" s="185" t="s">
        <v>930</v>
      </c>
      <c r="C627" s="188" t="s">
        <v>1155</v>
      </c>
      <c r="D627" s="207" t="s">
        <v>1154</v>
      </c>
      <c r="E627" s="186" t="s">
        <v>0</v>
      </c>
      <c r="F627" s="186" t="s">
        <v>88</v>
      </c>
      <c r="G627" s="221">
        <v>2</v>
      </c>
      <c r="H627" s="221">
        <v>3</v>
      </c>
      <c r="I627" s="187">
        <v>1122.4000000000001</v>
      </c>
      <c r="J627" s="187">
        <v>893</v>
      </c>
      <c r="K627" s="221">
        <v>48</v>
      </c>
      <c r="L627" s="205">
        <f>'Приложение 2 КСП 2018-2019 гг'!H628</f>
        <v>270623.65000000002</v>
      </c>
      <c r="M627" s="407">
        <v>0</v>
      </c>
      <c r="N627" s="407">
        <v>0</v>
      </c>
      <c r="O627" s="407">
        <v>0</v>
      </c>
      <c r="P627" s="407">
        <f t="shared" si="145"/>
        <v>270623.65000000002</v>
      </c>
      <c r="Q627" s="407">
        <v>0</v>
      </c>
      <c r="R627" s="407">
        <v>0</v>
      </c>
      <c r="S627" s="132" t="s">
        <v>590</v>
      </c>
      <c r="T627" s="126"/>
      <c r="U627" s="127"/>
    </row>
    <row r="628" spans="1:21" ht="37.5" customHeight="1">
      <c r="A628" s="952" t="s">
        <v>434</v>
      </c>
      <c r="B628" s="952"/>
      <c r="C628" s="188"/>
      <c r="D628" s="271"/>
      <c r="E628" s="184" t="s">
        <v>391</v>
      </c>
      <c r="F628" s="184" t="s">
        <v>391</v>
      </c>
      <c r="G628" s="184" t="s">
        <v>391</v>
      </c>
      <c r="H628" s="184" t="s">
        <v>391</v>
      </c>
      <c r="I628" s="189">
        <f>SUM(I625:I627)</f>
        <v>3744.15</v>
      </c>
      <c r="J628" s="189">
        <f t="shared" ref="J628:R628" si="146">SUM(J625:J627)</f>
        <v>2614.25</v>
      </c>
      <c r="K628" s="189">
        <f t="shared" si="146"/>
        <v>119</v>
      </c>
      <c r="L628" s="189">
        <f t="shared" si="146"/>
        <v>2722145.07</v>
      </c>
      <c r="M628" s="189">
        <f t="shared" si="146"/>
        <v>0</v>
      </c>
      <c r="N628" s="189">
        <f t="shared" si="146"/>
        <v>0</v>
      </c>
      <c r="O628" s="189">
        <f t="shared" si="146"/>
        <v>0</v>
      </c>
      <c r="P628" s="189">
        <f t="shared" si="146"/>
        <v>2722145.07</v>
      </c>
      <c r="Q628" s="189">
        <f t="shared" si="146"/>
        <v>0</v>
      </c>
      <c r="R628" s="189">
        <f t="shared" si="146"/>
        <v>0</v>
      </c>
      <c r="S628" s="267"/>
      <c r="T628" s="303"/>
      <c r="U628" s="304"/>
    </row>
    <row r="629" spans="1:21" ht="9" customHeight="1">
      <c r="A629" s="823" t="s">
        <v>937</v>
      </c>
      <c r="B629" s="823"/>
      <c r="C629" s="823"/>
      <c r="D629" s="823"/>
      <c r="E629" s="823"/>
      <c r="F629" s="823"/>
      <c r="G629" s="823"/>
      <c r="H629" s="823"/>
      <c r="I629" s="823"/>
      <c r="J629" s="823"/>
      <c r="K629" s="823"/>
      <c r="L629" s="823"/>
      <c r="M629" s="823"/>
      <c r="N629" s="823"/>
      <c r="O629" s="823"/>
      <c r="P629" s="823"/>
      <c r="Q629" s="823"/>
      <c r="R629" s="823"/>
      <c r="S629" s="823"/>
      <c r="T629" s="326"/>
      <c r="U629" s="326"/>
    </row>
    <row r="630" spans="1:21" ht="9" customHeight="1">
      <c r="A630" s="271">
        <v>221</v>
      </c>
      <c r="B630" s="271" t="s">
        <v>938</v>
      </c>
      <c r="C630" s="188" t="s">
        <v>1155</v>
      </c>
      <c r="D630" s="207" t="s">
        <v>1154</v>
      </c>
      <c r="E630" s="184" t="s">
        <v>604</v>
      </c>
      <c r="F630" s="184" t="s">
        <v>88</v>
      </c>
      <c r="G630" s="219">
        <v>2</v>
      </c>
      <c r="H630" s="219">
        <v>2</v>
      </c>
      <c r="I630" s="189">
        <v>535</v>
      </c>
      <c r="J630" s="189">
        <v>493.7</v>
      </c>
      <c r="K630" s="189">
        <v>16</v>
      </c>
      <c r="L630" s="205">
        <f>'Приложение 2 КСП 2018-2019 гг'!H631</f>
        <v>1203048</v>
      </c>
      <c r="M630" s="407">
        <v>0</v>
      </c>
      <c r="N630" s="407">
        <v>0</v>
      </c>
      <c r="O630" s="407">
        <v>0</v>
      </c>
      <c r="P630" s="407">
        <f t="shared" ref="P630" si="147">L630</f>
        <v>1203048</v>
      </c>
      <c r="Q630" s="407">
        <v>0</v>
      </c>
      <c r="R630" s="407">
        <v>0</v>
      </c>
      <c r="S630" s="132" t="s">
        <v>590</v>
      </c>
      <c r="T630" s="126"/>
      <c r="U630" s="127"/>
    </row>
    <row r="631" spans="1:21" ht="36.75" customHeight="1">
      <c r="A631" s="952" t="s">
        <v>939</v>
      </c>
      <c r="B631" s="952"/>
      <c r="C631" s="188"/>
      <c r="D631" s="271"/>
      <c r="E631" s="184" t="s">
        <v>391</v>
      </c>
      <c r="F631" s="184" t="s">
        <v>391</v>
      </c>
      <c r="G631" s="184" t="s">
        <v>391</v>
      </c>
      <c r="H631" s="184" t="s">
        <v>391</v>
      </c>
      <c r="I631" s="189">
        <f>SUM(I630)</f>
        <v>535</v>
      </c>
      <c r="J631" s="189">
        <f t="shared" ref="J631:R631" si="148">SUM(J630)</f>
        <v>493.7</v>
      </c>
      <c r="K631" s="189">
        <f t="shared" si="148"/>
        <v>16</v>
      </c>
      <c r="L631" s="189">
        <f t="shared" si="148"/>
        <v>1203048</v>
      </c>
      <c r="M631" s="189">
        <f t="shared" si="148"/>
        <v>0</v>
      </c>
      <c r="N631" s="189">
        <f t="shared" si="148"/>
        <v>0</v>
      </c>
      <c r="O631" s="189">
        <f t="shared" si="148"/>
        <v>0</v>
      </c>
      <c r="P631" s="189">
        <f t="shared" si="148"/>
        <v>1203048</v>
      </c>
      <c r="Q631" s="189">
        <f t="shared" si="148"/>
        <v>0</v>
      </c>
      <c r="R631" s="189">
        <f t="shared" si="148"/>
        <v>0</v>
      </c>
      <c r="S631" s="189"/>
      <c r="T631" s="303"/>
      <c r="U631" s="304"/>
    </row>
    <row r="632" spans="1:21" ht="9" customHeight="1">
      <c r="A632" s="821" t="s">
        <v>361</v>
      </c>
      <c r="B632" s="821"/>
      <c r="C632" s="821"/>
      <c r="D632" s="821"/>
      <c r="E632" s="821"/>
      <c r="F632" s="821"/>
      <c r="G632" s="821"/>
      <c r="H632" s="821"/>
      <c r="I632" s="821"/>
      <c r="J632" s="821"/>
      <c r="K632" s="821"/>
      <c r="L632" s="821"/>
      <c r="M632" s="821"/>
      <c r="N632" s="821"/>
      <c r="O632" s="821"/>
      <c r="P632" s="821"/>
      <c r="Q632" s="821"/>
      <c r="R632" s="821"/>
      <c r="S632" s="821"/>
      <c r="T632" s="297"/>
      <c r="U632" s="297"/>
    </row>
    <row r="633" spans="1:21" ht="9" customHeight="1">
      <c r="A633" s="268">
        <v>222</v>
      </c>
      <c r="B633" s="156" t="s">
        <v>1031</v>
      </c>
      <c r="C633" s="358" t="s">
        <v>1155</v>
      </c>
      <c r="D633" s="207" t="s">
        <v>1154</v>
      </c>
      <c r="E633" s="268">
        <v>1977</v>
      </c>
      <c r="F633" s="268" t="s">
        <v>88</v>
      </c>
      <c r="G633" s="130">
        <v>2</v>
      </c>
      <c r="H633" s="268">
        <v>2</v>
      </c>
      <c r="I633" s="267">
        <v>919.7</v>
      </c>
      <c r="J633" s="267">
        <v>876.1</v>
      </c>
      <c r="K633" s="130">
        <v>40</v>
      </c>
      <c r="L633" s="205">
        <f>'Приложение 2 КСП 2018-2019 гг'!H634</f>
        <v>3027024</v>
      </c>
      <c r="M633" s="407">
        <v>0</v>
      </c>
      <c r="N633" s="407">
        <v>0</v>
      </c>
      <c r="O633" s="407">
        <v>0</v>
      </c>
      <c r="P633" s="407">
        <f t="shared" ref="P633:P634" si="149">L633</f>
        <v>3027024</v>
      </c>
      <c r="Q633" s="407">
        <v>0</v>
      </c>
      <c r="R633" s="407">
        <v>0</v>
      </c>
      <c r="S633" s="132" t="s">
        <v>590</v>
      </c>
      <c r="T633" s="126"/>
      <c r="U633" s="127"/>
    </row>
    <row r="634" spans="1:21" ht="9" customHeight="1">
      <c r="A634" s="268">
        <v>223</v>
      </c>
      <c r="B634" s="156" t="s">
        <v>1032</v>
      </c>
      <c r="C634" s="132" t="s">
        <v>1155</v>
      </c>
      <c r="D634" s="207" t="s">
        <v>1154</v>
      </c>
      <c r="E634" s="268">
        <v>1977</v>
      </c>
      <c r="F634" s="268" t="s">
        <v>88</v>
      </c>
      <c r="G634" s="130">
        <v>2</v>
      </c>
      <c r="H634" s="268">
        <v>1</v>
      </c>
      <c r="I634" s="267">
        <v>1043.06</v>
      </c>
      <c r="J634" s="267">
        <v>504.53</v>
      </c>
      <c r="K634" s="130">
        <v>34</v>
      </c>
      <c r="L634" s="205">
        <f>'Приложение 2 КСП 2018-2019 гг'!H635</f>
        <v>1649340</v>
      </c>
      <c r="M634" s="407">
        <v>0</v>
      </c>
      <c r="N634" s="407">
        <v>0</v>
      </c>
      <c r="O634" s="407">
        <v>0</v>
      </c>
      <c r="P634" s="407">
        <f t="shared" si="149"/>
        <v>1649340</v>
      </c>
      <c r="Q634" s="407">
        <v>0</v>
      </c>
      <c r="R634" s="407">
        <v>0</v>
      </c>
      <c r="S634" s="132" t="s">
        <v>590</v>
      </c>
      <c r="T634" s="126"/>
      <c r="U634" s="127"/>
    </row>
    <row r="635" spans="1:21" ht="35.25" customHeight="1">
      <c r="A635" s="946" t="s">
        <v>450</v>
      </c>
      <c r="B635" s="946"/>
      <c r="C635" s="132"/>
      <c r="D635" s="265"/>
      <c r="E635" s="141" t="s">
        <v>391</v>
      </c>
      <c r="F635" s="141" t="s">
        <v>391</v>
      </c>
      <c r="G635" s="141" t="s">
        <v>391</v>
      </c>
      <c r="H635" s="141" t="s">
        <v>391</v>
      </c>
      <c r="I635" s="362">
        <f>SUM(I633:I634)</f>
        <v>1962.76</v>
      </c>
      <c r="J635" s="362">
        <f t="shared" ref="J635:R635" si="150">SUM(J633:J634)</f>
        <v>1380.63</v>
      </c>
      <c r="K635" s="362">
        <f t="shared" si="150"/>
        <v>74</v>
      </c>
      <c r="L635" s="362">
        <f t="shared" si="150"/>
        <v>4676364</v>
      </c>
      <c r="M635" s="362">
        <f t="shared" si="150"/>
        <v>0</v>
      </c>
      <c r="N635" s="362">
        <f t="shared" si="150"/>
        <v>0</v>
      </c>
      <c r="O635" s="362">
        <f t="shared" si="150"/>
        <v>0</v>
      </c>
      <c r="P635" s="362">
        <f t="shared" si="150"/>
        <v>4676364</v>
      </c>
      <c r="Q635" s="362">
        <f t="shared" si="150"/>
        <v>0</v>
      </c>
      <c r="R635" s="362">
        <f t="shared" si="150"/>
        <v>0</v>
      </c>
      <c r="S635" s="267"/>
      <c r="T635" s="126"/>
      <c r="U635" s="127"/>
    </row>
    <row r="636" spans="1:21" ht="9" customHeight="1">
      <c r="A636" s="821" t="s">
        <v>431</v>
      </c>
      <c r="B636" s="821"/>
      <c r="C636" s="821"/>
      <c r="D636" s="821"/>
      <c r="E636" s="821"/>
      <c r="F636" s="821"/>
      <c r="G636" s="821"/>
      <c r="H636" s="821"/>
      <c r="I636" s="821"/>
      <c r="J636" s="821"/>
      <c r="K636" s="821"/>
      <c r="L636" s="821"/>
      <c r="M636" s="821"/>
      <c r="N636" s="821"/>
      <c r="O636" s="821"/>
      <c r="P636" s="821"/>
      <c r="Q636" s="821"/>
      <c r="R636" s="821"/>
      <c r="S636" s="821"/>
      <c r="T636" s="297"/>
      <c r="U636" s="297"/>
    </row>
    <row r="637" spans="1:21" ht="9" customHeight="1">
      <c r="A637" s="268">
        <v>224</v>
      </c>
      <c r="B637" s="156" t="s">
        <v>942</v>
      </c>
      <c r="C637" s="132" t="s">
        <v>1155</v>
      </c>
      <c r="D637" s="207" t="s">
        <v>1154</v>
      </c>
      <c r="E637" s="268" t="s">
        <v>600</v>
      </c>
      <c r="F637" s="268" t="s">
        <v>88</v>
      </c>
      <c r="G637" s="130">
        <v>2</v>
      </c>
      <c r="H637" s="130">
        <v>1</v>
      </c>
      <c r="I637" s="149">
        <v>407.5</v>
      </c>
      <c r="J637" s="149">
        <v>370.4</v>
      </c>
      <c r="K637" s="130">
        <v>25</v>
      </c>
      <c r="L637" s="205">
        <f>'Приложение 2 КСП 2018-2019 гг'!H638</f>
        <v>1002216.6</v>
      </c>
      <c r="M637" s="407">
        <v>0</v>
      </c>
      <c r="N637" s="407">
        <v>0</v>
      </c>
      <c r="O637" s="407">
        <v>0</v>
      </c>
      <c r="P637" s="407">
        <f t="shared" ref="P637:P638" si="151">L637</f>
        <v>1002216.6</v>
      </c>
      <c r="Q637" s="407">
        <v>0</v>
      </c>
      <c r="R637" s="407">
        <v>0</v>
      </c>
      <c r="S637" s="132" t="s">
        <v>590</v>
      </c>
      <c r="T637" s="126"/>
      <c r="U637" s="127"/>
    </row>
    <row r="638" spans="1:21" ht="9" customHeight="1">
      <c r="A638" s="268">
        <v>225</v>
      </c>
      <c r="B638" s="156" t="s">
        <v>943</v>
      </c>
      <c r="C638" s="132" t="s">
        <v>1155</v>
      </c>
      <c r="D638" s="207" t="s">
        <v>1154</v>
      </c>
      <c r="E638" s="268" t="s">
        <v>608</v>
      </c>
      <c r="F638" s="268" t="s">
        <v>88</v>
      </c>
      <c r="G638" s="130">
        <v>2</v>
      </c>
      <c r="H638" s="130">
        <v>3</v>
      </c>
      <c r="I638" s="149">
        <v>814.5</v>
      </c>
      <c r="J638" s="149">
        <v>728</v>
      </c>
      <c r="K638" s="130">
        <v>35</v>
      </c>
      <c r="L638" s="205">
        <f>'Приложение 2 КСП 2018-2019 гг'!H639</f>
        <v>2003139.6</v>
      </c>
      <c r="M638" s="407">
        <v>0</v>
      </c>
      <c r="N638" s="407">
        <v>0</v>
      </c>
      <c r="O638" s="407">
        <v>0</v>
      </c>
      <c r="P638" s="407">
        <f t="shared" si="151"/>
        <v>2003139.6</v>
      </c>
      <c r="Q638" s="407">
        <v>0</v>
      </c>
      <c r="R638" s="407">
        <v>0</v>
      </c>
      <c r="S638" s="132" t="s">
        <v>590</v>
      </c>
      <c r="T638" s="126"/>
      <c r="U638" s="127"/>
    </row>
    <row r="639" spans="1:21" ht="35.25" customHeight="1">
      <c r="A639" s="946" t="s">
        <v>432</v>
      </c>
      <c r="B639" s="946"/>
      <c r="C639" s="132"/>
      <c r="D639" s="265"/>
      <c r="E639" s="141" t="s">
        <v>391</v>
      </c>
      <c r="F639" s="141" t="s">
        <v>391</v>
      </c>
      <c r="G639" s="141" t="s">
        <v>391</v>
      </c>
      <c r="H639" s="141" t="s">
        <v>391</v>
      </c>
      <c r="I639" s="142">
        <f>SUM(I637:I638)</f>
        <v>1222</v>
      </c>
      <c r="J639" s="142">
        <f t="shared" ref="J639:R639" si="152">SUM(J637:J638)</f>
        <v>1098.4000000000001</v>
      </c>
      <c r="K639" s="142">
        <f t="shared" si="152"/>
        <v>60</v>
      </c>
      <c r="L639" s="362">
        <f t="shared" si="152"/>
        <v>3005356.2</v>
      </c>
      <c r="M639" s="142">
        <f t="shared" si="152"/>
        <v>0</v>
      </c>
      <c r="N639" s="142">
        <f t="shared" si="152"/>
        <v>0</v>
      </c>
      <c r="O639" s="142">
        <f t="shared" si="152"/>
        <v>0</v>
      </c>
      <c r="P639" s="142">
        <f t="shared" si="152"/>
        <v>3005356.2</v>
      </c>
      <c r="Q639" s="142">
        <f t="shared" si="152"/>
        <v>0</v>
      </c>
      <c r="R639" s="142">
        <f t="shared" si="152"/>
        <v>0</v>
      </c>
      <c r="S639" s="267"/>
      <c r="T639" s="126"/>
      <c r="U639" s="127"/>
    </row>
    <row r="640" spans="1:21" ht="9" customHeight="1">
      <c r="A640" s="826" t="s">
        <v>3</v>
      </c>
      <c r="B640" s="826"/>
      <c r="C640" s="826"/>
      <c r="D640" s="826"/>
      <c r="E640" s="826"/>
      <c r="F640" s="826"/>
      <c r="G640" s="826"/>
      <c r="H640" s="826"/>
      <c r="I640" s="826"/>
      <c r="J640" s="826"/>
      <c r="K640" s="826"/>
      <c r="L640" s="826"/>
      <c r="M640" s="826"/>
      <c r="N640" s="826"/>
      <c r="O640" s="826"/>
      <c r="P640" s="826"/>
      <c r="Q640" s="826"/>
      <c r="R640" s="826"/>
      <c r="S640" s="826"/>
      <c r="T640" s="328"/>
      <c r="U640" s="328"/>
    </row>
    <row r="641" spans="1:22" ht="9" customHeight="1">
      <c r="A641" s="191">
        <v>226</v>
      </c>
      <c r="B641" s="192" t="s">
        <v>946</v>
      </c>
      <c r="C641" s="196" t="s">
        <v>1155</v>
      </c>
      <c r="D641" s="207" t="s">
        <v>1154</v>
      </c>
      <c r="E641" s="191" t="s">
        <v>612</v>
      </c>
      <c r="F641" s="191" t="s">
        <v>88</v>
      </c>
      <c r="G641" s="220">
        <v>2</v>
      </c>
      <c r="H641" s="220">
        <v>3</v>
      </c>
      <c r="I641" s="195">
        <v>1144.96</v>
      </c>
      <c r="J641" s="195">
        <v>1072.3800000000001</v>
      </c>
      <c r="K641" s="195">
        <v>20</v>
      </c>
      <c r="L641" s="205">
        <f>'Приложение 2 КСП 2018-2019 гг'!H642</f>
        <v>2858856</v>
      </c>
      <c r="M641" s="407">
        <v>0</v>
      </c>
      <c r="N641" s="407">
        <v>0</v>
      </c>
      <c r="O641" s="407">
        <v>0</v>
      </c>
      <c r="P641" s="407">
        <f t="shared" ref="P641" si="153">L641</f>
        <v>2858856</v>
      </c>
      <c r="Q641" s="407">
        <v>0</v>
      </c>
      <c r="R641" s="407">
        <v>0</v>
      </c>
      <c r="S641" s="132" t="s">
        <v>590</v>
      </c>
      <c r="T641" s="126"/>
      <c r="U641" s="127"/>
    </row>
    <row r="642" spans="1:22" ht="24" customHeight="1">
      <c r="A642" s="953" t="s">
        <v>6</v>
      </c>
      <c r="B642" s="953"/>
      <c r="C642" s="196"/>
      <c r="D642" s="272"/>
      <c r="E642" s="141" t="s">
        <v>391</v>
      </c>
      <c r="F642" s="141" t="s">
        <v>391</v>
      </c>
      <c r="G642" s="141" t="s">
        <v>391</v>
      </c>
      <c r="H642" s="141" t="s">
        <v>391</v>
      </c>
      <c r="I642" s="362">
        <f>SUM(I641)</f>
        <v>1144.96</v>
      </c>
      <c r="J642" s="362">
        <f t="shared" ref="J642:R642" si="154">SUM(J641)</f>
        <v>1072.3800000000001</v>
      </c>
      <c r="K642" s="362">
        <f t="shared" si="154"/>
        <v>20</v>
      </c>
      <c r="L642" s="362">
        <f t="shared" si="154"/>
        <v>2858856</v>
      </c>
      <c r="M642" s="362">
        <f t="shared" si="154"/>
        <v>0</v>
      </c>
      <c r="N642" s="362">
        <f t="shared" si="154"/>
        <v>0</v>
      </c>
      <c r="O642" s="362">
        <f t="shared" si="154"/>
        <v>0</v>
      </c>
      <c r="P642" s="362">
        <f t="shared" si="154"/>
        <v>2858856</v>
      </c>
      <c r="Q642" s="362">
        <f t="shared" si="154"/>
        <v>0</v>
      </c>
      <c r="R642" s="362">
        <f t="shared" si="154"/>
        <v>0</v>
      </c>
      <c r="S642" s="195"/>
      <c r="T642" s="305"/>
      <c r="U642" s="306"/>
      <c r="V642" s="296"/>
    </row>
    <row r="643" spans="1:22" ht="9" customHeight="1">
      <c r="A643" s="823" t="s">
        <v>11</v>
      </c>
      <c r="B643" s="823"/>
      <c r="C643" s="823"/>
      <c r="D643" s="823"/>
      <c r="E643" s="823"/>
      <c r="F643" s="823"/>
      <c r="G643" s="823"/>
      <c r="H643" s="823"/>
      <c r="I643" s="823"/>
      <c r="J643" s="823"/>
      <c r="K643" s="823"/>
      <c r="L643" s="823"/>
      <c r="M643" s="823"/>
      <c r="N643" s="823"/>
      <c r="O643" s="823"/>
      <c r="P643" s="823"/>
      <c r="Q643" s="823"/>
      <c r="R643" s="823"/>
      <c r="S643" s="823"/>
      <c r="T643" s="326"/>
      <c r="U643" s="326"/>
      <c r="V643" s="296"/>
    </row>
    <row r="644" spans="1:22" ht="9" customHeight="1">
      <c r="A644" s="166">
        <v>227</v>
      </c>
      <c r="B644" s="170" t="s">
        <v>953</v>
      </c>
      <c r="C644" s="174" t="s">
        <v>1155</v>
      </c>
      <c r="D644" s="207" t="s">
        <v>1154</v>
      </c>
      <c r="E644" s="166" t="s">
        <v>219</v>
      </c>
      <c r="F644" s="191" t="s">
        <v>88</v>
      </c>
      <c r="G644" s="190">
        <v>1</v>
      </c>
      <c r="H644" s="190">
        <v>1</v>
      </c>
      <c r="I644" s="167">
        <v>249.8</v>
      </c>
      <c r="J644" s="167">
        <v>234.8</v>
      </c>
      <c r="K644" s="190">
        <v>10</v>
      </c>
      <c r="L644" s="205">
        <f>'Приложение 2 КСП 2018-2019 гг'!H645</f>
        <v>572418</v>
      </c>
      <c r="M644" s="407">
        <v>0</v>
      </c>
      <c r="N644" s="407">
        <v>0</v>
      </c>
      <c r="O644" s="407">
        <v>0</v>
      </c>
      <c r="P644" s="407">
        <f t="shared" ref="P644:P645" si="155">L644</f>
        <v>572418</v>
      </c>
      <c r="Q644" s="407">
        <v>0</v>
      </c>
      <c r="R644" s="407">
        <v>0</v>
      </c>
      <c r="S644" s="132" t="s">
        <v>590</v>
      </c>
      <c r="T644" s="126"/>
      <c r="U644" s="127"/>
      <c r="V644" s="296"/>
    </row>
    <row r="645" spans="1:22" ht="9" customHeight="1">
      <c r="A645" s="166">
        <v>228</v>
      </c>
      <c r="B645" s="170" t="s">
        <v>954</v>
      </c>
      <c r="C645" s="174" t="s">
        <v>1155</v>
      </c>
      <c r="D645" s="207" t="s">
        <v>1154</v>
      </c>
      <c r="E645" s="166" t="s">
        <v>754</v>
      </c>
      <c r="F645" s="191" t="s">
        <v>776</v>
      </c>
      <c r="G645" s="190">
        <v>2</v>
      </c>
      <c r="H645" s="190">
        <v>3</v>
      </c>
      <c r="I645" s="167">
        <v>185.2</v>
      </c>
      <c r="J645" s="167">
        <v>176.2</v>
      </c>
      <c r="K645" s="190">
        <v>9</v>
      </c>
      <c r="L645" s="205">
        <f>'Приложение 2 КСП 2018-2019 гг'!H646</f>
        <v>633864</v>
      </c>
      <c r="M645" s="407">
        <v>0</v>
      </c>
      <c r="N645" s="407">
        <v>0</v>
      </c>
      <c r="O645" s="407">
        <v>0</v>
      </c>
      <c r="P645" s="407">
        <f t="shared" si="155"/>
        <v>633864</v>
      </c>
      <c r="Q645" s="407">
        <v>0</v>
      </c>
      <c r="R645" s="407">
        <v>0</v>
      </c>
      <c r="S645" s="132" t="s">
        <v>590</v>
      </c>
      <c r="T645" s="126"/>
      <c r="U645" s="127"/>
      <c r="V645" s="296"/>
    </row>
    <row r="646" spans="1:22" ht="9" customHeight="1">
      <c r="A646" s="166">
        <v>229</v>
      </c>
      <c r="B646" s="170" t="s">
        <v>955</v>
      </c>
      <c r="C646" s="174" t="s">
        <v>1155</v>
      </c>
      <c r="D646" s="207" t="s">
        <v>1154</v>
      </c>
      <c r="E646" s="166" t="s">
        <v>754</v>
      </c>
      <c r="F646" s="191" t="s">
        <v>88</v>
      </c>
      <c r="G646" s="190">
        <v>1</v>
      </c>
      <c r="H646" s="190">
        <v>1</v>
      </c>
      <c r="I646" s="167">
        <v>524.79999999999995</v>
      </c>
      <c r="J646" s="167">
        <v>487.2</v>
      </c>
      <c r="K646" s="190">
        <v>14</v>
      </c>
      <c r="L646" s="205">
        <f>'Приложение 2 КСП 2018-2019 гг'!H647</f>
        <v>1131900</v>
      </c>
      <c r="M646" s="407">
        <v>0</v>
      </c>
      <c r="N646" s="407">
        <v>0</v>
      </c>
      <c r="O646" s="407">
        <v>0</v>
      </c>
      <c r="P646" s="407">
        <f t="shared" ref="P646:P647" si="156">L646</f>
        <v>1131900</v>
      </c>
      <c r="Q646" s="407">
        <v>0</v>
      </c>
      <c r="R646" s="407">
        <v>0</v>
      </c>
      <c r="S646" s="132" t="s">
        <v>590</v>
      </c>
      <c r="T646" s="126"/>
      <c r="U646" s="127"/>
      <c r="V646" s="296"/>
    </row>
    <row r="647" spans="1:22" ht="9" customHeight="1">
      <c r="A647" s="166">
        <v>230</v>
      </c>
      <c r="B647" s="170" t="s">
        <v>956</v>
      </c>
      <c r="C647" s="174" t="s">
        <v>1155</v>
      </c>
      <c r="D647" s="207" t="s">
        <v>1154</v>
      </c>
      <c r="E647" s="166" t="s">
        <v>754</v>
      </c>
      <c r="F647" s="191" t="s">
        <v>776</v>
      </c>
      <c r="G647" s="190">
        <v>1</v>
      </c>
      <c r="H647" s="190">
        <v>1</v>
      </c>
      <c r="I647" s="167">
        <v>271.10000000000002</v>
      </c>
      <c r="J647" s="167">
        <v>261.89999999999998</v>
      </c>
      <c r="K647" s="190" t="s">
        <v>1030</v>
      </c>
      <c r="L647" s="205">
        <f>'Приложение 2 КСП 2018-2019 гг'!H648</f>
        <v>937860</v>
      </c>
      <c r="M647" s="407">
        <v>0</v>
      </c>
      <c r="N647" s="407">
        <v>0</v>
      </c>
      <c r="O647" s="407">
        <v>0</v>
      </c>
      <c r="P647" s="407">
        <f t="shared" si="156"/>
        <v>937860</v>
      </c>
      <c r="Q647" s="407">
        <v>0</v>
      </c>
      <c r="R647" s="407">
        <v>0</v>
      </c>
      <c r="S647" s="132" t="s">
        <v>590</v>
      </c>
      <c r="T647" s="126"/>
      <c r="U647" s="127"/>
      <c r="V647" s="296"/>
    </row>
    <row r="648" spans="1:22" ht="9" customHeight="1">
      <c r="A648" s="166">
        <v>231</v>
      </c>
      <c r="B648" s="170" t="s">
        <v>957</v>
      </c>
      <c r="C648" s="174" t="s">
        <v>1155</v>
      </c>
      <c r="D648" s="207" t="s">
        <v>1154</v>
      </c>
      <c r="E648" s="166" t="s">
        <v>748</v>
      </c>
      <c r="F648" s="191" t="s">
        <v>88</v>
      </c>
      <c r="G648" s="190">
        <v>2</v>
      </c>
      <c r="H648" s="190">
        <v>1</v>
      </c>
      <c r="I648" s="167">
        <v>331.2</v>
      </c>
      <c r="J648" s="167">
        <v>312.5</v>
      </c>
      <c r="K648" s="190">
        <v>21</v>
      </c>
      <c r="L648" s="205">
        <f>'Приложение 2 КСП 2018-2019 гг'!H649</f>
        <v>892584</v>
      </c>
      <c r="M648" s="407">
        <v>0</v>
      </c>
      <c r="N648" s="407">
        <v>0</v>
      </c>
      <c r="O648" s="407">
        <v>0</v>
      </c>
      <c r="P648" s="407">
        <f t="shared" ref="P648" si="157">L648</f>
        <v>892584</v>
      </c>
      <c r="Q648" s="407">
        <v>0</v>
      </c>
      <c r="R648" s="407">
        <v>0</v>
      </c>
      <c r="S648" s="132" t="s">
        <v>590</v>
      </c>
      <c r="T648" s="126"/>
      <c r="U648" s="127"/>
      <c r="V648" s="296"/>
    </row>
    <row r="649" spans="1:22" ht="36.75" customHeight="1">
      <c r="A649" s="950" t="s">
        <v>12</v>
      </c>
      <c r="B649" s="950"/>
      <c r="C649" s="174"/>
      <c r="D649" s="270"/>
      <c r="E649" s="141" t="s">
        <v>391</v>
      </c>
      <c r="F649" s="141" t="s">
        <v>391</v>
      </c>
      <c r="G649" s="141" t="s">
        <v>391</v>
      </c>
      <c r="H649" s="141" t="s">
        <v>391</v>
      </c>
      <c r="I649" s="362">
        <f>SUM(I644:I648)</f>
        <v>1562.1000000000001</v>
      </c>
      <c r="J649" s="362">
        <f t="shared" ref="J649:R649" si="158">SUM(J644:J648)</f>
        <v>1472.6</v>
      </c>
      <c r="K649" s="362">
        <f t="shared" si="158"/>
        <v>54</v>
      </c>
      <c r="L649" s="362">
        <f t="shared" si="158"/>
        <v>4168626</v>
      </c>
      <c r="M649" s="362">
        <f t="shared" si="158"/>
        <v>0</v>
      </c>
      <c r="N649" s="362">
        <f t="shared" si="158"/>
        <v>0</v>
      </c>
      <c r="O649" s="362">
        <f t="shared" si="158"/>
        <v>0</v>
      </c>
      <c r="P649" s="362">
        <f t="shared" si="158"/>
        <v>4168626</v>
      </c>
      <c r="Q649" s="362">
        <f t="shared" si="158"/>
        <v>0</v>
      </c>
      <c r="R649" s="362">
        <f t="shared" si="158"/>
        <v>0</v>
      </c>
      <c r="S649" s="267"/>
      <c r="T649" s="298"/>
      <c r="U649" s="307"/>
      <c r="V649" s="296"/>
    </row>
    <row r="650" spans="1:22" ht="9" customHeight="1">
      <c r="A650" s="823" t="s">
        <v>392</v>
      </c>
      <c r="B650" s="823"/>
      <c r="C650" s="823"/>
      <c r="D650" s="823"/>
      <c r="E650" s="823"/>
      <c r="F650" s="823"/>
      <c r="G650" s="823"/>
      <c r="H650" s="823"/>
      <c r="I650" s="823"/>
      <c r="J650" s="823"/>
      <c r="K650" s="823"/>
      <c r="L650" s="823"/>
      <c r="M650" s="823"/>
      <c r="N650" s="823"/>
      <c r="O650" s="823"/>
      <c r="P650" s="823"/>
      <c r="Q650" s="823"/>
      <c r="R650" s="823"/>
      <c r="S650" s="823"/>
      <c r="T650" s="326"/>
      <c r="U650" s="326"/>
      <c r="V650" s="296"/>
    </row>
    <row r="651" spans="1:22" ht="9" customHeight="1">
      <c r="A651" s="166">
        <v>232</v>
      </c>
      <c r="B651" s="170" t="s">
        <v>959</v>
      </c>
      <c r="C651" s="174" t="s">
        <v>1155</v>
      </c>
      <c r="D651" s="207" t="s">
        <v>1154</v>
      </c>
      <c r="E651" s="166" t="s">
        <v>89</v>
      </c>
      <c r="F651" s="166" t="s">
        <v>88</v>
      </c>
      <c r="G651" s="260">
        <v>2</v>
      </c>
      <c r="H651" s="190">
        <v>1</v>
      </c>
      <c r="I651" s="199">
        <v>200</v>
      </c>
      <c r="J651" s="199">
        <v>164.9</v>
      </c>
      <c r="K651" s="190">
        <v>10</v>
      </c>
      <c r="L651" s="205">
        <f>'Приложение 2 КСП 2018-2019 гг'!H652</f>
        <v>581149.80000000005</v>
      </c>
      <c r="M651" s="407">
        <v>0</v>
      </c>
      <c r="N651" s="407">
        <v>0</v>
      </c>
      <c r="O651" s="407">
        <v>0</v>
      </c>
      <c r="P651" s="407">
        <f t="shared" ref="P651" si="159">L651</f>
        <v>581149.80000000005</v>
      </c>
      <c r="Q651" s="407">
        <v>0</v>
      </c>
      <c r="R651" s="407">
        <v>0</v>
      </c>
      <c r="S651" s="132" t="s">
        <v>590</v>
      </c>
      <c r="T651" s="126"/>
      <c r="U651" s="127"/>
      <c r="V651" s="296"/>
    </row>
    <row r="652" spans="1:22" ht="36" customHeight="1">
      <c r="A652" s="950" t="s">
        <v>21</v>
      </c>
      <c r="B652" s="950"/>
      <c r="C652" s="174"/>
      <c r="D652" s="270"/>
      <c r="E652" s="141" t="s">
        <v>391</v>
      </c>
      <c r="F652" s="141" t="s">
        <v>391</v>
      </c>
      <c r="G652" s="141" t="s">
        <v>391</v>
      </c>
      <c r="H652" s="141" t="s">
        <v>391</v>
      </c>
      <c r="I652" s="142">
        <f>SUM(I651)</f>
        <v>200</v>
      </c>
      <c r="J652" s="142">
        <f t="shared" ref="J652:R652" si="160">SUM(J651)</f>
        <v>164.9</v>
      </c>
      <c r="K652" s="142">
        <f t="shared" si="160"/>
        <v>10</v>
      </c>
      <c r="L652" s="142">
        <f t="shared" si="160"/>
        <v>581149.80000000005</v>
      </c>
      <c r="M652" s="142">
        <f t="shared" si="160"/>
        <v>0</v>
      </c>
      <c r="N652" s="142">
        <f t="shared" si="160"/>
        <v>0</v>
      </c>
      <c r="O652" s="142">
        <f t="shared" si="160"/>
        <v>0</v>
      </c>
      <c r="P652" s="142">
        <f t="shared" si="160"/>
        <v>581149.80000000005</v>
      </c>
      <c r="Q652" s="142">
        <f t="shared" si="160"/>
        <v>0</v>
      </c>
      <c r="R652" s="142">
        <f t="shared" si="160"/>
        <v>0</v>
      </c>
      <c r="S652" s="267"/>
      <c r="T652" s="298"/>
      <c r="U652" s="340"/>
      <c r="V652" s="296"/>
    </row>
    <row r="653" spans="1:22" ht="9" customHeight="1">
      <c r="A653" s="823" t="s">
        <v>437</v>
      </c>
      <c r="B653" s="823"/>
      <c r="C653" s="823"/>
      <c r="D653" s="823"/>
      <c r="E653" s="823"/>
      <c r="F653" s="823"/>
      <c r="G653" s="823"/>
      <c r="H653" s="823"/>
      <c r="I653" s="823"/>
      <c r="J653" s="823"/>
      <c r="K653" s="823"/>
      <c r="L653" s="823"/>
      <c r="M653" s="823"/>
      <c r="N653" s="823"/>
      <c r="O653" s="823"/>
      <c r="P653" s="823"/>
      <c r="Q653" s="823"/>
      <c r="R653" s="823"/>
      <c r="S653" s="823"/>
      <c r="T653" s="326"/>
      <c r="U653" s="326"/>
      <c r="V653" s="296"/>
    </row>
    <row r="654" spans="1:22" ht="9" customHeight="1">
      <c r="A654" s="268">
        <v>233</v>
      </c>
      <c r="B654" s="156" t="s">
        <v>1070</v>
      </c>
      <c r="C654" s="132" t="s">
        <v>1155</v>
      </c>
      <c r="D654" s="278" t="s">
        <v>1153</v>
      </c>
      <c r="E654" s="268" t="s">
        <v>605</v>
      </c>
      <c r="F654" s="268" t="s">
        <v>88</v>
      </c>
      <c r="G654" s="130">
        <v>2</v>
      </c>
      <c r="H654" s="130">
        <v>2</v>
      </c>
      <c r="I654" s="267">
        <v>907.5</v>
      </c>
      <c r="J654" s="267">
        <v>907.5</v>
      </c>
      <c r="K654" s="130">
        <v>48</v>
      </c>
      <c r="L654" s="205">
        <f>'Приложение 2 КСП 2018-2019 гг'!H655</f>
        <v>2133026.52</v>
      </c>
      <c r="M654" s="407">
        <v>0</v>
      </c>
      <c r="N654" s="407">
        <v>0</v>
      </c>
      <c r="O654" s="407">
        <v>0</v>
      </c>
      <c r="P654" s="407">
        <f t="shared" ref="P654" si="161">L654</f>
        <v>2133026.52</v>
      </c>
      <c r="Q654" s="407">
        <v>0</v>
      </c>
      <c r="R654" s="407">
        <v>0</v>
      </c>
      <c r="S654" s="132" t="s">
        <v>590</v>
      </c>
      <c r="T654" s="126"/>
      <c r="U654" s="127"/>
      <c r="V654" s="296"/>
    </row>
    <row r="655" spans="1:22" ht="35.25" customHeight="1">
      <c r="A655" s="946" t="s">
        <v>438</v>
      </c>
      <c r="B655" s="946"/>
      <c r="C655" s="132"/>
      <c r="D655" s="265"/>
      <c r="E655" s="141" t="s">
        <v>391</v>
      </c>
      <c r="F655" s="141" t="s">
        <v>391</v>
      </c>
      <c r="G655" s="141" t="s">
        <v>391</v>
      </c>
      <c r="H655" s="141" t="s">
        <v>391</v>
      </c>
      <c r="I655" s="362">
        <f>SUM(I654)</f>
        <v>907.5</v>
      </c>
      <c r="J655" s="362">
        <f t="shared" ref="J655:R655" si="162">SUM(J654)</f>
        <v>907.5</v>
      </c>
      <c r="K655" s="362">
        <f t="shared" si="162"/>
        <v>48</v>
      </c>
      <c r="L655" s="362">
        <f t="shared" si="162"/>
        <v>2133026.52</v>
      </c>
      <c r="M655" s="362">
        <f t="shared" si="162"/>
        <v>0</v>
      </c>
      <c r="N655" s="362">
        <f t="shared" si="162"/>
        <v>0</v>
      </c>
      <c r="O655" s="362">
        <f t="shared" si="162"/>
        <v>0</v>
      </c>
      <c r="P655" s="362">
        <f t="shared" si="162"/>
        <v>2133026.52</v>
      </c>
      <c r="Q655" s="362">
        <f t="shared" si="162"/>
        <v>0</v>
      </c>
      <c r="R655" s="362">
        <f t="shared" si="162"/>
        <v>0</v>
      </c>
      <c r="S655" s="267"/>
      <c r="T655" s="126"/>
      <c r="U655" s="340"/>
      <c r="V655" s="296"/>
    </row>
    <row r="656" spans="1:22" ht="9" customHeight="1">
      <c r="A656" s="823" t="s">
        <v>429</v>
      </c>
      <c r="B656" s="823"/>
      <c r="C656" s="823"/>
      <c r="D656" s="823"/>
      <c r="E656" s="823"/>
      <c r="F656" s="823"/>
      <c r="G656" s="823"/>
      <c r="H656" s="823"/>
      <c r="I656" s="823"/>
      <c r="J656" s="823"/>
      <c r="K656" s="823"/>
      <c r="L656" s="823"/>
      <c r="M656" s="823"/>
      <c r="N656" s="823"/>
      <c r="O656" s="823"/>
      <c r="P656" s="823"/>
      <c r="Q656" s="823"/>
      <c r="R656" s="823"/>
      <c r="S656" s="823"/>
      <c r="T656" s="326"/>
      <c r="U656" s="326"/>
      <c r="V656" s="296"/>
    </row>
    <row r="657" spans="1:22" ht="9" customHeight="1">
      <c r="A657" s="268">
        <v>234</v>
      </c>
      <c r="B657" s="156" t="s">
        <v>961</v>
      </c>
      <c r="C657" s="132" t="s">
        <v>1155</v>
      </c>
      <c r="D657" s="207" t="s">
        <v>1154</v>
      </c>
      <c r="E657" s="268" t="s">
        <v>746</v>
      </c>
      <c r="F657" s="268" t="s">
        <v>90</v>
      </c>
      <c r="G657" s="130">
        <v>3</v>
      </c>
      <c r="H657" s="130">
        <v>3</v>
      </c>
      <c r="I657" s="267">
        <v>1571.55</v>
      </c>
      <c r="J657" s="267">
        <v>1477.42</v>
      </c>
      <c r="K657" s="267">
        <v>42</v>
      </c>
      <c r="L657" s="205">
        <f>'Приложение 2 КСП 2018-2019 гг'!H658</f>
        <v>2988216</v>
      </c>
      <c r="M657" s="407">
        <v>0</v>
      </c>
      <c r="N657" s="407">
        <v>0</v>
      </c>
      <c r="O657" s="407">
        <v>0</v>
      </c>
      <c r="P657" s="407">
        <f t="shared" ref="P657" si="163">L657</f>
        <v>2988216</v>
      </c>
      <c r="Q657" s="407">
        <v>0</v>
      </c>
      <c r="R657" s="407">
        <v>0</v>
      </c>
      <c r="S657" s="132" t="s">
        <v>590</v>
      </c>
      <c r="T657" s="126"/>
      <c r="U657" s="127"/>
      <c r="V657" s="296"/>
    </row>
    <row r="658" spans="1:22" ht="38.25" customHeight="1">
      <c r="A658" s="946" t="s">
        <v>430</v>
      </c>
      <c r="B658" s="946"/>
      <c r="C658" s="132"/>
      <c r="D658" s="265"/>
      <c r="E658" s="141" t="s">
        <v>391</v>
      </c>
      <c r="F658" s="141" t="s">
        <v>391</v>
      </c>
      <c r="G658" s="141" t="s">
        <v>391</v>
      </c>
      <c r="H658" s="141" t="s">
        <v>391</v>
      </c>
      <c r="I658" s="362">
        <f>SUM(I657)</f>
        <v>1571.55</v>
      </c>
      <c r="J658" s="362">
        <f t="shared" ref="J658:R658" si="164">SUM(J657)</f>
        <v>1477.42</v>
      </c>
      <c r="K658" s="362">
        <f t="shared" si="164"/>
        <v>42</v>
      </c>
      <c r="L658" s="362">
        <f t="shared" si="164"/>
        <v>2988216</v>
      </c>
      <c r="M658" s="362">
        <f t="shared" si="164"/>
        <v>0</v>
      </c>
      <c r="N658" s="362">
        <f t="shared" si="164"/>
        <v>0</v>
      </c>
      <c r="O658" s="362">
        <f t="shared" si="164"/>
        <v>0</v>
      </c>
      <c r="P658" s="362">
        <f t="shared" si="164"/>
        <v>2988216</v>
      </c>
      <c r="Q658" s="362">
        <f t="shared" si="164"/>
        <v>0</v>
      </c>
      <c r="R658" s="362">
        <f t="shared" si="164"/>
        <v>0</v>
      </c>
      <c r="S658" s="267"/>
      <c r="T658" s="124"/>
      <c r="U658" s="127"/>
      <c r="V658" s="296"/>
    </row>
    <row r="659" spans="1:22" ht="9" customHeight="1">
      <c r="A659" s="821" t="s">
        <v>29</v>
      </c>
      <c r="B659" s="821"/>
      <c r="C659" s="821"/>
      <c r="D659" s="821"/>
      <c r="E659" s="821"/>
      <c r="F659" s="821"/>
      <c r="G659" s="821"/>
      <c r="H659" s="821"/>
      <c r="I659" s="821"/>
      <c r="J659" s="821"/>
      <c r="K659" s="821"/>
      <c r="L659" s="821"/>
      <c r="M659" s="821"/>
      <c r="N659" s="821"/>
      <c r="O659" s="821"/>
      <c r="P659" s="821"/>
      <c r="Q659" s="821"/>
      <c r="R659" s="821"/>
      <c r="S659" s="821"/>
      <c r="T659" s="297"/>
      <c r="U659" s="297"/>
      <c r="V659" s="296"/>
    </row>
    <row r="660" spans="1:22" ht="9" customHeight="1">
      <c r="A660" s="268">
        <v>235</v>
      </c>
      <c r="B660" s="156" t="s">
        <v>966</v>
      </c>
      <c r="C660" s="132" t="s">
        <v>1155</v>
      </c>
      <c r="D660" s="207" t="s">
        <v>1154</v>
      </c>
      <c r="E660" s="268" t="s">
        <v>746</v>
      </c>
      <c r="F660" s="268" t="s">
        <v>88</v>
      </c>
      <c r="G660" s="130">
        <v>2</v>
      </c>
      <c r="H660" s="130">
        <v>3</v>
      </c>
      <c r="I660" s="267">
        <v>989.8</v>
      </c>
      <c r="J660" s="267">
        <v>901.2</v>
      </c>
      <c r="K660" s="130">
        <v>41</v>
      </c>
      <c r="L660" s="205">
        <f>'Приложение 2 КСП 2018-2019 гг'!H661</f>
        <v>2606604</v>
      </c>
      <c r="M660" s="407">
        <v>0</v>
      </c>
      <c r="N660" s="407">
        <v>0</v>
      </c>
      <c r="O660" s="407">
        <v>0</v>
      </c>
      <c r="P660" s="407">
        <f t="shared" ref="P660:P661" si="165">L660</f>
        <v>2606604</v>
      </c>
      <c r="Q660" s="407">
        <v>0</v>
      </c>
      <c r="R660" s="407">
        <v>0</v>
      </c>
      <c r="S660" s="132" t="s">
        <v>590</v>
      </c>
      <c r="T660" s="126"/>
      <c r="U660" s="127"/>
      <c r="V660" s="296"/>
    </row>
    <row r="661" spans="1:22" ht="9" customHeight="1">
      <c r="A661" s="268">
        <v>236</v>
      </c>
      <c r="B661" s="156" t="s">
        <v>967</v>
      </c>
      <c r="C661" s="132" t="s">
        <v>1155</v>
      </c>
      <c r="D661" s="207" t="s">
        <v>1154</v>
      </c>
      <c r="E661" s="268" t="s">
        <v>745</v>
      </c>
      <c r="F661" s="268" t="s">
        <v>88</v>
      </c>
      <c r="G661" s="130">
        <v>2</v>
      </c>
      <c r="H661" s="130">
        <v>2</v>
      </c>
      <c r="I661" s="267">
        <v>546.1</v>
      </c>
      <c r="J661" s="267">
        <v>502.1</v>
      </c>
      <c r="K661" s="130">
        <v>22</v>
      </c>
      <c r="L661" s="205">
        <f>'Приложение 2 КСП 2018-2019 гг'!H662</f>
        <v>1529682</v>
      </c>
      <c r="M661" s="407">
        <v>0</v>
      </c>
      <c r="N661" s="407">
        <v>0</v>
      </c>
      <c r="O661" s="407">
        <v>0</v>
      </c>
      <c r="P661" s="407">
        <f t="shared" si="165"/>
        <v>1529682</v>
      </c>
      <c r="Q661" s="407">
        <v>0</v>
      </c>
      <c r="R661" s="407">
        <v>0</v>
      </c>
      <c r="S661" s="132" t="s">
        <v>590</v>
      </c>
      <c r="T661" s="126"/>
      <c r="U661" s="127"/>
      <c r="V661" s="296"/>
    </row>
    <row r="662" spans="1:22" ht="36" customHeight="1">
      <c r="A662" s="946" t="s">
        <v>30</v>
      </c>
      <c r="B662" s="946"/>
      <c r="C662" s="132"/>
      <c r="D662" s="265"/>
      <c r="E662" s="141" t="s">
        <v>391</v>
      </c>
      <c r="F662" s="141" t="s">
        <v>391</v>
      </c>
      <c r="G662" s="141" t="s">
        <v>391</v>
      </c>
      <c r="H662" s="141" t="s">
        <v>391</v>
      </c>
      <c r="I662" s="362">
        <f>SUM(I660:I661)</f>
        <v>1535.9</v>
      </c>
      <c r="J662" s="362">
        <f t="shared" ref="J662:R662" si="166">SUM(J660:J661)</f>
        <v>1403.3000000000002</v>
      </c>
      <c r="K662" s="362">
        <f t="shared" si="166"/>
        <v>63</v>
      </c>
      <c r="L662" s="362">
        <f t="shared" si="166"/>
        <v>4136286</v>
      </c>
      <c r="M662" s="362">
        <f t="shared" si="166"/>
        <v>0</v>
      </c>
      <c r="N662" s="362">
        <f t="shared" si="166"/>
        <v>0</v>
      </c>
      <c r="O662" s="362">
        <f t="shared" si="166"/>
        <v>0</v>
      </c>
      <c r="P662" s="362">
        <f t="shared" si="166"/>
        <v>4136286</v>
      </c>
      <c r="Q662" s="362">
        <f t="shared" si="166"/>
        <v>0</v>
      </c>
      <c r="R662" s="362">
        <f t="shared" si="166"/>
        <v>0</v>
      </c>
      <c r="S662" s="267"/>
      <c r="T662" s="126"/>
      <c r="U662" s="127"/>
      <c r="V662" s="296"/>
    </row>
    <row r="663" spans="1:22" ht="9" customHeight="1">
      <c r="A663" s="821" t="s">
        <v>35</v>
      </c>
      <c r="B663" s="821"/>
      <c r="C663" s="821"/>
      <c r="D663" s="821"/>
      <c r="E663" s="821"/>
      <c r="F663" s="821"/>
      <c r="G663" s="821"/>
      <c r="H663" s="821"/>
      <c r="I663" s="821"/>
      <c r="J663" s="821"/>
      <c r="K663" s="821"/>
      <c r="L663" s="821"/>
      <c r="M663" s="821"/>
      <c r="N663" s="821"/>
      <c r="O663" s="821"/>
      <c r="P663" s="821"/>
      <c r="Q663" s="821"/>
      <c r="R663" s="821"/>
      <c r="S663" s="821"/>
      <c r="T663" s="297"/>
      <c r="U663" s="297"/>
      <c r="V663" s="296"/>
    </row>
    <row r="664" spans="1:22" ht="9" customHeight="1">
      <c r="A664" s="268">
        <v>237</v>
      </c>
      <c r="B664" s="156" t="s">
        <v>975</v>
      </c>
      <c r="C664" s="132" t="s">
        <v>1155</v>
      </c>
      <c r="D664" s="207" t="s">
        <v>1154</v>
      </c>
      <c r="E664" s="268" t="s">
        <v>107</v>
      </c>
      <c r="F664" s="268" t="s">
        <v>88</v>
      </c>
      <c r="G664" s="130">
        <v>2</v>
      </c>
      <c r="H664" s="130">
        <v>1</v>
      </c>
      <c r="I664" s="267">
        <v>317.7</v>
      </c>
      <c r="J664" s="267">
        <v>295.3</v>
      </c>
      <c r="K664" s="130">
        <v>11</v>
      </c>
      <c r="L664" s="205">
        <f>'Приложение 2 КСП 2018-2019 гг'!H665</f>
        <v>834372</v>
      </c>
      <c r="M664" s="407">
        <v>0</v>
      </c>
      <c r="N664" s="407">
        <v>0</v>
      </c>
      <c r="O664" s="407">
        <v>0</v>
      </c>
      <c r="P664" s="407">
        <f t="shared" ref="P664:P665" si="167">L664</f>
        <v>834372</v>
      </c>
      <c r="Q664" s="407">
        <v>0</v>
      </c>
      <c r="R664" s="407">
        <v>0</v>
      </c>
      <c r="S664" s="132" t="s">
        <v>590</v>
      </c>
      <c r="T664" s="126"/>
      <c r="U664" s="127"/>
      <c r="V664" s="296"/>
    </row>
    <row r="665" spans="1:22" ht="9" customHeight="1">
      <c r="A665" s="268">
        <v>238</v>
      </c>
      <c r="B665" s="156" t="s">
        <v>976</v>
      </c>
      <c r="C665" s="132" t="s">
        <v>1155</v>
      </c>
      <c r="D665" s="207" t="s">
        <v>1154</v>
      </c>
      <c r="E665" s="268" t="s">
        <v>600</v>
      </c>
      <c r="F665" s="268" t="s">
        <v>88</v>
      </c>
      <c r="G665" s="130">
        <v>2</v>
      </c>
      <c r="H665" s="130">
        <v>3</v>
      </c>
      <c r="I665" s="267">
        <v>1608.8</v>
      </c>
      <c r="J665" s="267">
        <v>1489.1</v>
      </c>
      <c r="K665" s="268">
        <v>54</v>
      </c>
      <c r="L665" s="205">
        <f>'Приложение 2 КСП 2018-2019 гг'!H666</f>
        <v>3253404</v>
      </c>
      <c r="M665" s="407">
        <v>0</v>
      </c>
      <c r="N665" s="407">
        <v>0</v>
      </c>
      <c r="O665" s="407">
        <v>0</v>
      </c>
      <c r="P665" s="407">
        <f t="shared" si="167"/>
        <v>3253404</v>
      </c>
      <c r="Q665" s="407">
        <v>0</v>
      </c>
      <c r="R665" s="407">
        <v>0</v>
      </c>
      <c r="S665" s="132" t="s">
        <v>590</v>
      </c>
      <c r="T665" s="126"/>
      <c r="U665" s="127"/>
      <c r="V665" s="296"/>
    </row>
    <row r="666" spans="1:22" ht="9" customHeight="1">
      <c r="A666" s="268">
        <v>239</v>
      </c>
      <c r="B666" s="156" t="s">
        <v>977</v>
      </c>
      <c r="C666" s="132" t="s">
        <v>1155</v>
      </c>
      <c r="D666" s="207" t="s">
        <v>1154</v>
      </c>
      <c r="E666" s="268" t="s">
        <v>600</v>
      </c>
      <c r="F666" s="268" t="s">
        <v>88</v>
      </c>
      <c r="G666" s="130">
        <v>2</v>
      </c>
      <c r="H666" s="130">
        <v>2</v>
      </c>
      <c r="I666" s="267">
        <v>685.5</v>
      </c>
      <c r="J666" s="267">
        <v>476.5</v>
      </c>
      <c r="K666" s="130">
        <v>31</v>
      </c>
      <c r="L666" s="205">
        <f>'Приложение 2 КСП 2018-2019 гг'!H667</f>
        <v>1663666</v>
      </c>
      <c r="M666" s="407">
        <v>0</v>
      </c>
      <c r="N666" s="407">
        <v>0</v>
      </c>
      <c r="O666" s="407">
        <v>0</v>
      </c>
      <c r="P666" s="407">
        <f t="shared" ref="P666:P667" si="168">L666</f>
        <v>1663666</v>
      </c>
      <c r="Q666" s="407">
        <v>0</v>
      </c>
      <c r="R666" s="407">
        <v>0</v>
      </c>
      <c r="S666" s="132" t="s">
        <v>590</v>
      </c>
      <c r="T666" s="126"/>
      <c r="U666" s="127"/>
      <c r="V666" s="296"/>
    </row>
    <row r="667" spans="1:22" ht="9" customHeight="1">
      <c r="A667" s="268">
        <v>240</v>
      </c>
      <c r="B667" s="156" t="s">
        <v>978</v>
      </c>
      <c r="C667" s="132" t="s">
        <v>1155</v>
      </c>
      <c r="D667" s="207" t="s">
        <v>1154</v>
      </c>
      <c r="E667" s="268" t="s">
        <v>604</v>
      </c>
      <c r="F667" s="268" t="s">
        <v>88</v>
      </c>
      <c r="G667" s="130">
        <v>2</v>
      </c>
      <c r="H667" s="130">
        <v>1</v>
      </c>
      <c r="I667" s="267">
        <v>1209.9000000000001</v>
      </c>
      <c r="J667" s="267">
        <v>975.4</v>
      </c>
      <c r="K667" s="130">
        <v>62</v>
      </c>
      <c r="L667" s="205">
        <f>'Приложение 2 КСП 2018-2019 гг'!H668</f>
        <v>2441670</v>
      </c>
      <c r="M667" s="407">
        <v>0</v>
      </c>
      <c r="N667" s="407">
        <v>0</v>
      </c>
      <c r="O667" s="407">
        <v>0</v>
      </c>
      <c r="P667" s="407">
        <f t="shared" si="168"/>
        <v>2441670</v>
      </c>
      <c r="Q667" s="407">
        <v>0</v>
      </c>
      <c r="R667" s="407">
        <v>0</v>
      </c>
      <c r="S667" s="132" t="s">
        <v>590</v>
      </c>
      <c r="T667" s="126"/>
      <c r="U667" s="127"/>
      <c r="V667" s="296"/>
    </row>
    <row r="668" spans="1:22" ht="9" customHeight="1">
      <c r="A668" s="268">
        <v>241</v>
      </c>
      <c r="B668" s="156" t="s">
        <v>979</v>
      </c>
      <c r="C668" s="132" t="s">
        <v>1155</v>
      </c>
      <c r="D668" s="207" t="s">
        <v>1154</v>
      </c>
      <c r="E668" s="268" t="s">
        <v>219</v>
      </c>
      <c r="F668" s="268" t="s">
        <v>88</v>
      </c>
      <c r="G668" s="130">
        <v>2</v>
      </c>
      <c r="H668" s="130">
        <v>1</v>
      </c>
      <c r="I668" s="267">
        <v>318.2</v>
      </c>
      <c r="J668" s="267">
        <v>297.60000000000002</v>
      </c>
      <c r="K668" s="130">
        <v>11</v>
      </c>
      <c r="L668" s="205">
        <f>'Приложение 2 КСП 2018-2019 гг'!H669</f>
        <v>630630</v>
      </c>
      <c r="M668" s="407">
        <v>0</v>
      </c>
      <c r="N668" s="407">
        <v>0</v>
      </c>
      <c r="O668" s="407">
        <v>0</v>
      </c>
      <c r="P668" s="407">
        <f t="shared" ref="P668" si="169">L668</f>
        <v>630630</v>
      </c>
      <c r="Q668" s="407">
        <v>0</v>
      </c>
      <c r="R668" s="407">
        <v>0</v>
      </c>
      <c r="S668" s="132" t="s">
        <v>590</v>
      </c>
      <c r="T668" s="126"/>
      <c r="U668" s="127"/>
      <c r="V668" s="296"/>
    </row>
    <row r="669" spans="1:22" ht="36.75" customHeight="1">
      <c r="A669" s="946" t="s">
        <v>36</v>
      </c>
      <c r="B669" s="946"/>
      <c r="C669" s="132"/>
      <c r="D669" s="265"/>
      <c r="E669" s="141" t="s">
        <v>391</v>
      </c>
      <c r="F669" s="141" t="s">
        <v>391</v>
      </c>
      <c r="G669" s="141" t="s">
        <v>391</v>
      </c>
      <c r="H669" s="141" t="s">
        <v>391</v>
      </c>
      <c r="I669" s="362">
        <f>SUM(I664:I668)</f>
        <v>4140.1000000000004</v>
      </c>
      <c r="J669" s="362">
        <f t="shared" ref="J669:R669" si="170">SUM(J664:J668)</f>
        <v>3533.8999999999996</v>
      </c>
      <c r="K669" s="362">
        <f t="shared" si="170"/>
        <v>169</v>
      </c>
      <c r="L669" s="362">
        <f t="shared" si="170"/>
        <v>8823742</v>
      </c>
      <c r="M669" s="362">
        <f t="shared" si="170"/>
        <v>0</v>
      </c>
      <c r="N669" s="362">
        <f t="shared" si="170"/>
        <v>0</v>
      </c>
      <c r="O669" s="362">
        <f t="shared" si="170"/>
        <v>0</v>
      </c>
      <c r="P669" s="362">
        <f t="shared" si="170"/>
        <v>8823742</v>
      </c>
      <c r="Q669" s="362">
        <f t="shared" si="170"/>
        <v>0</v>
      </c>
      <c r="R669" s="362">
        <f t="shared" si="170"/>
        <v>0</v>
      </c>
      <c r="S669" s="267"/>
      <c r="T669" s="126"/>
      <c r="U669" s="127"/>
      <c r="V669" s="296"/>
    </row>
    <row r="670" spans="1:22" ht="9" customHeight="1">
      <c r="A670" s="821" t="s">
        <v>40</v>
      </c>
      <c r="B670" s="821"/>
      <c r="C670" s="821"/>
      <c r="D670" s="821"/>
      <c r="E670" s="821"/>
      <c r="F670" s="821"/>
      <c r="G670" s="821"/>
      <c r="H670" s="821"/>
      <c r="I670" s="821"/>
      <c r="J670" s="821"/>
      <c r="K670" s="821"/>
      <c r="L670" s="821"/>
      <c r="M670" s="821"/>
      <c r="N670" s="821"/>
      <c r="O670" s="821"/>
      <c r="P670" s="821"/>
      <c r="Q670" s="821"/>
      <c r="R670" s="821"/>
      <c r="S670" s="821"/>
      <c r="T670" s="297"/>
      <c r="U670" s="297"/>
      <c r="V670" s="296"/>
    </row>
    <row r="671" spans="1:22" ht="9" customHeight="1">
      <c r="A671" s="268">
        <v>242</v>
      </c>
      <c r="B671" s="156" t="s">
        <v>999</v>
      </c>
      <c r="C671" s="132" t="s">
        <v>1155</v>
      </c>
      <c r="D671" s="207" t="s">
        <v>1154</v>
      </c>
      <c r="E671" s="268" t="s">
        <v>749</v>
      </c>
      <c r="F671" s="268" t="s">
        <v>776</v>
      </c>
      <c r="G671" s="130">
        <v>2</v>
      </c>
      <c r="H671" s="130">
        <v>2</v>
      </c>
      <c r="I671" s="267">
        <v>418.69</v>
      </c>
      <c r="J671" s="267">
        <v>373.12</v>
      </c>
      <c r="K671" s="130">
        <v>20</v>
      </c>
      <c r="L671" s="205">
        <f>'Приложение 2 КСП 2018-2019 гг'!H672</f>
        <v>1106028</v>
      </c>
      <c r="M671" s="407">
        <v>0</v>
      </c>
      <c r="N671" s="407">
        <v>0</v>
      </c>
      <c r="O671" s="407">
        <v>0</v>
      </c>
      <c r="P671" s="407">
        <f t="shared" ref="P671:P673" si="171">L671</f>
        <v>1106028</v>
      </c>
      <c r="Q671" s="407">
        <v>0</v>
      </c>
      <c r="R671" s="407">
        <v>0</v>
      </c>
      <c r="S671" s="132" t="s">
        <v>590</v>
      </c>
      <c r="T671" s="126"/>
      <c r="U671" s="127"/>
      <c r="V671" s="296"/>
    </row>
    <row r="672" spans="1:22" ht="9" customHeight="1">
      <c r="A672" s="268">
        <v>243</v>
      </c>
      <c r="B672" s="156" t="s">
        <v>1000</v>
      </c>
      <c r="C672" s="132" t="s">
        <v>1155</v>
      </c>
      <c r="D672" s="207" t="s">
        <v>1154</v>
      </c>
      <c r="E672" s="268" t="s">
        <v>981</v>
      </c>
      <c r="F672" s="268" t="s">
        <v>776</v>
      </c>
      <c r="G672" s="130">
        <v>2</v>
      </c>
      <c r="H672" s="130">
        <v>2</v>
      </c>
      <c r="I672" s="267">
        <v>417.37</v>
      </c>
      <c r="J672" s="267">
        <v>370.82</v>
      </c>
      <c r="K672" s="130">
        <v>18</v>
      </c>
      <c r="L672" s="205">
        <f>'Приложение 2 КСП 2018-2019 гг'!H673</f>
        <v>1106028</v>
      </c>
      <c r="M672" s="407">
        <v>0</v>
      </c>
      <c r="N672" s="407">
        <v>0</v>
      </c>
      <c r="O672" s="407">
        <v>0</v>
      </c>
      <c r="P672" s="407">
        <f t="shared" si="171"/>
        <v>1106028</v>
      </c>
      <c r="Q672" s="407">
        <v>0</v>
      </c>
      <c r="R672" s="407">
        <v>0</v>
      </c>
      <c r="S672" s="132" t="s">
        <v>590</v>
      </c>
      <c r="T672" s="126"/>
      <c r="U672" s="127"/>
      <c r="V672" s="296"/>
    </row>
    <row r="673" spans="1:22" ht="9" customHeight="1">
      <c r="A673" s="268">
        <v>244</v>
      </c>
      <c r="B673" s="156" t="s">
        <v>1001</v>
      </c>
      <c r="C673" s="132" t="s">
        <v>1155</v>
      </c>
      <c r="D673" s="207" t="s">
        <v>1154</v>
      </c>
      <c r="E673" s="268" t="s">
        <v>747</v>
      </c>
      <c r="F673" s="268" t="s">
        <v>776</v>
      </c>
      <c r="G673" s="130">
        <v>2</v>
      </c>
      <c r="H673" s="130">
        <v>2</v>
      </c>
      <c r="I673" s="267">
        <v>415.03</v>
      </c>
      <c r="J673" s="267">
        <v>369.15</v>
      </c>
      <c r="K673" s="130">
        <v>21</v>
      </c>
      <c r="L673" s="205">
        <f>'Приложение 2 КСП 2018-2019 гг'!H674</f>
        <v>1106028</v>
      </c>
      <c r="M673" s="407">
        <v>0</v>
      </c>
      <c r="N673" s="407">
        <v>0</v>
      </c>
      <c r="O673" s="407">
        <v>0</v>
      </c>
      <c r="P673" s="407">
        <f t="shared" si="171"/>
        <v>1106028</v>
      </c>
      <c r="Q673" s="407">
        <v>0</v>
      </c>
      <c r="R673" s="407">
        <v>0</v>
      </c>
      <c r="S673" s="132" t="s">
        <v>590</v>
      </c>
      <c r="T673" s="126"/>
      <c r="U673" s="127"/>
      <c r="V673" s="296"/>
    </row>
    <row r="674" spans="1:22" ht="48.75" customHeight="1">
      <c r="A674" s="946" t="s">
        <v>39</v>
      </c>
      <c r="B674" s="946"/>
      <c r="C674" s="132"/>
      <c r="D674" s="265"/>
      <c r="E674" s="141" t="s">
        <v>391</v>
      </c>
      <c r="F674" s="141" t="s">
        <v>391</v>
      </c>
      <c r="G674" s="141" t="s">
        <v>391</v>
      </c>
      <c r="H674" s="141" t="s">
        <v>391</v>
      </c>
      <c r="I674" s="362">
        <f>SUM(I671:I673)</f>
        <v>1251.0899999999999</v>
      </c>
      <c r="J674" s="362">
        <f t="shared" ref="J674:R674" si="172">SUM(J671:J673)</f>
        <v>1113.0900000000001</v>
      </c>
      <c r="K674" s="362">
        <f t="shared" si="172"/>
        <v>59</v>
      </c>
      <c r="L674" s="362">
        <f t="shared" si="172"/>
        <v>3318084</v>
      </c>
      <c r="M674" s="362">
        <f t="shared" si="172"/>
        <v>0</v>
      </c>
      <c r="N674" s="362">
        <f t="shared" si="172"/>
        <v>0</v>
      </c>
      <c r="O674" s="362">
        <f t="shared" si="172"/>
        <v>0</v>
      </c>
      <c r="P674" s="362">
        <f t="shared" si="172"/>
        <v>3318084</v>
      </c>
      <c r="Q674" s="362">
        <f t="shared" si="172"/>
        <v>0</v>
      </c>
      <c r="R674" s="362">
        <f t="shared" si="172"/>
        <v>0</v>
      </c>
      <c r="S674" s="267"/>
      <c r="T674" s="126"/>
      <c r="U674" s="127"/>
      <c r="V674" s="296"/>
    </row>
    <row r="675" spans="1:22" ht="9" customHeight="1">
      <c r="A675" s="821" t="s">
        <v>1075</v>
      </c>
      <c r="B675" s="821"/>
      <c r="C675" s="821"/>
      <c r="D675" s="821"/>
      <c r="E675" s="821"/>
      <c r="F675" s="821"/>
      <c r="G675" s="821"/>
      <c r="H675" s="821"/>
      <c r="I675" s="821"/>
      <c r="J675" s="821"/>
      <c r="K675" s="821"/>
      <c r="L675" s="821"/>
      <c r="M675" s="821"/>
      <c r="N675" s="821"/>
      <c r="O675" s="821"/>
      <c r="P675" s="821"/>
      <c r="Q675" s="821"/>
      <c r="R675" s="821"/>
      <c r="S675" s="821"/>
      <c r="T675" s="297"/>
      <c r="U675" s="297"/>
      <c r="V675" s="296"/>
    </row>
    <row r="676" spans="1:22" ht="9" customHeight="1">
      <c r="A676" s="265">
        <v>245</v>
      </c>
      <c r="B676" s="265" t="s">
        <v>1002</v>
      </c>
      <c r="C676" s="132" t="s">
        <v>1155</v>
      </c>
      <c r="D676" s="207" t="s">
        <v>1154</v>
      </c>
      <c r="E676" s="141" t="s">
        <v>614</v>
      </c>
      <c r="F676" s="141" t="s">
        <v>88</v>
      </c>
      <c r="G676" s="259">
        <v>2</v>
      </c>
      <c r="H676" s="259">
        <v>3</v>
      </c>
      <c r="I676" s="267">
        <v>918</v>
      </c>
      <c r="J676" s="267">
        <v>869</v>
      </c>
      <c r="K676" s="130">
        <v>25</v>
      </c>
      <c r="L676" s="205">
        <f>'Приложение 2 КСП 2018-2019 гг'!H677</f>
        <v>2147096</v>
      </c>
      <c r="M676" s="407">
        <v>0</v>
      </c>
      <c r="N676" s="407">
        <v>0</v>
      </c>
      <c r="O676" s="407">
        <v>0</v>
      </c>
      <c r="P676" s="407">
        <f t="shared" ref="P676" si="173">L676</f>
        <v>2147096</v>
      </c>
      <c r="Q676" s="407">
        <v>0</v>
      </c>
      <c r="R676" s="407">
        <v>0</v>
      </c>
      <c r="S676" s="132" t="s">
        <v>590</v>
      </c>
      <c r="T676" s="126"/>
      <c r="U676" s="127"/>
      <c r="V676" s="296"/>
    </row>
    <row r="677" spans="1:22" ht="28.5" customHeight="1">
      <c r="A677" s="946" t="s">
        <v>1076</v>
      </c>
      <c r="B677" s="946"/>
      <c r="C677" s="132"/>
      <c r="D677" s="265"/>
      <c r="E677" s="141" t="s">
        <v>391</v>
      </c>
      <c r="F677" s="141" t="s">
        <v>391</v>
      </c>
      <c r="G677" s="141" t="s">
        <v>391</v>
      </c>
      <c r="H677" s="141" t="s">
        <v>391</v>
      </c>
      <c r="I677" s="362">
        <f>SUM(I676)</f>
        <v>918</v>
      </c>
      <c r="J677" s="362">
        <f t="shared" ref="J677:R677" si="174">SUM(J676)</f>
        <v>869</v>
      </c>
      <c r="K677" s="362">
        <f t="shared" si="174"/>
        <v>25</v>
      </c>
      <c r="L677" s="362">
        <f t="shared" si="174"/>
        <v>2147096</v>
      </c>
      <c r="M677" s="362">
        <f t="shared" si="174"/>
        <v>0</v>
      </c>
      <c r="N677" s="362">
        <f t="shared" si="174"/>
        <v>0</v>
      </c>
      <c r="O677" s="362">
        <f t="shared" si="174"/>
        <v>0</v>
      </c>
      <c r="P677" s="362">
        <f t="shared" si="174"/>
        <v>2147096</v>
      </c>
      <c r="Q677" s="362">
        <f t="shared" si="174"/>
        <v>0</v>
      </c>
      <c r="R677" s="362">
        <f t="shared" si="174"/>
        <v>0</v>
      </c>
      <c r="S677" s="267"/>
      <c r="T677" s="126"/>
      <c r="U677" s="127"/>
      <c r="V677" s="296"/>
    </row>
    <row r="678" spans="1:22" ht="9" customHeight="1">
      <c r="A678" s="821" t="s">
        <v>45</v>
      </c>
      <c r="B678" s="821"/>
      <c r="C678" s="821"/>
      <c r="D678" s="821"/>
      <c r="E678" s="821"/>
      <c r="F678" s="821"/>
      <c r="G678" s="821"/>
      <c r="H678" s="821"/>
      <c r="I678" s="821"/>
      <c r="J678" s="821"/>
      <c r="K678" s="821"/>
      <c r="L678" s="821"/>
      <c r="M678" s="821"/>
      <c r="N678" s="821"/>
      <c r="O678" s="821"/>
      <c r="P678" s="821"/>
      <c r="Q678" s="821"/>
      <c r="R678" s="821"/>
      <c r="S678" s="821"/>
      <c r="T678" s="297"/>
      <c r="U678" s="297"/>
      <c r="V678" s="296"/>
    </row>
    <row r="679" spans="1:22" ht="9" customHeight="1">
      <c r="A679" s="268">
        <v>246</v>
      </c>
      <c r="B679" s="156" t="s">
        <v>991</v>
      </c>
      <c r="C679" s="132" t="s">
        <v>1155</v>
      </c>
      <c r="D679" s="207" t="s">
        <v>1154</v>
      </c>
      <c r="E679" s="268" t="s">
        <v>606</v>
      </c>
      <c r="F679" s="268" t="s">
        <v>88</v>
      </c>
      <c r="G679" s="130">
        <v>4</v>
      </c>
      <c r="H679" s="130">
        <v>2</v>
      </c>
      <c r="I679" s="267">
        <v>1357.3</v>
      </c>
      <c r="J679" s="267">
        <v>1205.5</v>
      </c>
      <c r="K679" s="130">
        <v>45</v>
      </c>
      <c r="L679" s="205">
        <f>'Приложение 2 КСП 2018-2019 гг'!H680</f>
        <v>1465002</v>
      </c>
      <c r="M679" s="407">
        <v>0</v>
      </c>
      <c r="N679" s="407">
        <v>0</v>
      </c>
      <c r="O679" s="407">
        <v>0</v>
      </c>
      <c r="P679" s="407">
        <f t="shared" ref="P679:P680" si="175">L679</f>
        <v>1465002</v>
      </c>
      <c r="Q679" s="407">
        <v>0</v>
      </c>
      <c r="R679" s="407">
        <v>0</v>
      </c>
      <c r="S679" s="132" t="s">
        <v>590</v>
      </c>
      <c r="T679" s="126"/>
      <c r="U679" s="127"/>
      <c r="V679" s="296"/>
    </row>
    <row r="680" spans="1:22" ht="9" customHeight="1">
      <c r="A680" s="268">
        <v>247</v>
      </c>
      <c r="B680" s="156" t="s">
        <v>992</v>
      </c>
      <c r="C680" s="132" t="s">
        <v>1155</v>
      </c>
      <c r="D680" s="207" t="s">
        <v>1154</v>
      </c>
      <c r="E680" s="268" t="s">
        <v>610</v>
      </c>
      <c r="F680" s="268" t="s">
        <v>88</v>
      </c>
      <c r="G680" s="130">
        <v>4</v>
      </c>
      <c r="H680" s="130">
        <v>2</v>
      </c>
      <c r="I680" s="267">
        <v>1326.3</v>
      </c>
      <c r="J680" s="267">
        <v>1151.7</v>
      </c>
      <c r="K680" s="130">
        <v>10</v>
      </c>
      <c r="L680" s="205">
        <f>'Приложение 2 КСП 2018-2019 гг'!H681</f>
        <v>1497342</v>
      </c>
      <c r="M680" s="407">
        <v>0</v>
      </c>
      <c r="N680" s="407">
        <v>0</v>
      </c>
      <c r="O680" s="407">
        <v>0</v>
      </c>
      <c r="P680" s="407">
        <f t="shared" si="175"/>
        <v>1497342</v>
      </c>
      <c r="Q680" s="407">
        <v>0</v>
      </c>
      <c r="R680" s="407">
        <v>0</v>
      </c>
      <c r="S680" s="132" t="s">
        <v>590</v>
      </c>
      <c r="T680" s="126"/>
      <c r="U680" s="127"/>
      <c r="V680" s="296"/>
    </row>
    <row r="681" spans="1:22" ht="9" customHeight="1">
      <c r="A681" s="406">
        <v>248</v>
      </c>
      <c r="B681" s="156" t="s">
        <v>993</v>
      </c>
      <c r="C681" s="132" t="s">
        <v>1155</v>
      </c>
      <c r="D681" s="207" t="s">
        <v>1154</v>
      </c>
      <c r="E681" s="268" t="s">
        <v>596</v>
      </c>
      <c r="F681" s="268" t="s">
        <v>88</v>
      </c>
      <c r="G681" s="130">
        <v>4</v>
      </c>
      <c r="H681" s="130">
        <v>2</v>
      </c>
      <c r="I681" s="267">
        <v>1361.6</v>
      </c>
      <c r="J681" s="267">
        <v>1264.8</v>
      </c>
      <c r="K681" s="130">
        <v>45</v>
      </c>
      <c r="L681" s="205">
        <f>'Приложение 2 КСП 2018-2019 гг'!H682</f>
        <v>1474704</v>
      </c>
      <c r="M681" s="407">
        <v>0</v>
      </c>
      <c r="N681" s="407">
        <v>0</v>
      </c>
      <c r="O681" s="407">
        <v>0</v>
      </c>
      <c r="P681" s="407">
        <f t="shared" ref="P681:P682" si="176">L681</f>
        <v>1474704</v>
      </c>
      <c r="Q681" s="407">
        <v>0</v>
      </c>
      <c r="R681" s="407">
        <v>0</v>
      </c>
      <c r="S681" s="132" t="s">
        <v>590</v>
      </c>
      <c r="T681" s="126"/>
      <c r="U681" s="127"/>
      <c r="V681" s="296"/>
    </row>
    <row r="682" spans="1:22" ht="9" customHeight="1">
      <c r="A682" s="406">
        <v>249</v>
      </c>
      <c r="B682" s="156" t="s">
        <v>994</v>
      </c>
      <c r="C682" s="132" t="s">
        <v>1155</v>
      </c>
      <c r="D682" s="207" t="s">
        <v>1154</v>
      </c>
      <c r="E682" s="268" t="s">
        <v>606</v>
      </c>
      <c r="F682" s="268" t="s">
        <v>88</v>
      </c>
      <c r="G682" s="130">
        <v>4</v>
      </c>
      <c r="H682" s="130">
        <v>2</v>
      </c>
      <c r="I682" s="267">
        <v>1361.1</v>
      </c>
      <c r="J682" s="267">
        <v>1195.5999999999999</v>
      </c>
      <c r="K682" s="130">
        <v>42</v>
      </c>
      <c r="L682" s="205">
        <f>'Приложение 2 КСП 2018-2019 гг'!H683</f>
        <v>1494108</v>
      </c>
      <c r="M682" s="407">
        <v>0</v>
      </c>
      <c r="N682" s="407">
        <v>0</v>
      </c>
      <c r="O682" s="407">
        <v>0</v>
      </c>
      <c r="P682" s="407">
        <f t="shared" si="176"/>
        <v>1494108</v>
      </c>
      <c r="Q682" s="407">
        <v>0</v>
      </c>
      <c r="R682" s="407">
        <v>0</v>
      </c>
      <c r="S682" s="132" t="s">
        <v>590</v>
      </c>
      <c r="T682" s="126"/>
      <c r="U682" s="127"/>
      <c r="V682" s="296"/>
    </row>
    <row r="683" spans="1:22" ht="9" customHeight="1">
      <c r="A683" s="406">
        <v>250</v>
      </c>
      <c r="B683" s="156" t="s">
        <v>995</v>
      </c>
      <c r="C683" s="132" t="s">
        <v>1155</v>
      </c>
      <c r="D683" s="207" t="s">
        <v>1154</v>
      </c>
      <c r="E683" s="268" t="s">
        <v>606</v>
      </c>
      <c r="F683" s="268" t="s">
        <v>88</v>
      </c>
      <c r="G683" s="130">
        <v>4</v>
      </c>
      <c r="H683" s="130">
        <v>2</v>
      </c>
      <c r="I683" s="267">
        <v>1364.8</v>
      </c>
      <c r="J683" s="267">
        <v>1268</v>
      </c>
      <c r="K683" s="130">
        <v>45</v>
      </c>
      <c r="L683" s="205">
        <f>'Приложение 2 КСП 2018-2019 гг'!H684</f>
        <v>1461768</v>
      </c>
      <c r="M683" s="407">
        <v>0</v>
      </c>
      <c r="N683" s="407">
        <v>0</v>
      </c>
      <c r="O683" s="407">
        <v>0</v>
      </c>
      <c r="P683" s="407">
        <f t="shared" ref="P683:P684" si="177">L683</f>
        <v>1461768</v>
      </c>
      <c r="Q683" s="407">
        <v>0</v>
      </c>
      <c r="R683" s="407">
        <v>0</v>
      </c>
      <c r="S683" s="132" t="s">
        <v>590</v>
      </c>
      <c r="T683" s="126"/>
      <c r="U683" s="127"/>
      <c r="V683" s="296"/>
    </row>
    <row r="684" spans="1:22" ht="9" customHeight="1">
      <c r="A684" s="406">
        <v>251</v>
      </c>
      <c r="B684" s="156" t="s">
        <v>996</v>
      </c>
      <c r="C684" s="132" t="s">
        <v>1155</v>
      </c>
      <c r="D684" s="207" t="s">
        <v>1154</v>
      </c>
      <c r="E684" s="268" t="s">
        <v>745</v>
      </c>
      <c r="F684" s="268" t="s">
        <v>88</v>
      </c>
      <c r="G684" s="130">
        <v>4</v>
      </c>
      <c r="H684" s="130">
        <v>2</v>
      </c>
      <c r="I684" s="267">
        <v>1367.6</v>
      </c>
      <c r="J684" s="267">
        <v>1279.5999999999999</v>
      </c>
      <c r="K684" s="130">
        <v>150</v>
      </c>
      <c r="L684" s="205">
        <f>'Приложение 2 КСП 2018-2019 гг'!H685</f>
        <v>1500576</v>
      </c>
      <c r="M684" s="407">
        <v>0</v>
      </c>
      <c r="N684" s="407">
        <v>0</v>
      </c>
      <c r="O684" s="407">
        <v>0</v>
      </c>
      <c r="P684" s="407">
        <f t="shared" si="177"/>
        <v>1500576</v>
      </c>
      <c r="Q684" s="407">
        <v>0</v>
      </c>
      <c r="R684" s="407">
        <v>0</v>
      </c>
      <c r="S684" s="132" t="s">
        <v>590</v>
      </c>
      <c r="T684" s="126"/>
      <c r="U684" s="127"/>
      <c r="V684" s="296"/>
    </row>
    <row r="685" spans="1:22" ht="9" customHeight="1">
      <c r="A685" s="406">
        <v>252</v>
      </c>
      <c r="B685" s="156" t="s">
        <v>997</v>
      </c>
      <c r="C685" s="132" t="s">
        <v>1155</v>
      </c>
      <c r="D685" s="207" t="s">
        <v>1154</v>
      </c>
      <c r="E685" s="268" t="s">
        <v>0</v>
      </c>
      <c r="F685" s="268" t="s">
        <v>88</v>
      </c>
      <c r="G685" s="130">
        <v>2</v>
      </c>
      <c r="H685" s="130">
        <v>2</v>
      </c>
      <c r="I685" s="267">
        <v>790</v>
      </c>
      <c r="J685" s="267">
        <v>727.4</v>
      </c>
      <c r="K685" s="130">
        <v>32</v>
      </c>
      <c r="L685" s="205">
        <f>'Приложение 2 КСП 2018-2019 гг'!H686</f>
        <v>1642872</v>
      </c>
      <c r="M685" s="407">
        <v>0</v>
      </c>
      <c r="N685" s="407">
        <v>0</v>
      </c>
      <c r="O685" s="407">
        <v>0</v>
      </c>
      <c r="P685" s="407">
        <f t="shared" ref="P685:P686" si="178">L685</f>
        <v>1642872</v>
      </c>
      <c r="Q685" s="407">
        <v>0</v>
      </c>
      <c r="R685" s="407">
        <v>0</v>
      </c>
      <c r="S685" s="132" t="s">
        <v>590</v>
      </c>
      <c r="T685" s="126"/>
      <c r="U685" s="127"/>
      <c r="V685" s="296"/>
    </row>
    <row r="686" spans="1:22" ht="9" customHeight="1">
      <c r="A686" s="406">
        <v>253</v>
      </c>
      <c r="B686" s="156" t="s">
        <v>998</v>
      </c>
      <c r="C686" s="132" t="s">
        <v>1155</v>
      </c>
      <c r="D686" s="207" t="s">
        <v>1154</v>
      </c>
      <c r="E686" s="268" t="s">
        <v>607</v>
      </c>
      <c r="F686" s="268" t="s">
        <v>88</v>
      </c>
      <c r="G686" s="130">
        <v>5</v>
      </c>
      <c r="H686" s="130">
        <v>4</v>
      </c>
      <c r="I686" s="267">
        <v>3136.9</v>
      </c>
      <c r="J686" s="267">
        <v>2785.4</v>
      </c>
      <c r="K686" s="130">
        <v>89</v>
      </c>
      <c r="L686" s="205">
        <f>'Приложение 2 КСП 2018-2019 гг'!H687</f>
        <v>2609838</v>
      </c>
      <c r="M686" s="407">
        <v>0</v>
      </c>
      <c r="N686" s="407">
        <v>0</v>
      </c>
      <c r="O686" s="407">
        <v>0</v>
      </c>
      <c r="P686" s="407">
        <f t="shared" si="178"/>
        <v>2609838</v>
      </c>
      <c r="Q686" s="407">
        <v>0</v>
      </c>
      <c r="R686" s="407">
        <v>0</v>
      </c>
      <c r="S686" s="132" t="s">
        <v>590</v>
      </c>
      <c r="T686" s="126"/>
      <c r="U686" s="127"/>
      <c r="V686" s="296"/>
    </row>
    <row r="687" spans="1:22" ht="22.5" customHeight="1">
      <c r="A687" s="946" t="s">
        <v>44</v>
      </c>
      <c r="B687" s="946"/>
      <c r="C687" s="132"/>
      <c r="D687" s="265"/>
      <c r="E687" s="141" t="s">
        <v>391</v>
      </c>
      <c r="F687" s="141" t="s">
        <v>391</v>
      </c>
      <c r="G687" s="141" t="s">
        <v>391</v>
      </c>
      <c r="H687" s="141" t="s">
        <v>391</v>
      </c>
      <c r="I687" s="362">
        <f>SUM(I679:I686)</f>
        <v>12065.599999999999</v>
      </c>
      <c r="J687" s="362">
        <f t="shared" ref="J687:R687" si="179">SUM(J679:J686)</f>
        <v>10878</v>
      </c>
      <c r="K687" s="362">
        <f t="shared" si="179"/>
        <v>458</v>
      </c>
      <c r="L687" s="362">
        <f t="shared" si="179"/>
        <v>13146210</v>
      </c>
      <c r="M687" s="362">
        <f t="shared" si="179"/>
        <v>0</v>
      </c>
      <c r="N687" s="362">
        <f t="shared" si="179"/>
        <v>0</v>
      </c>
      <c r="O687" s="362">
        <f t="shared" si="179"/>
        <v>0</v>
      </c>
      <c r="P687" s="362">
        <f t="shared" si="179"/>
        <v>13146210</v>
      </c>
      <c r="Q687" s="362">
        <f t="shared" si="179"/>
        <v>0</v>
      </c>
      <c r="R687" s="362">
        <f t="shared" si="179"/>
        <v>0</v>
      </c>
      <c r="S687" s="267"/>
      <c r="T687" s="126"/>
      <c r="U687" s="127"/>
      <c r="V687" s="296"/>
    </row>
    <row r="688" spans="1:22" ht="9" customHeight="1">
      <c r="A688" s="821" t="s">
        <v>1093</v>
      </c>
      <c r="B688" s="821"/>
      <c r="C688" s="821"/>
      <c r="D688" s="821"/>
      <c r="E688" s="821"/>
      <c r="F688" s="821"/>
      <c r="G688" s="821"/>
      <c r="H688" s="821"/>
      <c r="I688" s="821"/>
      <c r="J688" s="821"/>
      <c r="K688" s="821"/>
      <c r="L688" s="821"/>
      <c r="M688" s="821"/>
      <c r="N688" s="821"/>
      <c r="O688" s="821"/>
      <c r="P688" s="821"/>
      <c r="Q688" s="821"/>
      <c r="R688" s="821"/>
      <c r="S688" s="821"/>
      <c r="T688" s="297"/>
      <c r="U688" s="297"/>
      <c r="V688" s="296"/>
    </row>
    <row r="689" spans="1:22" ht="9" customHeight="1">
      <c r="A689" s="265">
        <v>254</v>
      </c>
      <c r="B689" s="265" t="s">
        <v>1003</v>
      </c>
      <c r="C689" s="132" t="s">
        <v>1155</v>
      </c>
      <c r="D689" s="207" t="s">
        <v>1154</v>
      </c>
      <c r="E689" s="141" t="s">
        <v>596</v>
      </c>
      <c r="F689" s="141" t="s">
        <v>88</v>
      </c>
      <c r="G689" s="259">
        <v>2</v>
      </c>
      <c r="H689" s="259">
        <v>2</v>
      </c>
      <c r="I689" s="267">
        <v>615.1</v>
      </c>
      <c r="J689" s="267">
        <v>545.1</v>
      </c>
      <c r="K689" s="268">
        <v>26</v>
      </c>
      <c r="L689" s="205">
        <f>'Приложение 2 КСП 2018-2019 гг'!H690</f>
        <v>1422960</v>
      </c>
      <c r="M689" s="407">
        <v>0</v>
      </c>
      <c r="N689" s="407">
        <v>0</v>
      </c>
      <c r="O689" s="407">
        <v>0</v>
      </c>
      <c r="P689" s="407">
        <f t="shared" ref="P689" si="180">L689</f>
        <v>1422960</v>
      </c>
      <c r="Q689" s="407">
        <v>0</v>
      </c>
      <c r="R689" s="407">
        <v>0</v>
      </c>
      <c r="S689" s="132" t="s">
        <v>590</v>
      </c>
      <c r="T689" s="126"/>
      <c r="U689" s="127"/>
      <c r="V689" s="296"/>
    </row>
    <row r="690" spans="1:22" ht="26.25" customHeight="1">
      <c r="A690" s="946" t="s">
        <v>1094</v>
      </c>
      <c r="B690" s="946"/>
      <c r="C690" s="132"/>
      <c r="D690" s="265"/>
      <c r="E690" s="141" t="s">
        <v>391</v>
      </c>
      <c r="F690" s="141" t="s">
        <v>391</v>
      </c>
      <c r="G690" s="141" t="s">
        <v>391</v>
      </c>
      <c r="H690" s="141" t="s">
        <v>391</v>
      </c>
      <c r="I690" s="362">
        <f>SUM(I689)</f>
        <v>615.1</v>
      </c>
      <c r="J690" s="362">
        <f t="shared" ref="J690:R690" si="181">SUM(J689)</f>
        <v>545.1</v>
      </c>
      <c r="K690" s="362">
        <f t="shared" si="181"/>
        <v>26</v>
      </c>
      <c r="L690" s="362">
        <f t="shared" si="181"/>
        <v>1422960</v>
      </c>
      <c r="M690" s="362">
        <f t="shared" si="181"/>
        <v>0</v>
      </c>
      <c r="N690" s="362">
        <f t="shared" si="181"/>
        <v>0</v>
      </c>
      <c r="O690" s="362">
        <f t="shared" si="181"/>
        <v>0</v>
      </c>
      <c r="P690" s="362">
        <f t="shared" si="181"/>
        <v>1422960</v>
      </c>
      <c r="Q690" s="362">
        <f t="shared" si="181"/>
        <v>0</v>
      </c>
      <c r="R690" s="362">
        <f t="shared" si="181"/>
        <v>0</v>
      </c>
      <c r="S690" s="267"/>
      <c r="T690" s="126"/>
      <c r="U690" s="127"/>
      <c r="V690" s="296"/>
    </row>
    <row r="691" spans="1:22" ht="9" customHeight="1">
      <c r="V691" s="296"/>
    </row>
    <row r="692" spans="1:22" ht="27.75" customHeight="1">
      <c r="V692" s="296"/>
    </row>
  </sheetData>
  <sheetProtection selectLockedCells="1" selectUnlockedCells="1"/>
  <autoFilter ref="A16:V690"/>
  <mergeCells count="179">
    <mergeCell ref="A678:S678"/>
    <mergeCell ref="A688:S688"/>
    <mergeCell ref="A677:B677"/>
    <mergeCell ref="A687:B687"/>
    <mergeCell ref="A690:B690"/>
    <mergeCell ref="A357:S357"/>
    <mergeCell ref="A359:S359"/>
    <mergeCell ref="A502:S502"/>
    <mergeCell ref="A493:S493"/>
    <mergeCell ref="A516:S516"/>
    <mergeCell ref="A662:B662"/>
    <mergeCell ref="A669:B669"/>
    <mergeCell ref="A674:B674"/>
    <mergeCell ref="A663:S663"/>
    <mergeCell ref="A670:S670"/>
    <mergeCell ref="A675:S675"/>
    <mergeCell ref="A652:B652"/>
    <mergeCell ref="A655:B655"/>
    <mergeCell ref="A658:B658"/>
    <mergeCell ref="A653:S653"/>
    <mergeCell ref="A656:S656"/>
    <mergeCell ref="A659:S659"/>
    <mergeCell ref="A639:B639"/>
    <mergeCell ref="A642:B642"/>
    <mergeCell ref="A649:B649"/>
    <mergeCell ref="A640:S640"/>
    <mergeCell ref="A643:S643"/>
    <mergeCell ref="A650:S650"/>
    <mergeCell ref="A628:B628"/>
    <mergeCell ref="A631:B631"/>
    <mergeCell ref="A635:B635"/>
    <mergeCell ref="A629:S629"/>
    <mergeCell ref="A632:S632"/>
    <mergeCell ref="A636:S636"/>
    <mergeCell ref="A616:B616"/>
    <mergeCell ref="A619:B619"/>
    <mergeCell ref="A623:B623"/>
    <mergeCell ref="A617:S617"/>
    <mergeCell ref="A620:S620"/>
    <mergeCell ref="A624:S624"/>
    <mergeCell ref="A601:B601"/>
    <mergeCell ref="A604:B604"/>
    <mergeCell ref="A612:B612"/>
    <mergeCell ref="A605:S605"/>
    <mergeCell ref="A613:S613"/>
    <mergeCell ref="A602:S602"/>
    <mergeCell ref="A587:B587"/>
    <mergeCell ref="A590:B590"/>
    <mergeCell ref="A593:B593"/>
    <mergeCell ref="A591:S591"/>
    <mergeCell ref="A594:S594"/>
    <mergeCell ref="A588:S588"/>
    <mergeCell ref="A570:B570"/>
    <mergeCell ref="A573:B573"/>
    <mergeCell ref="A584:B584"/>
    <mergeCell ref="A571:S571"/>
    <mergeCell ref="A574:S574"/>
    <mergeCell ref="A585:S585"/>
    <mergeCell ref="A557:B557"/>
    <mergeCell ref="A563:B563"/>
    <mergeCell ref="A567:B567"/>
    <mergeCell ref="A558:S558"/>
    <mergeCell ref="A568:S568"/>
    <mergeCell ref="A564:S564"/>
    <mergeCell ref="A546:B546"/>
    <mergeCell ref="A549:B549"/>
    <mergeCell ref="A553:B553"/>
    <mergeCell ref="A550:S550"/>
    <mergeCell ref="A554:S554"/>
    <mergeCell ref="A547:S547"/>
    <mergeCell ref="A520:B520"/>
    <mergeCell ref="A527:B527"/>
    <mergeCell ref="A531:B531"/>
    <mergeCell ref="A521:S521"/>
    <mergeCell ref="A528:S528"/>
    <mergeCell ref="A532:S532"/>
    <mergeCell ref="A492:B492"/>
    <mergeCell ref="A501:B501"/>
    <mergeCell ref="A515:B515"/>
    <mergeCell ref="A342:S342"/>
    <mergeCell ref="A345:S345"/>
    <mergeCell ref="A12:B12"/>
    <mergeCell ref="A358:B358"/>
    <mergeCell ref="A13:S13"/>
    <mergeCell ref="A341:B341"/>
    <mergeCell ref="A344:B344"/>
    <mergeCell ref="A356:B356"/>
    <mergeCell ref="A15:S15"/>
    <mergeCell ref="A159:S159"/>
    <mergeCell ref="A168:S168"/>
    <mergeCell ref="A183:S183"/>
    <mergeCell ref="A188:S188"/>
    <mergeCell ref="A324:B324"/>
    <mergeCell ref="A327:B327"/>
    <mergeCell ref="A332:B332"/>
    <mergeCell ref="A325:S325"/>
    <mergeCell ref="A328:S328"/>
    <mergeCell ref="A333:S333"/>
    <mergeCell ref="A313:B313"/>
    <mergeCell ref="A318:B318"/>
    <mergeCell ref="A321:B321"/>
    <mergeCell ref="A314:S314"/>
    <mergeCell ref="A319:S319"/>
    <mergeCell ref="A322:S322"/>
    <mergeCell ref="A301:B301"/>
    <mergeCell ref="A305:B305"/>
    <mergeCell ref="A309:B309"/>
    <mergeCell ref="A302:S302"/>
    <mergeCell ref="A306:S306"/>
    <mergeCell ref="A310:S310"/>
    <mergeCell ref="A288:B288"/>
    <mergeCell ref="A291:B291"/>
    <mergeCell ref="A298:B298"/>
    <mergeCell ref="A289:S289"/>
    <mergeCell ref="A292:S292"/>
    <mergeCell ref="A299:S299"/>
    <mergeCell ref="A272:B272"/>
    <mergeCell ref="A280:B280"/>
    <mergeCell ref="A285:B285"/>
    <mergeCell ref="A273:S273"/>
    <mergeCell ref="A281:S281"/>
    <mergeCell ref="A286:S286"/>
    <mergeCell ref="A260:B260"/>
    <mergeCell ref="A263:B263"/>
    <mergeCell ref="A269:B269"/>
    <mergeCell ref="A261:S261"/>
    <mergeCell ref="A264:S264"/>
    <mergeCell ref="A270:S270"/>
    <mergeCell ref="A241:B241"/>
    <mergeCell ref="A244:B244"/>
    <mergeCell ref="A257:B257"/>
    <mergeCell ref="A242:S242"/>
    <mergeCell ref="A245:S245"/>
    <mergeCell ref="A258:S258"/>
    <mergeCell ref="A232:B232"/>
    <mergeCell ref="A235:B235"/>
    <mergeCell ref="A238:B238"/>
    <mergeCell ref="A233:S233"/>
    <mergeCell ref="A236:S236"/>
    <mergeCell ref="A239:S239"/>
    <mergeCell ref="A207:B207"/>
    <mergeCell ref="A224:B224"/>
    <mergeCell ref="A228:B228"/>
    <mergeCell ref="A208:S208"/>
    <mergeCell ref="A225:S225"/>
    <mergeCell ref="A229:S229"/>
    <mergeCell ref="A187:B187"/>
    <mergeCell ref="A196:B196"/>
    <mergeCell ref="A201:B201"/>
    <mergeCell ref="A197:S197"/>
    <mergeCell ref="A202:S202"/>
    <mergeCell ref="A158:B158"/>
    <mergeCell ref="A167:B167"/>
    <mergeCell ref="A182:B182"/>
    <mergeCell ref="M8:M9"/>
    <mergeCell ref="N8:N9"/>
    <mergeCell ref="O8:O9"/>
    <mergeCell ref="L6:R6"/>
    <mergeCell ref="A14:B14"/>
    <mergeCell ref="M7:R7"/>
    <mergeCell ref="E6:E10"/>
    <mergeCell ref="R8:R9"/>
    <mergeCell ref="C6:C10"/>
    <mergeCell ref="H6:H10"/>
    <mergeCell ref="P8:Q8"/>
    <mergeCell ref="I6:I9"/>
    <mergeCell ref="J6:J9"/>
    <mergeCell ref="K6:K9"/>
    <mergeCell ref="L7:L9"/>
    <mergeCell ref="K1:S1"/>
    <mergeCell ref="K2:S2"/>
    <mergeCell ref="A3:S3"/>
    <mergeCell ref="A4:S4"/>
    <mergeCell ref="A6:A10"/>
    <mergeCell ref="B6:B10"/>
    <mergeCell ref="D6:D10"/>
    <mergeCell ref="F6:F10"/>
    <mergeCell ref="G6:G10"/>
    <mergeCell ref="S6:S10"/>
  </mergeCells>
  <pageMargins left="0.74803149606299213" right="0.19685039370078741" top="1.1023622047244095" bottom="0.43307086614173229" header="1.1023622047244095" footer="0.19685039370078741"/>
  <pageSetup paperSize="9" scale="83" fitToHeight="0" orientation="landscape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91"/>
  <sheetViews>
    <sheetView zoomScale="115" zoomScaleNormal="115" zoomScaleSheetLayoutView="115" workbookViewId="0">
      <pane ySplit="15" topLeftCell="A142" activePane="bottomLeft" state="frozen"/>
      <selection activeCell="L12" sqref="L12"/>
      <selection pane="bottomLeft" activeCell="H159" sqref="H159"/>
    </sheetView>
  </sheetViews>
  <sheetFormatPr defaultRowHeight="12.75"/>
  <cols>
    <col min="1" max="1" width="4.1640625" style="9" customWidth="1"/>
    <col min="2" max="2" width="35.83203125" style="9" customWidth="1"/>
    <col min="3" max="3" width="10.5" style="233" hidden="1" customWidth="1"/>
    <col min="4" max="4" width="9.5" style="233" hidden="1" customWidth="1"/>
    <col min="5" max="5" width="5.6640625" style="7" hidden="1" customWidth="1"/>
    <col min="6" max="6" width="7.1640625" style="385" hidden="1" customWidth="1"/>
    <col min="7" max="7" width="9.6640625" style="385" hidden="1" customWidth="1"/>
    <col min="8" max="8" width="19.33203125" style="7" customWidth="1"/>
    <col min="9" max="9" width="15.1640625" style="7" customWidth="1"/>
    <col min="10" max="10" width="10.33203125" style="7" customWidth="1"/>
    <col min="11" max="11" width="7.6640625" style="385" hidden="1" customWidth="1"/>
    <col min="12" max="12" width="9.33203125" style="7" customWidth="1"/>
    <col min="13" max="13" width="8" style="385" hidden="1" customWidth="1"/>
    <col min="14" max="14" width="8.5" style="7" customWidth="1"/>
    <col min="15" max="15" width="6.5" style="385" hidden="1" customWidth="1"/>
    <col min="16" max="16" width="9" style="7" customWidth="1"/>
    <col min="17" max="17" width="7" style="385" hidden="1" customWidth="1"/>
    <col min="18" max="18" width="8.5" style="7" customWidth="1"/>
    <col min="19" max="19" width="6.33203125" style="385" hidden="1" customWidth="1"/>
    <col min="20" max="20" width="9.83203125" style="7" customWidth="1"/>
    <col min="21" max="21" width="4.83203125" style="392" customWidth="1"/>
    <col min="22" max="22" width="10" style="10" customWidth="1"/>
    <col min="23" max="23" width="7.83203125" style="7" customWidth="1"/>
    <col min="24" max="24" width="12.6640625" style="7" customWidth="1"/>
    <col min="25" max="25" width="5.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5" style="10" customWidth="1"/>
    <col min="30" max="30" width="3.83203125" style="10" customWidth="1"/>
    <col min="31" max="31" width="4" style="10" customWidth="1"/>
    <col min="32" max="32" width="3.83203125" style="10" customWidth="1"/>
    <col min="33" max="33" width="4.5" style="10" customWidth="1"/>
    <col min="34" max="34" width="6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5.6640625" style="10" customWidth="1"/>
    <col min="39" max="39" width="8.33203125" style="448" hidden="1" customWidth="1"/>
    <col min="40" max="40" width="8.6640625" style="448" hidden="1" customWidth="1"/>
    <col min="41" max="41" width="12" style="9" customWidth="1"/>
    <col min="42" max="42" width="8.33203125" style="487" customWidth="1"/>
    <col min="43" max="43" width="13.6640625" style="487" customWidth="1"/>
    <col min="44" max="47" width="14" style="487" customWidth="1"/>
    <col min="48" max="48" width="14" style="487" hidden="1" customWidth="1"/>
    <col min="49" max="49" width="9.5" style="487" hidden="1" customWidth="1"/>
    <col min="50" max="50" width="9" style="487" hidden="1" customWidth="1"/>
    <col min="51" max="51" width="8.5" style="487" hidden="1" customWidth="1"/>
    <col min="52" max="53" width="14" style="487" hidden="1" customWidth="1"/>
    <col min="54" max="54" width="8.33203125" style="454" customWidth="1"/>
    <col min="55" max="55" width="8.6640625" style="454" customWidth="1"/>
    <col min="56" max="59" width="9.5" style="455" customWidth="1"/>
    <col min="60" max="60" width="10" style="455" hidden="1" customWidth="1"/>
    <col min="61" max="65" width="9.5" style="455" hidden="1" customWidth="1"/>
    <col min="66" max="71" width="9.33203125" style="457" customWidth="1"/>
    <col min="72" max="77" width="9.33203125" style="457" hidden="1" customWidth="1"/>
    <col min="78" max="78" width="9.33203125" style="9" customWidth="1"/>
    <col min="79" max="16384" width="9.33203125" style="9"/>
  </cols>
  <sheetData>
    <row r="1" spans="1:77" s="28" customFormat="1" ht="39" customHeight="1">
      <c r="B1" s="284"/>
      <c r="C1" s="462"/>
      <c r="D1" s="462"/>
      <c r="E1" s="79"/>
      <c r="F1" s="379"/>
      <c r="G1" s="379"/>
      <c r="H1" s="79"/>
      <c r="I1" s="282"/>
      <c r="J1" s="79"/>
      <c r="K1" s="379"/>
      <c r="L1" s="79"/>
      <c r="M1" s="379"/>
      <c r="N1" s="79"/>
      <c r="O1" s="379"/>
      <c r="P1" s="79"/>
      <c r="Q1" s="379"/>
      <c r="R1" s="79"/>
      <c r="S1" s="379"/>
      <c r="T1" s="79"/>
      <c r="U1" s="283"/>
      <c r="V1" s="290"/>
      <c r="W1" s="290"/>
      <c r="Y1" s="291"/>
      <c r="Z1" s="291"/>
      <c r="AB1" s="940"/>
      <c r="AC1" s="940"/>
      <c r="AD1" s="940"/>
      <c r="AE1" s="940"/>
      <c r="AF1" s="940"/>
      <c r="AG1" s="940"/>
      <c r="AH1" s="940"/>
      <c r="AI1" s="940"/>
      <c r="AJ1" s="940"/>
      <c r="AK1" s="940"/>
      <c r="AL1" s="940"/>
      <c r="AM1" s="481"/>
      <c r="AN1" s="481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49"/>
      <c r="BC1" s="449"/>
      <c r="BD1" s="449"/>
      <c r="BE1" s="449"/>
      <c r="BF1" s="450"/>
      <c r="BG1" s="1006"/>
      <c r="BH1" s="1006"/>
      <c r="BI1" s="1006"/>
      <c r="BJ1" s="1006"/>
      <c r="BK1" s="1006"/>
      <c r="BL1" s="1006"/>
      <c r="BM1" s="1006"/>
      <c r="BN1" s="456"/>
      <c r="BO1" s="456"/>
      <c r="BP1" s="456"/>
      <c r="BQ1" s="456"/>
      <c r="BR1" s="456"/>
      <c r="BS1" s="456"/>
      <c r="BT1" s="456"/>
      <c r="BU1" s="456"/>
      <c r="BV1" s="456"/>
      <c r="BW1" s="456"/>
      <c r="BX1" s="456"/>
      <c r="BY1" s="456"/>
    </row>
    <row r="2" spans="1:77" s="28" customFormat="1" ht="17.25" customHeight="1">
      <c r="B2" s="284"/>
      <c r="C2" s="462"/>
      <c r="D2" s="462"/>
      <c r="E2" s="79"/>
      <c r="F2" s="379"/>
      <c r="G2" s="379"/>
      <c r="H2" s="79"/>
      <c r="I2" s="289"/>
      <c r="J2" s="79"/>
      <c r="K2" s="379"/>
      <c r="L2" s="79"/>
      <c r="M2" s="379"/>
      <c r="N2" s="79"/>
      <c r="O2" s="379"/>
      <c r="P2" s="79"/>
      <c r="Q2" s="379"/>
      <c r="R2" s="79"/>
      <c r="S2" s="379"/>
      <c r="T2" s="79"/>
      <c r="U2" s="283"/>
      <c r="V2" s="290"/>
      <c r="W2" s="290"/>
      <c r="Y2" s="291"/>
      <c r="Z2" s="291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445"/>
      <c r="AN2" s="445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</row>
    <row r="3" spans="1:77" s="28" customFormat="1" ht="12.75" customHeight="1">
      <c r="A3" s="942" t="s">
        <v>1132</v>
      </c>
      <c r="B3" s="942"/>
      <c r="C3" s="966"/>
      <c r="D3" s="966"/>
      <c r="E3" s="942"/>
      <c r="F3" s="942"/>
      <c r="G3" s="942"/>
      <c r="H3" s="942"/>
      <c r="I3" s="942"/>
      <c r="J3" s="942"/>
      <c r="K3" s="966"/>
      <c r="L3" s="942"/>
      <c r="M3" s="966"/>
      <c r="N3" s="942"/>
      <c r="O3" s="966"/>
      <c r="P3" s="942"/>
      <c r="Q3" s="966"/>
      <c r="R3" s="942"/>
      <c r="S3" s="966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2"/>
      <c r="AK3" s="942"/>
      <c r="AL3" s="942"/>
      <c r="AM3" s="966"/>
      <c r="AN3" s="966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</row>
    <row r="4" spans="1:77" s="28" customFormat="1" ht="12" customHeight="1">
      <c r="A4" s="943" t="s">
        <v>1133</v>
      </c>
      <c r="B4" s="943"/>
      <c r="C4" s="967"/>
      <c r="D4" s="967"/>
      <c r="E4" s="943"/>
      <c r="F4" s="943"/>
      <c r="G4" s="943"/>
      <c r="H4" s="943"/>
      <c r="I4" s="943"/>
      <c r="J4" s="943"/>
      <c r="K4" s="967"/>
      <c r="L4" s="943"/>
      <c r="M4" s="967"/>
      <c r="N4" s="943"/>
      <c r="O4" s="967"/>
      <c r="P4" s="943"/>
      <c r="Q4" s="967"/>
      <c r="R4" s="943"/>
      <c r="S4" s="967"/>
      <c r="T4" s="943"/>
      <c r="U4" s="943"/>
      <c r="V4" s="943"/>
      <c r="W4" s="943"/>
      <c r="X4" s="943"/>
      <c r="Y4" s="943"/>
      <c r="Z4" s="943"/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  <c r="AL4" s="943"/>
      <c r="AM4" s="967"/>
      <c r="AN4" s="967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</row>
    <row r="5" spans="1:77" s="28" customFormat="1" ht="12" customHeight="1">
      <c r="A5" s="287"/>
      <c r="B5" s="287"/>
      <c r="C5" s="380"/>
      <c r="D5" s="380"/>
      <c r="E5" s="287"/>
      <c r="F5" s="380"/>
      <c r="G5" s="380"/>
      <c r="H5" s="287"/>
      <c r="I5" s="288"/>
      <c r="J5" s="287"/>
      <c r="K5" s="380"/>
      <c r="L5" s="287"/>
      <c r="M5" s="380"/>
      <c r="N5" s="287"/>
      <c r="O5" s="380"/>
      <c r="P5" s="287"/>
      <c r="Q5" s="380"/>
      <c r="R5" s="287"/>
      <c r="S5" s="380"/>
      <c r="T5" s="287"/>
      <c r="U5" s="390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380"/>
      <c r="AN5" s="380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51"/>
      <c r="BC5" s="451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</row>
    <row r="6" spans="1:77" ht="21" customHeight="1">
      <c r="A6" s="934" t="s">
        <v>1038</v>
      </c>
      <c r="B6" s="934" t="s">
        <v>66</v>
      </c>
      <c r="C6" s="969" t="s">
        <v>1127</v>
      </c>
      <c r="D6" s="969" t="s">
        <v>1157</v>
      </c>
      <c r="E6" s="973" t="s">
        <v>1158</v>
      </c>
      <c r="F6" s="381"/>
      <c r="G6" s="381"/>
      <c r="H6" s="976" t="s">
        <v>91</v>
      </c>
      <c r="I6" s="879" t="s">
        <v>464</v>
      </c>
      <c r="J6" s="879"/>
      <c r="K6" s="979"/>
      <c r="L6" s="879"/>
      <c r="M6" s="979"/>
      <c r="N6" s="879"/>
      <c r="O6" s="979"/>
      <c r="P6" s="879"/>
      <c r="Q6" s="979"/>
      <c r="R6" s="879"/>
      <c r="S6" s="9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918" t="s">
        <v>92</v>
      </c>
      <c r="AF6" s="919"/>
      <c r="AG6" s="919"/>
      <c r="AH6" s="919"/>
      <c r="AI6" s="919"/>
      <c r="AJ6" s="919"/>
      <c r="AK6" s="919"/>
      <c r="AL6" s="920"/>
      <c r="AM6" s="981" t="s">
        <v>1134</v>
      </c>
      <c r="AN6" s="981" t="s">
        <v>1135</v>
      </c>
      <c r="AP6" s="1007" t="s">
        <v>1134</v>
      </c>
      <c r="AQ6" s="1008"/>
      <c r="AR6" s="1008"/>
      <c r="AS6" s="1008"/>
      <c r="AT6" s="1008"/>
      <c r="AU6" s="1008"/>
      <c r="AV6" s="1008"/>
      <c r="AW6" s="1008"/>
      <c r="AX6" s="1008"/>
      <c r="AY6" s="1008"/>
      <c r="AZ6" s="1008"/>
      <c r="BA6" s="1009"/>
      <c r="BB6" s="1010" t="s">
        <v>1165</v>
      </c>
      <c r="BC6" s="1010"/>
      <c r="BD6" s="1010"/>
      <c r="BE6" s="1010"/>
      <c r="BF6" s="1010"/>
      <c r="BG6" s="1010"/>
      <c r="BH6" s="1010"/>
      <c r="BI6" s="1010"/>
      <c r="BJ6" s="1010"/>
      <c r="BK6" s="1010"/>
      <c r="BL6" s="1010"/>
      <c r="BM6" s="1010"/>
      <c r="BN6" s="1018" t="s">
        <v>1188</v>
      </c>
      <c r="BO6" s="1018"/>
      <c r="BP6" s="1018"/>
      <c r="BQ6" s="1018"/>
      <c r="BR6" s="1018"/>
      <c r="BS6" s="1018"/>
      <c r="BT6" s="1018"/>
      <c r="BU6" s="1018"/>
      <c r="BV6" s="1018"/>
      <c r="BW6" s="1018"/>
      <c r="BX6" s="1018"/>
      <c r="BY6" s="1018"/>
    </row>
    <row r="7" spans="1:77" ht="21" customHeight="1">
      <c r="A7" s="968"/>
      <c r="B7" s="968"/>
      <c r="C7" s="970"/>
      <c r="D7" s="970"/>
      <c r="E7" s="974"/>
      <c r="F7" s="382"/>
      <c r="G7" s="382"/>
      <c r="H7" s="977"/>
      <c r="I7" s="918" t="s">
        <v>1136</v>
      </c>
      <c r="J7" s="919"/>
      <c r="K7" s="980"/>
      <c r="L7" s="919"/>
      <c r="M7" s="980"/>
      <c r="N7" s="919"/>
      <c r="O7" s="980"/>
      <c r="P7" s="919"/>
      <c r="Q7" s="980"/>
      <c r="R7" s="919"/>
      <c r="S7" s="980"/>
      <c r="T7" s="920"/>
      <c r="U7" s="982" t="s">
        <v>94</v>
      </c>
      <c r="V7" s="983"/>
      <c r="W7" s="982" t="s">
        <v>95</v>
      </c>
      <c r="X7" s="983"/>
      <c r="Y7" s="982" t="s">
        <v>96</v>
      </c>
      <c r="Z7" s="983"/>
      <c r="AA7" s="982" t="s">
        <v>97</v>
      </c>
      <c r="AB7" s="983"/>
      <c r="AC7" s="982" t="s">
        <v>98</v>
      </c>
      <c r="AD7" s="983"/>
      <c r="AE7" s="988" t="s">
        <v>60</v>
      </c>
      <c r="AF7" s="983"/>
      <c r="AG7" s="988" t="s">
        <v>1137</v>
      </c>
      <c r="AH7" s="983"/>
      <c r="AI7" s="1000" t="s">
        <v>1138</v>
      </c>
      <c r="AJ7" s="1000" t="s">
        <v>1139</v>
      </c>
      <c r="AK7" s="1000" t="s">
        <v>1140</v>
      </c>
      <c r="AL7" s="1000" t="s">
        <v>63</v>
      </c>
      <c r="AM7" s="981"/>
      <c r="AN7" s="981"/>
      <c r="AP7" s="1011" t="s">
        <v>1166</v>
      </c>
      <c r="AQ7" s="1011" t="s">
        <v>1167</v>
      </c>
      <c r="AR7" s="1011" t="s">
        <v>1168</v>
      </c>
      <c r="AS7" s="1011" t="s">
        <v>1169</v>
      </c>
      <c r="AT7" s="1011" t="s">
        <v>1170</v>
      </c>
      <c r="AU7" s="1011" t="s">
        <v>1171</v>
      </c>
      <c r="AV7" s="1011" t="s">
        <v>1172</v>
      </c>
      <c r="AW7" s="1011" t="s">
        <v>1173</v>
      </c>
      <c r="AX7" s="1011" t="s">
        <v>1174</v>
      </c>
      <c r="AY7" s="1011" t="s">
        <v>1175</v>
      </c>
      <c r="AZ7" s="1011" t="s">
        <v>1176</v>
      </c>
      <c r="BA7" s="1011" t="s">
        <v>1177</v>
      </c>
      <c r="BB7" s="998" t="s">
        <v>1166</v>
      </c>
      <c r="BC7" s="998" t="s">
        <v>1167</v>
      </c>
      <c r="BD7" s="998" t="s">
        <v>1168</v>
      </c>
      <c r="BE7" s="998" t="s">
        <v>1169</v>
      </c>
      <c r="BF7" s="998" t="s">
        <v>1170</v>
      </c>
      <c r="BG7" s="998" t="s">
        <v>1171</v>
      </c>
      <c r="BH7" s="998" t="s">
        <v>1172</v>
      </c>
      <c r="BI7" s="998" t="s">
        <v>1173</v>
      </c>
      <c r="BJ7" s="998" t="s">
        <v>1174</v>
      </c>
      <c r="BK7" s="998" t="s">
        <v>1175</v>
      </c>
      <c r="BL7" s="998" t="s">
        <v>1176</v>
      </c>
      <c r="BM7" s="998" t="s">
        <v>1177</v>
      </c>
      <c r="BN7" s="1013" t="s">
        <v>1166</v>
      </c>
      <c r="BO7" s="1013" t="s">
        <v>1167</v>
      </c>
      <c r="BP7" s="1013" t="s">
        <v>1168</v>
      </c>
      <c r="BQ7" s="1013" t="s">
        <v>1169</v>
      </c>
      <c r="BR7" s="1013" t="s">
        <v>1170</v>
      </c>
      <c r="BS7" s="1013" t="s">
        <v>1171</v>
      </c>
      <c r="BT7" s="1013" t="s">
        <v>1172</v>
      </c>
      <c r="BU7" s="1013" t="s">
        <v>1173</v>
      </c>
      <c r="BV7" s="1013" t="s">
        <v>1174</v>
      </c>
      <c r="BW7" s="1013" t="s">
        <v>1175</v>
      </c>
      <c r="BX7" s="1013" t="s">
        <v>1176</v>
      </c>
      <c r="BY7" s="1013" t="s">
        <v>1177</v>
      </c>
    </row>
    <row r="8" spans="1:77" ht="78" customHeight="1">
      <c r="A8" s="968"/>
      <c r="B8" s="968"/>
      <c r="C8" s="971"/>
      <c r="D8" s="971"/>
      <c r="E8" s="974"/>
      <c r="F8" s="382"/>
      <c r="G8" s="382"/>
      <c r="H8" s="978"/>
      <c r="I8" s="359" t="s">
        <v>1141</v>
      </c>
      <c r="J8" s="359" t="s">
        <v>1180</v>
      </c>
      <c r="K8" s="986" t="s">
        <v>1181</v>
      </c>
      <c r="L8" s="987"/>
      <c r="M8" s="986" t="s">
        <v>1182</v>
      </c>
      <c r="N8" s="987"/>
      <c r="O8" s="986" t="s">
        <v>1183</v>
      </c>
      <c r="P8" s="987"/>
      <c r="Q8" s="986" t="s">
        <v>1184</v>
      </c>
      <c r="R8" s="987"/>
      <c r="S8" s="986" t="s">
        <v>1185</v>
      </c>
      <c r="T8" s="987"/>
      <c r="U8" s="984"/>
      <c r="V8" s="985"/>
      <c r="W8" s="984"/>
      <c r="X8" s="985"/>
      <c r="Y8" s="984"/>
      <c r="Z8" s="985"/>
      <c r="AA8" s="984"/>
      <c r="AB8" s="985"/>
      <c r="AC8" s="984"/>
      <c r="AD8" s="985"/>
      <c r="AE8" s="984"/>
      <c r="AF8" s="985"/>
      <c r="AG8" s="984"/>
      <c r="AH8" s="985"/>
      <c r="AI8" s="1001"/>
      <c r="AJ8" s="1002"/>
      <c r="AK8" s="1002"/>
      <c r="AL8" s="1002"/>
      <c r="AM8" s="981"/>
      <c r="AN8" s="981"/>
      <c r="AP8" s="1012"/>
      <c r="AQ8" s="1012"/>
      <c r="AR8" s="1012"/>
      <c r="AS8" s="1012"/>
      <c r="AT8" s="1012"/>
      <c r="AU8" s="1012"/>
      <c r="AV8" s="1012"/>
      <c r="AW8" s="1012"/>
      <c r="AX8" s="1012"/>
      <c r="AY8" s="1012"/>
      <c r="AZ8" s="1012"/>
      <c r="BA8" s="1012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1013"/>
      <c r="BO8" s="1013"/>
      <c r="BP8" s="1013"/>
      <c r="BQ8" s="1013"/>
      <c r="BR8" s="1013"/>
      <c r="BS8" s="1013"/>
      <c r="BT8" s="1013"/>
      <c r="BU8" s="1013"/>
      <c r="BV8" s="1013"/>
      <c r="BW8" s="1013"/>
      <c r="BX8" s="1013"/>
      <c r="BY8" s="1013"/>
    </row>
    <row r="9" spans="1:77" ht="9" customHeight="1">
      <c r="A9" s="968"/>
      <c r="B9" s="968"/>
      <c r="C9" s="992" t="s">
        <v>465</v>
      </c>
      <c r="D9" s="992" t="s">
        <v>465</v>
      </c>
      <c r="E9" s="974"/>
      <c r="F9" s="382"/>
      <c r="G9" s="382"/>
      <c r="H9" s="976" t="s">
        <v>71</v>
      </c>
      <c r="I9" s="938" t="s">
        <v>71</v>
      </c>
      <c r="J9" s="938" t="s">
        <v>71</v>
      </c>
      <c r="K9" s="992" t="s">
        <v>1142</v>
      </c>
      <c r="L9" s="938" t="s">
        <v>71</v>
      </c>
      <c r="M9" s="992" t="s">
        <v>1142</v>
      </c>
      <c r="N9" s="938" t="s">
        <v>71</v>
      </c>
      <c r="O9" s="992" t="s">
        <v>1142</v>
      </c>
      <c r="P9" s="938" t="s">
        <v>71</v>
      </c>
      <c r="Q9" s="992" t="s">
        <v>1142</v>
      </c>
      <c r="R9" s="938" t="s">
        <v>71</v>
      </c>
      <c r="S9" s="992" t="s">
        <v>1142</v>
      </c>
      <c r="T9" s="938" t="s">
        <v>71</v>
      </c>
      <c r="U9" s="995" t="s">
        <v>99</v>
      </c>
      <c r="V9" s="934" t="s">
        <v>71</v>
      </c>
      <c r="W9" s="976" t="s">
        <v>465</v>
      </c>
      <c r="X9" s="976" t="s">
        <v>71</v>
      </c>
      <c r="Y9" s="934" t="s">
        <v>465</v>
      </c>
      <c r="Z9" s="934" t="s">
        <v>71</v>
      </c>
      <c r="AA9" s="934" t="s">
        <v>465</v>
      </c>
      <c r="AB9" s="934" t="s">
        <v>71</v>
      </c>
      <c r="AC9" s="934" t="s">
        <v>466</v>
      </c>
      <c r="AD9" s="934" t="s">
        <v>71</v>
      </c>
      <c r="AE9" s="934" t="s">
        <v>465</v>
      </c>
      <c r="AF9" s="934" t="s">
        <v>71</v>
      </c>
      <c r="AG9" s="934" t="s">
        <v>465</v>
      </c>
      <c r="AH9" s="934" t="s">
        <v>71</v>
      </c>
      <c r="AI9" s="934" t="s">
        <v>71</v>
      </c>
      <c r="AJ9" s="934" t="s">
        <v>71</v>
      </c>
      <c r="AK9" s="934" t="s">
        <v>71</v>
      </c>
      <c r="AL9" s="934" t="s">
        <v>71</v>
      </c>
      <c r="AM9" s="459" t="s">
        <v>1143</v>
      </c>
      <c r="AN9" s="459" t="s">
        <v>1144</v>
      </c>
      <c r="AP9" s="1014" t="s">
        <v>1143</v>
      </c>
      <c r="AQ9" s="1014" t="s">
        <v>1145</v>
      </c>
      <c r="AR9" s="1014" t="s">
        <v>1145</v>
      </c>
      <c r="AS9" s="1014" t="s">
        <v>1145</v>
      </c>
      <c r="AT9" s="1014" t="s">
        <v>1145</v>
      </c>
      <c r="AU9" s="1014" t="s">
        <v>1145</v>
      </c>
      <c r="AV9" s="1014" t="s">
        <v>1146</v>
      </c>
      <c r="AW9" s="1014" t="s">
        <v>1143</v>
      </c>
      <c r="AX9" s="1014" t="s">
        <v>1143</v>
      </c>
      <c r="AY9" s="1014" t="s">
        <v>1143</v>
      </c>
      <c r="AZ9" s="1014" t="s">
        <v>1143</v>
      </c>
      <c r="BA9" s="1014" t="s">
        <v>1143</v>
      </c>
      <c r="BB9" s="1003" t="s">
        <v>1143</v>
      </c>
      <c r="BC9" s="1003" t="s">
        <v>1145</v>
      </c>
      <c r="BD9" s="1003" t="s">
        <v>1145</v>
      </c>
      <c r="BE9" s="1003" t="s">
        <v>1145</v>
      </c>
      <c r="BF9" s="1003" t="s">
        <v>1145</v>
      </c>
      <c r="BG9" s="1003" t="s">
        <v>1145</v>
      </c>
      <c r="BH9" s="1003" t="s">
        <v>1178</v>
      </c>
      <c r="BI9" s="1003" t="s">
        <v>1143</v>
      </c>
      <c r="BJ9" s="1003" t="s">
        <v>1143</v>
      </c>
      <c r="BK9" s="1003" t="s">
        <v>1143</v>
      </c>
      <c r="BL9" s="1003" t="s">
        <v>1143</v>
      </c>
      <c r="BM9" s="1003" t="s">
        <v>1143</v>
      </c>
      <c r="BN9" s="1018" t="s">
        <v>1143</v>
      </c>
      <c r="BO9" s="1018" t="s">
        <v>1145</v>
      </c>
      <c r="BP9" s="1018" t="s">
        <v>1145</v>
      </c>
      <c r="BQ9" s="1018" t="s">
        <v>1145</v>
      </c>
      <c r="BR9" s="1018" t="s">
        <v>1145</v>
      </c>
      <c r="BS9" s="1018" t="s">
        <v>1145</v>
      </c>
      <c r="BT9" s="1018" t="s">
        <v>1178</v>
      </c>
      <c r="BU9" s="1018" t="s">
        <v>1143</v>
      </c>
      <c r="BV9" s="1018" t="s">
        <v>1143</v>
      </c>
      <c r="BW9" s="1018" t="s">
        <v>1143</v>
      </c>
      <c r="BX9" s="1018" t="s">
        <v>1143</v>
      </c>
      <c r="BY9" s="1018" t="s">
        <v>1143</v>
      </c>
    </row>
    <row r="10" spans="1:77" ht="9" customHeight="1">
      <c r="A10" s="968"/>
      <c r="B10" s="968"/>
      <c r="C10" s="993"/>
      <c r="D10" s="993"/>
      <c r="E10" s="974"/>
      <c r="F10" s="382"/>
      <c r="G10" s="382"/>
      <c r="H10" s="977"/>
      <c r="I10" s="972"/>
      <c r="J10" s="972"/>
      <c r="K10" s="993"/>
      <c r="L10" s="972"/>
      <c r="M10" s="993"/>
      <c r="N10" s="972"/>
      <c r="O10" s="993"/>
      <c r="P10" s="972"/>
      <c r="Q10" s="993"/>
      <c r="R10" s="972"/>
      <c r="S10" s="993"/>
      <c r="T10" s="972"/>
      <c r="U10" s="996"/>
      <c r="V10" s="968"/>
      <c r="W10" s="977"/>
      <c r="X10" s="977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8"/>
      <c r="AL10" s="968"/>
      <c r="AM10" s="460" t="s">
        <v>1145</v>
      </c>
      <c r="AN10" s="460" t="s">
        <v>1145</v>
      </c>
      <c r="AP10" s="1015"/>
      <c r="AQ10" s="1015"/>
      <c r="AR10" s="1015"/>
      <c r="AS10" s="1015"/>
      <c r="AT10" s="1015"/>
      <c r="AU10" s="1015"/>
      <c r="AV10" s="1015"/>
      <c r="AW10" s="1015"/>
      <c r="AX10" s="1015"/>
      <c r="AY10" s="1015"/>
      <c r="AZ10" s="1015"/>
      <c r="BA10" s="1015"/>
      <c r="BB10" s="1004"/>
      <c r="BC10" s="1004"/>
      <c r="BD10" s="1004"/>
      <c r="BE10" s="1004"/>
      <c r="BF10" s="1004"/>
      <c r="BG10" s="1004"/>
      <c r="BH10" s="1004"/>
      <c r="BI10" s="1004"/>
      <c r="BJ10" s="1004"/>
      <c r="BK10" s="1004"/>
      <c r="BL10" s="1004"/>
      <c r="BM10" s="1004"/>
      <c r="BN10" s="1018"/>
      <c r="BO10" s="1018"/>
      <c r="BP10" s="1018"/>
      <c r="BQ10" s="1018"/>
      <c r="BR10" s="1018"/>
      <c r="BS10" s="1018"/>
      <c r="BT10" s="1018"/>
      <c r="BU10" s="1018"/>
      <c r="BV10" s="1018"/>
      <c r="BW10" s="1018"/>
      <c r="BX10" s="1018"/>
      <c r="BY10" s="1018"/>
    </row>
    <row r="11" spans="1:77" ht="9" customHeight="1">
      <c r="A11" s="935"/>
      <c r="B11" s="935"/>
      <c r="C11" s="994"/>
      <c r="D11" s="994"/>
      <c r="E11" s="975"/>
      <c r="F11" s="383"/>
      <c r="G11" s="383"/>
      <c r="H11" s="978"/>
      <c r="I11" s="939"/>
      <c r="J11" s="939"/>
      <c r="K11" s="994"/>
      <c r="L11" s="939"/>
      <c r="M11" s="994"/>
      <c r="N11" s="939"/>
      <c r="O11" s="994"/>
      <c r="P11" s="939"/>
      <c r="Q11" s="994"/>
      <c r="R11" s="939"/>
      <c r="S11" s="994"/>
      <c r="T11" s="939"/>
      <c r="U11" s="997"/>
      <c r="V11" s="935"/>
      <c r="W11" s="978"/>
      <c r="X11" s="978"/>
      <c r="Y11" s="935"/>
      <c r="Z11" s="935"/>
      <c r="AA11" s="935"/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935"/>
      <c r="AM11" s="461" t="s">
        <v>1146</v>
      </c>
      <c r="AN11" s="461" t="s">
        <v>1146</v>
      </c>
      <c r="AP11" s="1016"/>
      <c r="AQ11" s="1016"/>
      <c r="AR11" s="1016"/>
      <c r="AS11" s="1016"/>
      <c r="AT11" s="1016"/>
      <c r="AU11" s="1016"/>
      <c r="AV11" s="1016"/>
      <c r="AW11" s="1016"/>
      <c r="AX11" s="1016"/>
      <c r="AY11" s="1016"/>
      <c r="AZ11" s="1016"/>
      <c r="BA11" s="1016"/>
      <c r="BB11" s="1005"/>
      <c r="BC11" s="1005"/>
      <c r="BD11" s="1005"/>
      <c r="BE11" s="1005"/>
      <c r="BF11" s="1005"/>
      <c r="BG11" s="1005"/>
      <c r="BH11" s="1005"/>
      <c r="BI11" s="1005"/>
      <c r="BJ11" s="1005"/>
      <c r="BK11" s="1005"/>
      <c r="BL11" s="1005"/>
      <c r="BM11" s="1005"/>
      <c r="BN11" s="1018"/>
      <c r="BO11" s="1018"/>
      <c r="BP11" s="1018"/>
      <c r="BQ11" s="1018"/>
      <c r="BR11" s="1018"/>
      <c r="BS11" s="1018"/>
      <c r="BT11" s="1018"/>
      <c r="BU11" s="1018"/>
      <c r="BV11" s="1018"/>
      <c r="BW11" s="1018"/>
      <c r="BX11" s="1018"/>
      <c r="BY11" s="1018"/>
    </row>
    <row r="12" spans="1:77" ht="12" customHeight="1">
      <c r="A12" s="279" t="s">
        <v>72</v>
      </c>
      <c r="B12" s="279" t="s">
        <v>73</v>
      </c>
      <c r="C12" s="227"/>
      <c r="D12" s="227"/>
      <c r="E12" s="279">
        <v>3</v>
      </c>
      <c r="F12" s="227"/>
      <c r="G12" s="227"/>
      <c r="H12" s="279">
        <v>4</v>
      </c>
      <c r="I12" s="279">
        <v>5</v>
      </c>
      <c r="J12" s="279">
        <v>6</v>
      </c>
      <c r="K12" s="227"/>
      <c r="L12" s="279">
        <v>7</v>
      </c>
      <c r="M12" s="227"/>
      <c r="N12" s="279">
        <v>8</v>
      </c>
      <c r="O12" s="227"/>
      <c r="P12" s="279">
        <v>9</v>
      </c>
      <c r="Q12" s="227"/>
      <c r="R12" s="279">
        <v>10</v>
      </c>
      <c r="S12" s="227"/>
      <c r="T12" s="279">
        <v>11</v>
      </c>
      <c r="U12" s="285">
        <v>12</v>
      </c>
      <c r="V12" s="279">
        <v>13</v>
      </c>
      <c r="W12" s="285">
        <v>14</v>
      </c>
      <c r="X12" s="458">
        <v>15</v>
      </c>
      <c r="Y12" s="285">
        <v>16</v>
      </c>
      <c r="Z12" s="458">
        <v>17</v>
      </c>
      <c r="AA12" s="285">
        <v>18</v>
      </c>
      <c r="AB12" s="458">
        <v>19</v>
      </c>
      <c r="AC12" s="285">
        <v>20</v>
      </c>
      <c r="AD12" s="458">
        <v>21</v>
      </c>
      <c r="AE12" s="285">
        <v>22</v>
      </c>
      <c r="AF12" s="458">
        <v>23</v>
      </c>
      <c r="AG12" s="285">
        <v>24</v>
      </c>
      <c r="AH12" s="458">
        <v>25</v>
      </c>
      <c r="AI12" s="285">
        <v>26</v>
      </c>
      <c r="AJ12" s="458">
        <v>27</v>
      </c>
      <c r="AK12" s="285">
        <v>28</v>
      </c>
      <c r="AL12" s="458">
        <v>29</v>
      </c>
      <c r="AM12" s="463"/>
      <c r="AN12" s="227"/>
      <c r="AP12" s="484">
        <v>30</v>
      </c>
      <c r="AQ12" s="484">
        <v>31</v>
      </c>
      <c r="AR12" s="484">
        <v>32</v>
      </c>
      <c r="AS12" s="484">
        <v>33</v>
      </c>
      <c r="AT12" s="484">
        <v>34</v>
      </c>
      <c r="AU12" s="484">
        <v>35</v>
      </c>
      <c r="AV12" s="484">
        <v>36</v>
      </c>
      <c r="AW12" s="484">
        <v>37</v>
      </c>
      <c r="AX12" s="484">
        <v>38</v>
      </c>
      <c r="AY12" s="484">
        <v>39</v>
      </c>
      <c r="AZ12" s="484">
        <v>40</v>
      </c>
      <c r="BA12" s="484">
        <v>41</v>
      </c>
      <c r="BB12" s="452">
        <v>42</v>
      </c>
      <c r="BC12" s="452">
        <v>43</v>
      </c>
      <c r="BD12" s="452">
        <v>44</v>
      </c>
      <c r="BE12" s="452">
        <v>45</v>
      </c>
      <c r="BF12" s="452">
        <v>46</v>
      </c>
      <c r="BG12" s="452">
        <v>47</v>
      </c>
      <c r="BH12" s="452">
        <v>48</v>
      </c>
      <c r="BI12" s="452">
        <v>49</v>
      </c>
      <c r="BJ12" s="452">
        <v>50</v>
      </c>
      <c r="BK12" s="452">
        <v>51</v>
      </c>
      <c r="BL12" s="452">
        <v>52</v>
      </c>
      <c r="BM12" s="452">
        <v>53</v>
      </c>
      <c r="BN12" s="488">
        <v>54</v>
      </c>
      <c r="BO12" s="488">
        <v>55</v>
      </c>
      <c r="BP12" s="488">
        <v>56</v>
      </c>
      <c r="BQ12" s="488">
        <v>57</v>
      </c>
      <c r="BR12" s="488">
        <v>58</v>
      </c>
      <c r="BS12" s="488">
        <v>59</v>
      </c>
      <c r="BT12" s="488">
        <v>60</v>
      </c>
      <c r="BU12" s="488">
        <v>61</v>
      </c>
      <c r="BV12" s="488">
        <v>62</v>
      </c>
      <c r="BW12" s="488">
        <v>63</v>
      </c>
      <c r="BX12" s="488">
        <v>64</v>
      </c>
      <c r="BY12" s="488">
        <v>65</v>
      </c>
    </row>
    <row r="13" spans="1:77" s="28" customFormat="1" ht="12" customHeight="1">
      <c r="A13" s="822" t="s">
        <v>1151</v>
      </c>
      <c r="B13" s="822"/>
      <c r="C13" s="229">
        <f>C15+C359</f>
        <v>1368611.76</v>
      </c>
      <c r="D13" s="463"/>
      <c r="E13" s="141" t="s">
        <v>391</v>
      </c>
      <c r="F13" s="308"/>
      <c r="G13" s="308"/>
      <c r="H13" s="410">
        <f>H15+H359</f>
        <v>1611880009.2100003</v>
      </c>
      <c r="I13" s="410">
        <f t="shared" ref="I13:AN13" si="0">I15+I359</f>
        <v>91664539.160000011</v>
      </c>
      <c r="J13" s="410">
        <f t="shared" si="0"/>
        <v>11494602.73</v>
      </c>
      <c r="K13" s="229">
        <f>K15+K359</f>
        <v>5567</v>
      </c>
      <c r="L13" s="410">
        <f t="shared" si="0"/>
        <v>45424173.890000001</v>
      </c>
      <c r="M13" s="229">
        <f t="shared" si="0"/>
        <v>1527</v>
      </c>
      <c r="N13" s="410">
        <f t="shared" si="0"/>
        <v>9110656.0199999996</v>
      </c>
      <c r="O13" s="229">
        <f t="shared" si="0"/>
        <v>2945</v>
      </c>
      <c r="P13" s="410">
        <f t="shared" si="0"/>
        <v>9608791.7699999996</v>
      </c>
      <c r="Q13" s="229">
        <f t="shared" si="0"/>
        <v>2009</v>
      </c>
      <c r="R13" s="410">
        <f t="shared" si="0"/>
        <v>6297367.4300000006</v>
      </c>
      <c r="S13" s="229">
        <f t="shared" si="0"/>
        <v>2633</v>
      </c>
      <c r="T13" s="410">
        <f t="shared" si="0"/>
        <v>9728947.3300000001</v>
      </c>
      <c r="U13" s="285">
        <f t="shared" si="0"/>
        <v>26</v>
      </c>
      <c r="V13" s="410">
        <f t="shared" si="0"/>
        <v>48756108.560000002</v>
      </c>
      <c r="W13" s="410">
        <f>W15+W359</f>
        <v>431894.47</v>
      </c>
      <c r="X13" s="410">
        <f t="shared" si="0"/>
        <v>1358054679.4999998</v>
      </c>
      <c r="Y13" s="410">
        <f t="shared" si="0"/>
        <v>690.2</v>
      </c>
      <c r="Z13" s="410">
        <f t="shared" si="0"/>
        <v>166076.01999999999</v>
      </c>
      <c r="AA13" s="410">
        <f t="shared" si="0"/>
        <v>10239.220000000001</v>
      </c>
      <c r="AB13" s="410">
        <f t="shared" si="0"/>
        <v>22587036.84</v>
      </c>
      <c r="AC13" s="410">
        <f t="shared" si="0"/>
        <v>0</v>
      </c>
      <c r="AD13" s="410">
        <f t="shared" si="0"/>
        <v>0</v>
      </c>
      <c r="AE13" s="410">
        <f t="shared" si="0"/>
        <v>0</v>
      </c>
      <c r="AF13" s="410">
        <f t="shared" si="0"/>
        <v>0</v>
      </c>
      <c r="AG13" s="410">
        <f t="shared" si="0"/>
        <v>0</v>
      </c>
      <c r="AH13" s="410">
        <f t="shared" si="0"/>
        <v>0</v>
      </c>
      <c r="AI13" s="410">
        <f t="shared" si="0"/>
        <v>18155556.669999998</v>
      </c>
      <c r="AJ13" s="410">
        <f t="shared" si="0"/>
        <v>48330674.970000006</v>
      </c>
      <c r="AK13" s="410">
        <f t="shared" si="0"/>
        <v>24165337.480000004</v>
      </c>
      <c r="AL13" s="410">
        <f t="shared" si="0"/>
        <v>0</v>
      </c>
      <c r="AM13" s="229">
        <f t="shared" si="0"/>
        <v>0</v>
      </c>
      <c r="AN13" s="229">
        <f t="shared" si="0"/>
        <v>4736696.0599999996</v>
      </c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1017" t="s">
        <v>1179</v>
      </c>
      <c r="BO13" s="1017"/>
      <c r="BP13" s="1017"/>
      <c r="BQ13" s="1017"/>
      <c r="BR13" s="1017"/>
      <c r="BS13" s="1017"/>
      <c r="BT13" s="1017"/>
      <c r="BU13" s="1017"/>
      <c r="BV13" s="1017"/>
      <c r="BW13" s="1017"/>
      <c r="BX13" s="1017"/>
      <c r="BY13" s="1017"/>
    </row>
    <row r="14" spans="1:77" s="28" customFormat="1" ht="15" customHeight="1">
      <c r="A14" s="868" t="s">
        <v>1046</v>
      </c>
      <c r="B14" s="869"/>
      <c r="C14" s="991"/>
      <c r="D14" s="991"/>
      <c r="E14" s="869"/>
      <c r="F14" s="869"/>
      <c r="G14" s="869"/>
      <c r="H14" s="869"/>
      <c r="I14" s="869"/>
      <c r="J14" s="869"/>
      <c r="K14" s="991"/>
      <c r="L14" s="869"/>
      <c r="M14" s="991"/>
      <c r="N14" s="869"/>
      <c r="O14" s="991"/>
      <c r="P14" s="869"/>
      <c r="Q14" s="991"/>
      <c r="R14" s="869"/>
      <c r="S14" s="991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  <c r="AJ14" s="869"/>
      <c r="AK14" s="869"/>
      <c r="AL14" s="869"/>
      <c r="AM14" s="991"/>
      <c r="AN14" s="991"/>
      <c r="AO14" s="404">
        <f>H15-AO15</f>
        <v>15252852.930000067</v>
      </c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1017"/>
      <c r="BO14" s="1017"/>
      <c r="BP14" s="1017"/>
      <c r="BQ14" s="1017"/>
      <c r="BR14" s="1017"/>
      <c r="BS14" s="1017"/>
      <c r="BT14" s="1017"/>
      <c r="BU14" s="1017"/>
      <c r="BV14" s="1017"/>
      <c r="BW14" s="1017"/>
      <c r="BX14" s="1017"/>
      <c r="BY14" s="1017"/>
    </row>
    <row r="15" spans="1:77" s="28" customFormat="1" ht="11.25" customHeight="1">
      <c r="A15" s="822" t="s">
        <v>1025</v>
      </c>
      <c r="B15" s="822"/>
      <c r="C15" s="249">
        <f>C159+C168+C183+C188+C197+C202+C208+C225+C229+C233+C236+C239+C242+C245+C258+C261+C264+C270+C273+C281+C286+C289+C292+C299+C302+C306+C310+C314+C319+C322+C325+C328+C333+C342+C345+C357</f>
        <v>678125.87999999989</v>
      </c>
      <c r="D15" s="464" t="s">
        <v>1024</v>
      </c>
      <c r="E15" s="141" t="s">
        <v>391</v>
      </c>
      <c r="F15" s="308"/>
      <c r="G15" s="308"/>
      <c r="H15" s="371">
        <f>ROUND(H159+H168+H183+H188+H197+H202+H208+H225+H229+H233+H236+H239+H242+H245+H258+H261+H264+H270+H273+H281+H286+H289+H292+H299+H302+H306+H310+H314+H319+H322+H325+H328+H333+H342+H345+H357,2)</f>
        <v>825892644.36000001</v>
      </c>
      <c r="I15" s="501">
        <f t="shared" ref="I15:AL15" si="1">ROUND(I159+I168+I183+I188+I197+I202+I208+I225+I229+I233+I236+I239+I242+I245+I258+I261+I264+I270+I273+I281+I286+I289+I292+I299+I302+I306+I310+I314+I319+I322+I325+I328+I333+I342+I345+I357,2)</f>
        <v>69666479.430000007</v>
      </c>
      <c r="J15" s="501">
        <f t="shared" si="1"/>
        <v>9596194.5</v>
      </c>
      <c r="K15" s="501">
        <f t="shared" si="1"/>
        <v>4797</v>
      </c>
      <c r="L15" s="501">
        <f t="shared" si="1"/>
        <v>32599517.09</v>
      </c>
      <c r="M15" s="501">
        <f t="shared" si="1"/>
        <v>963</v>
      </c>
      <c r="N15" s="501">
        <f>ROUND(N159+N168+N183+N188+N197+N202+N208+N225+N229+N233+N236+N239+N242+N245+N258+N261+N264+N270+N273+N281+N286+N289+N292+N299+N302+N306+N310+N314+N319+N322+N325+N328+N333+N342+N345+N357,2)+0.01</f>
        <v>6289393.9799999995</v>
      </c>
      <c r="O15" s="501">
        <f t="shared" si="1"/>
        <v>2500</v>
      </c>
      <c r="P15" s="501">
        <f t="shared" si="1"/>
        <v>7719350.0499999998</v>
      </c>
      <c r="Q15" s="501">
        <f t="shared" si="1"/>
        <v>2009</v>
      </c>
      <c r="R15" s="501">
        <f t="shared" si="1"/>
        <v>5259289.1100000003</v>
      </c>
      <c r="S15" s="501">
        <f t="shared" si="1"/>
        <v>2312</v>
      </c>
      <c r="T15" s="501">
        <f t="shared" si="1"/>
        <v>8202734.71</v>
      </c>
      <c r="U15" s="131">
        <f t="shared" si="1"/>
        <v>17</v>
      </c>
      <c r="V15" s="501">
        <f t="shared" si="1"/>
        <v>31878994.07</v>
      </c>
      <c r="W15" s="501">
        <f t="shared" si="1"/>
        <v>207835.6</v>
      </c>
      <c r="X15" s="501">
        <f t="shared" si="1"/>
        <v>652584323.79999995</v>
      </c>
      <c r="Y15" s="501">
        <f t="shared" si="1"/>
        <v>690.2</v>
      </c>
      <c r="Z15" s="501">
        <f t="shared" si="1"/>
        <v>166076.01999999999</v>
      </c>
      <c r="AA15" s="501">
        <f t="shared" si="1"/>
        <v>9497.6200000000008</v>
      </c>
      <c r="AB15" s="501">
        <f t="shared" si="1"/>
        <v>21051329.41</v>
      </c>
      <c r="AC15" s="501">
        <f t="shared" si="1"/>
        <v>0</v>
      </c>
      <c r="AD15" s="501">
        <f t="shared" si="1"/>
        <v>0</v>
      </c>
      <c r="AE15" s="501">
        <f t="shared" si="1"/>
        <v>0</v>
      </c>
      <c r="AF15" s="501">
        <f t="shared" si="1"/>
        <v>0</v>
      </c>
      <c r="AG15" s="501">
        <f t="shared" si="1"/>
        <v>0</v>
      </c>
      <c r="AH15" s="501">
        <f t="shared" si="1"/>
        <v>0</v>
      </c>
      <c r="AI15" s="501">
        <f t="shared" si="1"/>
        <v>13418860.609999999</v>
      </c>
      <c r="AJ15" s="501">
        <f t="shared" si="1"/>
        <v>24751054.010000002</v>
      </c>
      <c r="AK15" s="501">
        <f t="shared" si="1"/>
        <v>12375527</v>
      </c>
      <c r="AL15" s="501">
        <f t="shared" si="1"/>
        <v>0</v>
      </c>
      <c r="AM15" s="446"/>
      <c r="AN15" s="446"/>
      <c r="AO15" s="28">
        <v>810639791.42999995</v>
      </c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89"/>
      <c r="BO15" s="489"/>
      <c r="BP15" s="489"/>
      <c r="BQ15" s="489"/>
      <c r="BR15" s="489"/>
      <c r="BS15" s="489"/>
      <c r="BT15" s="489"/>
      <c r="BU15" s="489"/>
      <c r="BV15" s="489"/>
      <c r="BW15" s="489"/>
      <c r="BX15" s="489"/>
      <c r="BY15" s="489"/>
    </row>
    <row r="16" spans="1:77" s="28" customFormat="1" ht="9" customHeight="1">
      <c r="A16" s="837" t="s">
        <v>217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38"/>
      <c r="AK16" s="838"/>
      <c r="AL16" s="838"/>
      <c r="AM16" s="838"/>
      <c r="AN16" s="839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2"/>
      <c r="BC16" s="492"/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</row>
    <row r="17" spans="1:77" s="28" customFormat="1" ht="9" customHeight="1">
      <c r="A17" s="278">
        <v>1</v>
      </c>
      <c r="B17" s="200" t="s">
        <v>476</v>
      </c>
      <c r="C17" s="465">
        <v>1337.92</v>
      </c>
      <c r="D17" s="466"/>
      <c r="E17" s="201" t="s">
        <v>1006</v>
      </c>
      <c r="F17" s="375">
        <f t="shared" ref="F17:F48" si="2">H17-G17</f>
        <v>0</v>
      </c>
      <c r="G17" s="375">
        <v>3156384</v>
      </c>
      <c r="H17" s="205">
        <v>3156384</v>
      </c>
      <c r="I17" s="368">
        <f>J17+L17+N17+P17+R17+T17</f>
        <v>0</v>
      </c>
      <c r="J17" s="205">
        <v>0</v>
      </c>
      <c r="K17" s="465">
        <v>0</v>
      </c>
      <c r="L17" s="205">
        <v>0</v>
      </c>
      <c r="M17" s="465">
        <v>0</v>
      </c>
      <c r="N17" s="205">
        <v>0</v>
      </c>
      <c r="O17" s="249">
        <v>0</v>
      </c>
      <c r="P17" s="368">
        <v>0</v>
      </c>
      <c r="Q17" s="249">
        <v>0</v>
      </c>
      <c r="R17" s="368">
        <v>0</v>
      </c>
      <c r="S17" s="249">
        <v>0</v>
      </c>
      <c r="T17" s="368">
        <v>0</v>
      </c>
      <c r="U17" s="130">
        <v>0</v>
      </c>
      <c r="V17" s="368">
        <v>0</v>
      </c>
      <c r="W17" s="368">
        <v>976</v>
      </c>
      <c r="X17" s="368">
        <f t="shared" ref="X17:X80" si="3">ROUND(H17/100*95.5,2)</f>
        <v>3014346.72</v>
      </c>
      <c r="Y17" s="368">
        <v>0</v>
      </c>
      <c r="Z17" s="368">
        <v>0</v>
      </c>
      <c r="AA17" s="368">
        <v>0</v>
      </c>
      <c r="AB17" s="368">
        <v>0</v>
      </c>
      <c r="AC17" s="368">
        <v>0</v>
      </c>
      <c r="AD17" s="368">
        <v>0</v>
      </c>
      <c r="AE17" s="368">
        <v>0</v>
      </c>
      <c r="AF17" s="368">
        <v>0</v>
      </c>
      <c r="AG17" s="368">
        <v>0</v>
      </c>
      <c r="AH17" s="368">
        <v>0</v>
      </c>
      <c r="AI17" s="368">
        <v>0</v>
      </c>
      <c r="AJ17" s="370">
        <f>ROUND(X17/95.5*3,2)</f>
        <v>94691.520000000004</v>
      </c>
      <c r="AK17" s="370">
        <f t="shared" ref="AK17:AK61" si="4">ROUND(X17/95.5*1.5,2)</f>
        <v>47345.760000000002</v>
      </c>
      <c r="AL17" s="370">
        <v>0</v>
      </c>
      <c r="AM17" s="447">
        <f t="shared" ref="AM17:AM62" si="5">H17/W17</f>
        <v>3234</v>
      </c>
      <c r="AN17" s="227">
        <v>4621.88</v>
      </c>
      <c r="AO17" s="404">
        <f>J15+L15+N15+P15+R15+T15+V15+X15+Z15+AB15+AI15+AJ15+AK15</f>
        <v>825892644.3599999</v>
      </c>
      <c r="AP17" s="486" t="e">
        <f t="shared" ref="AP17:AP80" si="6">J17/D17</f>
        <v>#DIV/0!</v>
      </c>
      <c r="AQ17" s="486" t="e">
        <f>L17/K17</f>
        <v>#DIV/0!</v>
      </c>
      <c r="AR17" s="486" t="e">
        <f>N17/M17</f>
        <v>#DIV/0!</v>
      </c>
      <c r="AS17" s="486" t="e">
        <f>P17/O17</f>
        <v>#DIV/0!</v>
      </c>
      <c r="AT17" s="486" t="e">
        <f>R17/Q17</f>
        <v>#DIV/0!</v>
      </c>
      <c r="AU17" s="486" t="e">
        <f>T17/S17</f>
        <v>#DIV/0!</v>
      </c>
      <c r="AV17" s="486" t="e">
        <f>V17/U17</f>
        <v>#DIV/0!</v>
      </c>
      <c r="AW17" s="486">
        <f>X17/W17</f>
        <v>3088.4700000000003</v>
      </c>
      <c r="AX17" s="486" t="e">
        <f>Z17/Y17</f>
        <v>#DIV/0!</v>
      </c>
      <c r="AY17" s="486" t="e">
        <f>AB17/AA17</f>
        <v>#DIV/0!</v>
      </c>
      <c r="AZ17" s="486" t="e">
        <f>AH17/AG17</f>
        <v>#DIV/0!</v>
      </c>
      <c r="BA17" s="486">
        <f t="shared" ref="BA17:BA80" si="7">AI17/C17</f>
        <v>0</v>
      </c>
      <c r="BB17" s="494">
        <v>5155.41</v>
      </c>
      <c r="BC17" s="494">
        <v>2070.12</v>
      </c>
      <c r="BD17" s="494">
        <v>848.92</v>
      </c>
      <c r="BE17" s="494">
        <v>819.73</v>
      </c>
      <c r="BF17" s="494">
        <v>611.5</v>
      </c>
      <c r="BG17" s="494">
        <v>1080.04</v>
      </c>
      <c r="BH17" s="494">
        <v>2671800.0099999998</v>
      </c>
      <c r="BI17" s="494">
        <f>IF(E17="ПК",4607.6,4422.85)</f>
        <v>4422.8500000000004</v>
      </c>
      <c r="BJ17" s="494">
        <v>14289.54</v>
      </c>
      <c r="BK17" s="494">
        <v>3389.61</v>
      </c>
      <c r="BL17" s="494">
        <v>5995.76</v>
      </c>
      <c r="BM17" s="494">
        <v>548.62</v>
      </c>
      <c r="BN17" s="495" t="e">
        <f>IF(AP17&gt;BB17, "+", " ")</f>
        <v>#DIV/0!</v>
      </c>
      <c r="BO17" s="495" t="e">
        <f>IF(AQ17&gt;BC17, "+", " ")</f>
        <v>#DIV/0!</v>
      </c>
      <c r="BP17" s="495" t="e">
        <f t="shared" ref="BP17:BS17" si="8">IF(AR17&gt;BD17, "+", " ")</f>
        <v>#DIV/0!</v>
      </c>
      <c r="BQ17" s="495" t="e">
        <f t="shared" si="8"/>
        <v>#DIV/0!</v>
      </c>
      <c r="BR17" s="495" t="e">
        <f t="shared" si="8"/>
        <v>#DIV/0!</v>
      </c>
      <c r="BS17" s="495" t="e">
        <f t="shared" si="8"/>
        <v>#DIV/0!</v>
      </c>
      <c r="BT17" s="495" t="e">
        <f>IF(AV17&gt;BH17, "+", " ")</f>
        <v>#DIV/0!</v>
      </c>
      <c r="BU17" s="495" t="str">
        <f>IF(AW17&gt;BI17, "+", " ")</f>
        <v xml:space="preserve"> </v>
      </c>
      <c r="BV17" s="495" t="e">
        <f t="shared" ref="BV17" si="9">IF(AX17&gt;BJ17, "+", " ")</f>
        <v>#DIV/0!</v>
      </c>
      <c r="BW17" s="495" t="e">
        <f t="shared" ref="BW17" si="10">IF(AY17&gt;BK17, "+", " ")</f>
        <v>#DIV/0!</v>
      </c>
      <c r="BX17" s="495" t="e">
        <f>IF(AZ17&gt;BL17, "+", " ")</f>
        <v>#DIV/0!</v>
      </c>
      <c r="BY17" s="495" t="str">
        <f>IF(BA17&gt;BM17, "+", " ")</f>
        <v xml:space="preserve"> </v>
      </c>
    </row>
    <row r="18" spans="1:77" s="28" customFormat="1" ht="9" customHeight="1">
      <c r="A18" s="278">
        <v>2</v>
      </c>
      <c r="B18" s="200" t="s">
        <v>477</v>
      </c>
      <c r="C18" s="465">
        <v>3113.8</v>
      </c>
      <c r="D18" s="308"/>
      <c r="E18" s="141" t="s">
        <v>1005</v>
      </c>
      <c r="F18" s="375">
        <f t="shared" si="2"/>
        <v>0</v>
      </c>
      <c r="G18" s="374">
        <v>2770554</v>
      </c>
      <c r="H18" s="205">
        <v>2770554</v>
      </c>
      <c r="I18" s="368">
        <f t="shared" ref="I18:I81" si="11">J18+L18+N18+P18+R18+T18</f>
        <v>0</v>
      </c>
      <c r="J18" s="205">
        <v>0</v>
      </c>
      <c r="K18" s="465">
        <v>0</v>
      </c>
      <c r="L18" s="205">
        <v>0</v>
      </c>
      <c r="M18" s="465">
        <v>0</v>
      </c>
      <c r="N18" s="205">
        <v>0</v>
      </c>
      <c r="O18" s="249">
        <v>0</v>
      </c>
      <c r="P18" s="368">
        <v>0</v>
      </c>
      <c r="Q18" s="249">
        <v>0</v>
      </c>
      <c r="R18" s="368">
        <v>0</v>
      </c>
      <c r="S18" s="249">
        <v>0</v>
      </c>
      <c r="T18" s="368">
        <v>0</v>
      </c>
      <c r="U18" s="130">
        <v>0</v>
      </c>
      <c r="V18" s="368">
        <v>0</v>
      </c>
      <c r="W18" s="368">
        <v>831</v>
      </c>
      <c r="X18" s="368">
        <f t="shared" si="3"/>
        <v>2645879.0699999998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70">
        <f>ROUND(X18/95.5*3,2)</f>
        <v>83116.62</v>
      </c>
      <c r="AK18" s="370">
        <f t="shared" si="4"/>
        <v>41558.31</v>
      </c>
      <c r="AL18" s="370">
        <v>0</v>
      </c>
      <c r="AM18" s="447">
        <f t="shared" si="5"/>
        <v>3334</v>
      </c>
      <c r="AN18" s="227">
        <v>4814.95</v>
      </c>
      <c r="AP18" s="486" t="e">
        <f t="shared" si="6"/>
        <v>#DIV/0!</v>
      </c>
      <c r="AQ18" s="486" t="e">
        <f t="shared" ref="AQ18:AQ81" si="12">L18/K18</f>
        <v>#DIV/0!</v>
      </c>
      <c r="AR18" s="486" t="e">
        <f t="shared" ref="AR18:AR81" si="13">N18/M18</f>
        <v>#DIV/0!</v>
      </c>
      <c r="AS18" s="486" t="e">
        <f t="shared" ref="AS18:AS81" si="14">P18/O18</f>
        <v>#DIV/0!</v>
      </c>
      <c r="AT18" s="486" t="e">
        <f t="shared" ref="AT18:AT81" si="15">R18/Q18</f>
        <v>#DIV/0!</v>
      </c>
      <c r="AU18" s="486" t="e">
        <f t="shared" ref="AU18:AU81" si="16">T18/S18</f>
        <v>#DIV/0!</v>
      </c>
      <c r="AV18" s="486" t="e">
        <f t="shared" ref="AV18:AV81" si="17">V18/U18</f>
        <v>#DIV/0!</v>
      </c>
      <c r="AW18" s="486">
        <f t="shared" ref="AW18:AW81" si="18">X18/W18</f>
        <v>3183.97</v>
      </c>
      <c r="AX18" s="486" t="e">
        <f t="shared" ref="AX18:AX81" si="19">Z18/Y18</f>
        <v>#DIV/0!</v>
      </c>
      <c r="AY18" s="486" t="e">
        <f t="shared" ref="AY18:AY81" si="20">AB18/AA18</f>
        <v>#DIV/0!</v>
      </c>
      <c r="AZ18" s="486" t="e">
        <f t="shared" ref="AZ18:AZ81" si="21">AH18/AG18</f>
        <v>#DIV/0!</v>
      </c>
      <c r="BA18" s="486">
        <f t="shared" si="7"/>
        <v>0</v>
      </c>
      <c r="BB18" s="494">
        <v>5155.41</v>
      </c>
      <c r="BC18" s="494">
        <v>2070.12</v>
      </c>
      <c r="BD18" s="494">
        <v>848.92</v>
      </c>
      <c r="BE18" s="494">
        <v>819.73</v>
      </c>
      <c r="BF18" s="494">
        <v>611.5</v>
      </c>
      <c r="BG18" s="494">
        <v>1080.04</v>
      </c>
      <c r="BH18" s="494">
        <v>2671800.0099999998</v>
      </c>
      <c r="BI18" s="494">
        <f t="shared" ref="BI18:BI34" si="22">IF(E18="ПК",4607.6,4422.85)</f>
        <v>4607.6000000000004</v>
      </c>
      <c r="BJ18" s="494">
        <v>14289.54</v>
      </c>
      <c r="BK18" s="494">
        <v>3389.61</v>
      </c>
      <c r="BL18" s="494">
        <v>5995.76</v>
      </c>
      <c r="BM18" s="494">
        <v>548.62</v>
      </c>
      <c r="BN18" s="495" t="e">
        <f t="shared" ref="BN18:BN81" si="23">IF(AP18&gt;BB18, "+", " ")</f>
        <v>#DIV/0!</v>
      </c>
      <c r="BO18" s="495" t="e">
        <f t="shared" ref="BO18:BO81" si="24">IF(AQ18&gt;BC18, "+", " ")</f>
        <v>#DIV/0!</v>
      </c>
      <c r="BP18" s="495" t="e">
        <f t="shared" ref="BP18:BP81" si="25">IF(AR18&gt;BD18, "+", " ")</f>
        <v>#DIV/0!</v>
      </c>
      <c r="BQ18" s="495" t="e">
        <f t="shared" ref="BQ18:BQ81" si="26">IF(AS18&gt;BE18, "+", " ")</f>
        <v>#DIV/0!</v>
      </c>
      <c r="BR18" s="495" t="e">
        <f t="shared" ref="BR18:BR81" si="27">IF(AT18&gt;BF18, "+", " ")</f>
        <v>#DIV/0!</v>
      </c>
      <c r="BS18" s="495" t="e">
        <f t="shared" ref="BS18:BS81" si="28">IF(AU18&gt;BG18, "+", " ")</f>
        <v>#DIV/0!</v>
      </c>
      <c r="BT18" s="495" t="e">
        <f t="shared" ref="BT18:BT81" si="29">IF(AV18&gt;BH18, "+", " ")</f>
        <v>#DIV/0!</v>
      </c>
      <c r="BU18" s="495" t="str">
        <f t="shared" ref="BU18:BU81" si="30">IF(AW18&gt;BI18, "+", " ")</f>
        <v xml:space="preserve"> </v>
      </c>
      <c r="BV18" s="495" t="e">
        <f t="shared" ref="BV18:BV81" si="31">IF(AX18&gt;BJ18, "+", " ")</f>
        <v>#DIV/0!</v>
      </c>
      <c r="BW18" s="495" t="e">
        <f t="shared" ref="BW18:BW81" si="32">IF(AY18&gt;BK18, "+", " ")</f>
        <v>#DIV/0!</v>
      </c>
      <c r="BX18" s="495" t="e">
        <f t="shared" ref="BX18:BX81" si="33">IF(AZ18&gt;BL18, "+", " ")</f>
        <v>#DIV/0!</v>
      </c>
      <c r="BY18" s="495" t="str">
        <f t="shared" ref="BY18:BY81" si="34">IF(BA18&gt;BM18, "+", " ")</f>
        <v xml:space="preserve"> </v>
      </c>
    </row>
    <row r="19" spans="1:77" s="28" customFormat="1" ht="9" customHeight="1">
      <c r="A19" s="278">
        <v>3</v>
      </c>
      <c r="B19" s="200" t="s">
        <v>478</v>
      </c>
      <c r="C19" s="465">
        <v>3103.7</v>
      </c>
      <c r="D19" s="308"/>
      <c r="E19" s="141" t="s">
        <v>1005</v>
      </c>
      <c r="F19" s="375">
        <f t="shared" si="2"/>
        <v>0</v>
      </c>
      <c r="G19" s="374">
        <v>2770554</v>
      </c>
      <c r="H19" s="205">
        <v>2770554</v>
      </c>
      <c r="I19" s="368">
        <f t="shared" si="11"/>
        <v>0</v>
      </c>
      <c r="J19" s="205">
        <v>0</v>
      </c>
      <c r="K19" s="465">
        <v>0</v>
      </c>
      <c r="L19" s="205">
        <v>0</v>
      </c>
      <c r="M19" s="465">
        <v>0</v>
      </c>
      <c r="N19" s="205">
        <v>0</v>
      </c>
      <c r="O19" s="249">
        <v>0</v>
      </c>
      <c r="P19" s="368">
        <v>0</v>
      </c>
      <c r="Q19" s="249">
        <v>0</v>
      </c>
      <c r="R19" s="368">
        <v>0</v>
      </c>
      <c r="S19" s="249">
        <v>0</v>
      </c>
      <c r="T19" s="368">
        <v>0</v>
      </c>
      <c r="U19" s="130">
        <v>0</v>
      </c>
      <c r="V19" s="368">
        <v>0</v>
      </c>
      <c r="W19" s="368">
        <v>831</v>
      </c>
      <c r="X19" s="368">
        <f t="shared" si="3"/>
        <v>2645879.0699999998</v>
      </c>
      <c r="Y19" s="368">
        <v>0</v>
      </c>
      <c r="Z19" s="368">
        <v>0</v>
      </c>
      <c r="AA19" s="368">
        <v>0</v>
      </c>
      <c r="AB19" s="368">
        <v>0</v>
      </c>
      <c r="AC19" s="368">
        <v>0</v>
      </c>
      <c r="AD19" s="368">
        <v>0</v>
      </c>
      <c r="AE19" s="368">
        <v>0</v>
      </c>
      <c r="AF19" s="368">
        <v>0</v>
      </c>
      <c r="AG19" s="368">
        <v>0</v>
      </c>
      <c r="AH19" s="368">
        <v>0</v>
      </c>
      <c r="AI19" s="368">
        <v>0</v>
      </c>
      <c r="AJ19" s="370">
        <f t="shared" ref="AJ19:AJ90" si="35">ROUND(X19/95.5*3,2)</f>
        <v>83116.62</v>
      </c>
      <c r="AK19" s="370">
        <f t="shared" si="4"/>
        <v>41558.31</v>
      </c>
      <c r="AL19" s="370">
        <v>0</v>
      </c>
      <c r="AM19" s="447">
        <f t="shared" si="5"/>
        <v>3334</v>
      </c>
      <c r="AN19" s="227">
        <v>4814.95</v>
      </c>
      <c r="AP19" s="486" t="e">
        <f t="shared" si="6"/>
        <v>#DIV/0!</v>
      </c>
      <c r="AQ19" s="486" t="e">
        <f t="shared" si="12"/>
        <v>#DIV/0!</v>
      </c>
      <c r="AR19" s="486" t="e">
        <f t="shared" si="13"/>
        <v>#DIV/0!</v>
      </c>
      <c r="AS19" s="486" t="e">
        <f t="shared" si="14"/>
        <v>#DIV/0!</v>
      </c>
      <c r="AT19" s="486" t="e">
        <f t="shared" si="15"/>
        <v>#DIV/0!</v>
      </c>
      <c r="AU19" s="486" t="e">
        <f t="shared" si="16"/>
        <v>#DIV/0!</v>
      </c>
      <c r="AV19" s="486" t="e">
        <f t="shared" si="17"/>
        <v>#DIV/0!</v>
      </c>
      <c r="AW19" s="486">
        <f t="shared" si="18"/>
        <v>3183.97</v>
      </c>
      <c r="AX19" s="486" t="e">
        <f t="shared" si="19"/>
        <v>#DIV/0!</v>
      </c>
      <c r="AY19" s="486" t="e">
        <f t="shared" si="20"/>
        <v>#DIV/0!</v>
      </c>
      <c r="AZ19" s="486" t="e">
        <f t="shared" si="21"/>
        <v>#DIV/0!</v>
      </c>
      <c r="BA19" s="486">
        <f t="shared" si="7"/>
        <v>0</v>
      </c>
      <c r="BB19" s="494">
        <v>5155.41</v>
      </c>
      <c r="BC19" s="494">
        <v>2070.12</v>
      </c>
      <c r="BD19" s="494">
        <v>848.92</v>
      </c>
      <c r="BE19" s="494">
        <v>819.73</v>
      </c>
      <c r="BF19" s="494">
        <v>611.5</v>
      </c>
      <c r="BG19" s="494">
        <v>1080.04</v>
      </c>
      <c r="BH19" s="494">
        <v>2671800.0099999998</v>
      </c>
      <c r="BI19" s="494">
        <f t="shared" si="22"/>
        <v>4607.6000000000004</v>
      </c>
      <c r="BJ19" s="494">
        <v>14289.54</v>
      </c>
      <c r="BK19" s="494">
        <v>3389.61</v>
      </c>
      <c r="BL19" s="494">
        <v>5995.76</v>
      </c>
      <c r="BM19" s="494">
        <v>548.62</v>
      </c>
      <c r="BN19" s="495" t="e">
        <f t="shared" si="23"/>
        <v>#DIV/0!</v>
      </c>
      <c r="BO19" s="495" t="e">
        <f t="shared" si="24"/>
        <v>#DIV/0!</v>
      </c>
      <c r="BP19" s="495" t="e">
        <f t="shared" si="25"/>
        <v>#DIV/0!</v>
      </c>
      <c r="BQ19" s="495" t="e">
        <f t="shared" si="26"/>
        <v>#DIV/0!</v>
      </c>
      <c r="BR19" s="495" t="e">
        <f t="shared" si="27"/>
        <v>#DIV/0!</v>
      </c>
      <c r="BS19" s="495" t="e">
        <f t="shared" si="28"/>
        <v>#DIV/0!</v>
      </c>
      <c r="BT19" s="495" t="e">
        <f t="shared" si="29"/>
        <v>#DIV/0!</v>
      </c>
      <c r="BU19" s="495" t="str">
        <f t="shared" si="30"/>
        <v xml:space="preserve"> </v>
      </c>
      <c r="BV19" s="495" t="e">
        <f t="shared" si="31"/>
        <v>#DIV/0!</v>
      </c>
      <c r="BW19" s="495" t="e">
        <f t="shared" si="32"/>
        <v>#DIV/0!</v>
      </c>
      <c r="BX19" s="495" t="e">
        <f t="shared" si="33"/>
        <v>#DIV/0!</v>
      </c>
      <c r="BY19" s="495" t="str">
        <f t="shared" si="34"/>
        <v xml:space="preserve"> </v>
      </c>
    </row>
    <row r="20" spans="1:77" s="28" customFormat="1" ht="9" customHeight="1">
      <c r="A20" s="366">
        <v>4</v>
      </c>
      <c r="B20" s="200" t="s">
        <v>479</v>
      </c>
      <c r="C20" s="465">
        <v>3133</v>
      </c>
      <c r="D20" s="308"/>
      <c r="E20" s="141" t="s">
        <v>1005</v>
      </c>
      <c r="F20" s="375">
        <f t="shared" si="2"/>
        <v>0</v>
      </c>
      <c r="G20" s="374">
        <v>2770554</v>
      </c>
      <c r="H20" s="205">
        <v>2770554</v>
      </c>
      <c r="I20" s="368">
        <f t="shared" si="11"/>
        <v>0</v>
      </c>
      <c r="J20" s="205">
        <v>0</v>
      </c>
      <c r="K20" s="465">
        <v>0</v>
      </c>
      <c r="L20" s="205">
        <v>0</v>
      </c>
      <c r="M20" s="465">
        <v>0</v>
      </c>
      <c r="N20" s="205">
        <v>0</v>
      </c>
      <c r="O20" s="249">
        <v>0</v>
      </c>
      <c r="P20" s="368">
        <v>0</v>
      </c>
      <c r="Q20" s="249">
        <v>0</v>
      </c>
      <c r="R20" s="368">
        <v>0</v>
      </c>
      <c r="S20" s="249">
        <v>0</v>
      </c>
      <c r="T20" s="368">
        <v>0</v>
      </c>
      <c r="U20" s="130">
        <v>0</v>
      </c>
      <c r="V20" s="368">
        <v>0</v>
      </c>
      <c r="W20" s="368">
        <v>831</v>
      </c>
      <c r="X20" s="368">
        <f t="shared" si="3"/>
        <v>2645879.0699999998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368">
        <v>0</v>
      </c>
      <c r="AE20" s="368">
        <v>0</v>
      </c>
      <c r="AF20" s="368">
        <v>0</v>
      </c>
      <c r="AG20" s="368">
        <v>0</v>
      </c>
      <c r="AH20" s="368">
        <v>0</v>
      </c>
      <c r="AI20" s="368">
        <v>0</v>
      </c>
      <c r="AJ20" s="370">
        <f t="shared" si="35"/>
        <v>83116.62</v>
      </c>
      <c r="AK20" s="370">
        <f t="shared" si="4"/>
        <v>41558.31</v>
      </c>
      <c r="AL20" s="370">
        <v>0</v>
      </c>
      <c r="AM20" s="447">
        <f t="shared" si="5"/>
        <v>3334</v>
      </c>
      <c r="AN20" s="227">
        <v>4814.95</v>
      </c>
      <c r="AP20" s="486" t="e">
        <f t="shared" si="6"/>
        <v>#DIV/0!</v>
      </c>
      <c r="AQ20" s="486" t="e">
        <f t="shared" si="12"/>
        <v>#DIV/0!</v>
      </c>
      <c r="AR20" s="486" t="e">
        <f t="shared" si="13"/>
        <v>#DIV/0!</v>
      </c>
      <c r="AS20" s="486" t="e">
        <f t="shared" si="14"/>
        <v>#DIV/0!</v>
      </c>
      <c r="AT20" s="486" t="e">
        <f t="shared" si="15"/>
        <v>#DIV/0!</v>
      </c>
      <c r="AU20" s="486" t="e">
        <f t="shared" si="16"/>
        <v>#DIV/0!</v>
      </c>
      <c r="AV20" s="486" t="e">
        <f t="shared" si="17"/>
        <v>#DIV/0!</v>
      </c>
      <c r="AW20" s="486">
        <f t="shared" si="18"/>
        <v>3183.97</v>
      </c>
      <c r="AX20" s="486" t="e">
        <f t="shared" si="19"/>
        <v>#DIV/0!</v>
      </c>
      <c r="AY20" s="486" t="e">
        <f t="shared" si="20"/>
        <v>#DIV/0!</v>
      </c>
      <c r="AZ20" s="486" t="e">
        <f t="shared" si="21"/>
        <v>#DIV/0!</v>
      </c>
      <c r="BA20" s="486">
        <f t="shared" si="7"/>
        <v>0</v>
      </c>
      <c r="BB20" s="494">
        <v>5155.41</v>
      </c>
      <c r="BC20" s="494">
        <v>2070.12</v>
      </c>
      <c r="BD20" s="494">
        <v>848.92</v>
      </c>
      <c r="BE20" s="494">
        <v>819.73</v>
      </c>
      <c r="BF20" s="494">
        <v>611.5</v>
      </c>
      <c r="BG20" s="494">
        <v>1080.04</v>
      </c>
      <c r="BH20" s="494">
        <v>2671800.0099999998</v>
      </c>
      <c r="BI20" s="494">
        <f t="shared" si="22"/>
        <v>4607.6000000000004</v>
      </c>
      <c r="BJ20" s="494">
        <v>14289.54</v>
      </c>
      <c r="BK20" s="494">
        <v>3389.61</v>
      </c>
      <c r="BL20" s="494">
        <v>5995.76</v>
      </c>
      <c r="BM20" s="494">
        <v>548.62</v>
      </c>
      <c r="BN20" s="495" t="e">
        <f t="shared" si="23"/>
        <v>#DIV/0!</v>
      </c>
      <c r="BO20" s="495" t="e">
        <f t="shared" si="24"/>
        <v>#DIV/0!</v>
      </c>
      <c r="BP20" s="495" t="e">
        <f t="shared" si="25"/>
        <v>#DIV/0!</v>
      </c>
      <c r="BQ20" s="495" t="e">
        <f t="shared" si="26"/>
        <v>#DIV/0!</v>
      </c>
      <c r="BR20" s="495" t="e">
        <f t="shared" si="27"/>
        <v>#DIV/0!</v>
      </c>
      <c r="BS20" s="495" t="e">
        <f t="shared" si="28"/>
        <v>#DIV/0!</v>
      </c>
      <c r="BT20" s="495" t="e">
        <f t="shared" si="29"/>
        <v>#DIV/0!</v>
      </c>
      <c r="BU20" s="495" t="str">
        <f t="shared" si="30"/>
        <v xml:space="preserve"> </v>
      </c>
      <c r="BV20" s="495" t="e">
        <f t="shared" si="31"/>
        <v>#DIV/0!</v>
      </c>
      <c r="BW20" s="495" t="e">
        <f t="shared" si="32"/>
        <v>#DIV/0!</v>
      </c>
      <c r="BX20" s="495" t="e">
        <f t="shared" si="33"/>
        <v>#DIV/0!</v>
      </c>
      <c r="BY20" s="495" t="str">
        <f t="shared" si="34"/>
        <v xml:space="preserve"> </v>
      </c>
    </row>
    <row r="21" spans="1:77" s="28" customFormat="1" ht="9" customHeight="1">
      <c r="A21" s="366">
        <v>5</v>
      </c>
      <c r="B21" s="200" t="s">
        <v>480</v>
      </c>
      <c r="C21" s="465">
        <v>3234.4</v>
      </c>
      <c r="D21" s="308"/>
      <c r="E21" s="141" t="s">
        <v>1005</v>
      </c>
      <c r="F21" s="375">
        <f t="shared" si="2"/>
        <v>0</v>
      </c>
      <c r="G21" s="374">
        <v>2770554</v>
      </c>
      <c r="H21" s="205">
        <v>2770554</v>
      </c>
      <c r="I21" s="368">
        <f t="shared" si="11"/>
        <v>0</v>
      </c>
      <c r="J21" s="205">
        <v>0</v>
      </c>
      <c r="K21" s="465">
        <v>0</v>
      </c>
      <c r="L21" s="205">
        <v>0</v>
      </c>
      <c r="M21" s="465">
        <v>0</v>
      </c>
      <c r="N21" s="205">
        <v>0</v>
      </c>
      <c r="O21" s="249">
        <v>0</v>
      </c>
      <c r="P21" s="368">
        <v>0</v>
      </c>
      <c r="Q21" s="249">
        <v>0</v>
      </c>
      <c r="R21" s="368">
        <v>0</v>
      </c>
      <c r="S21" s="249">
        <v>0</v>
      </c>
      <c r="T21" s="368">
        <v>0</v>
      </c>
      <c r="U21" s="130">
        <v>0</v>
      </c>
      <c r="V21" s="368">
        <v>0</v>
      </c>
      <c r="W21" s="368">
        <v>831</v>
      </c>
      <c r="X21" s="368">
        <f t="shared" si="3"/>
        <v>2645879.0699999998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368">
        <v>0</v>
      </c>
      <c r="AF21" s="368">
        <v>0</v>
      </c>
      <c r="AG21" s="368">
        <v>0</v>
      </c>
      <c r="AH21" s="368">
        <v>0</v>
      </c>
      <c r="AI21" s="368">
        <v>0</v>
      </c>
      <c r="AJ21" s="370">
        <f t="shared" si="35"/>
        <v>83116.62</v>
      </c>
      <c r="AK21" s="370">
        <f t="shared" si="4"/>
        <v>41558.31</v>
      </c>
      <c r="AL21" s="370">
        <v>0</v>
      </c>
      <c r="AM21" s="447">
        <f t="shared" si="5"/>
        <v>3334</v>
      </c>
      <c r="AN21" s="227">
        <v>4814.95</v>
      </c>
      <c r="AP21" s="486" t="e">
        <f t="shared" si="6"/>
        <v>#DIV/0!</v>
      </c>
      <c r="AQ21" s="486" t="e">
        <f t="shared" si="12"/>
        <v>#DIV/0!</v>
      </c>
      <c r="AR21" s="486" t="e">
        <f t="shared" si="13"/>
        <v>#DIV/0!</v>
      </c>
      <c r="AS21" s="486" t="e">
        <f t="shared" si="14"/>
        <v>#DIV/0!</v>
      </c>
      <c r="AT21" s="486" t="e">
        <f t="shared" si="15"/>
        <v>#DIV/0!</v>
      </c>
      <c r="AU21" s="486" t="e">
        <f t="shared" si="16"/>
        <v>#DIV/0!</v>
      </c>
      <c r="AV21" s="486" t="e">
        <f t="shared" si="17"/>
        <v>#DIV/0!</v>
      </c>
      <c r="AW21" s="486">
        <f t="shared" si="18"/>
        <v>3183.97</v>
      </c>
      <c r="AX21" s="486" t="e">
        <f t="shared" si="19"/>
        <v>#DIV/0!</v>
      </c>
      <c r="AY21" s="486" t="e">
        <f t="shared" si="20"/>
        <v>#DIV/0!</v>
      </c>
      <c r="AZ21" s="486" t="e">
        <f t="shared" si="21"/>
        <v>#DIV/0!</v>
      </c>
      <c r="BA21" s="486">
        <f t="shared" si="7"/>
        <v>0</v>
      </c>
      <c r="BB21" s="494">
        <v>5155.41</v>
      </c>
      <c r="BC21" s="494">
        <v>2070.12</v>
      </c>
      <c r="BD21" s="494">
        <v>848.92</v>
      </c>
      <c r="BE21" s="494">
        <v>819.73</v>
      </c>
      <c r="BF21" s="494">
        <v>611.5</v>
      </c>
      <c r="BG21" s="494">
        <v>1080.04</v>
      </c>
      <c r="BH21" s="494">
        <v>2671800.0099999998</v>
      </c>
      <c r="BI21" s="494">
        <f t="shared" si="22"/>
        <v>4607.6000000000004</v>
      </c>
      <c r="BJ21" s="494">
        <v>14289.54</v>
      </c>
      <c r="BK21" s="494">
        <v>3389.61</v>
      </c>
      <c r="BL21" s="494">
        <v>5995.76</v>
      </c>
      <c r="BM21" s="494">
        <v>548.62</v>
      </c>
      <c r="BN21" s="495" t="e">
        <f t="shared" si="23"/>
        <v>#DIV/0!</v>
      </c>
      <c r="BO21" s="495" t="e">
        <f t="shared" si="24"/>
        <v>#DIV/0!</v>
      </c>
      <c r="BP21" s="495" t="e">
        <f t="shared" si="25"/>
        <v>#DIV/0!</v>
      </c>
      <c r="BQ21" s="495" t="e">
        <f t="shared" si="26"/>
        <v>#DIV/0!</v>
      </c>
      <c r="BR21" s="495" t="e">
        <f t="shared" si="27"/>
        <v>#DIV/0!</v>
      </c>
      <c r="BS21" s="495" t="e">
        <f t="shared" si="28"/>
        <v>#DIV/0!</v>
      </c>
      <c r="BT21" s="495" t="e">
        <f t="shared" si="29"/>
        <v>#DIV/0!</v>
      </c>
      <c r="BU21" s="495" t="str">
        <f t="shared" si="30"/>
        <v xml:space="preserve"> </v>
      </c>
      <c r="BV21" s="495" t="e">
        <f t="shared" si="31"/>
        <v>#DIV/0!</v>
      </c>
      <c r="BW21" s="495" t="e">
        <f t="shared" si="32"/>
        <v>#DIV/0!</v>
      </c>
      <c r="BX21" s="495" t="e">
        <f t="shared" si="33"/>
        <v>#DIV/0!</v>
      </c>
      <c r="BY21" s="495" t="str">
        <f t="shared" si="34"/>
        <v xml:space="preserve"> </v>
      </c>
    </row>
    <row r="22" spans="1:77" s="28" customFormat="1" ht="9" customHeight="1">
      <c r="A22" s="366">
        <v>6</v>
      </c>
      <c r="B22" s="200" t="s">
        <v>481</v>
      </c>
      <c r="C22" s="465">
        <v>2881.9</v>
      </c>
      <c r="D22" s="308"/>
      <c r="E22" s="141" t="s">
        <v>1005</v>
      </c>
      <c r="F22" s="375">
        <f t="shared" si="2"/>
        <v>0</v>
      </c>
      <c r="G22" s="374">
        <v>2417150</v>
      </c>
      <c r="H22" s="205">
        <v>2417150</v>
      </c>
      <c r="I22" s="368">
        <f t="shared" si="11"/>
        <v>0</v>
      </c>
      <c r="J22" s="205">
        <v>0</v>
      </c>
      <c r="K22" s="465">
        <v>0</v>
      </c>
      <c r="L22" s="205">
        <v>0</v>
      </c>
      <c r="M22" s="465">
        <v>0</v>
      </c>
      <c r="N22" s="205">
        <v>0</v>
      </c>
      <c r="O22" s="249">
        <v>0</v>
      </c>
      <c r="P22" s="368">
        <v>0</v>
      </c>
      <c r="Q22" s="249">
        <v>0</v>
      </c>
      <c r="R22" s="368">
        <v>0</v>
      </c>
      <c r="S22" s="249">
        <v>0</v>
      </c>
      <c r="T22" s="368">
        <v>0</v>
      </c>
      <c r="U22" s="130">
        <v>0</v>
      </c>
      <c r="V22" s="368">
        <v>0</v>
      </c>
      <c r="W22" s="368">
        <v>725</v>
      </c>
      <c r="X22" s="368">
        <f t="shared" si="3"/>
        <v>2308378.25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0</v>
      </c>
      <c r="AF22" s="368">
        <v>0</v>
      </c>
      <c r="AG22" s="368">
        <v>0</v>
      </c>
      <c r="AH22" s="368">
        <v>0</v>
      </c>
      <c r="AI22" s="368">
        <v>0</v>
      </c>
      <c r="AJ22" s="370">
        <f t="shared" si="35"/>
        <v>72514.5</v>
      </c>
      <c r="AK22" s="370">
        <f t="shared" si="4"/>
        <v>36257.25</v>
      </c>
      <c r="AL22" s="370">
        <v>0</v>
      </c>
      <c r="AM22" s="447">
        <f t="shared" si="5"/>
        <v>3334</v>
      </c>
      <c r="AN22" s="227">
        <v>4814.95</v>
      </c>
      <c r="AP22" s="486" t="e">
        <f t="shared" si="6"/>
        <v>#DIV/0!</v>
      </c>
      <c r="AQ22" s="486" t="e">
        <f t="shared" si="12"/>
        <v>#DIV/0!</v>
      </c>
      <c r="AR22" s="486" t="e">
        <f t="shared" si="13"/>
        <v>#DIV/0!</v>
      </c>
      <c r="AS22" s="486" t="e">
        <f t="shared" si="14"/>
        <v>#DIV/0!</v>
      </c>
      <c r="AT22" s="486" t="e">
        <f t="shared" si="15"/>
        <v>#DIV/0!</v>
      </c>
      <c r="AU22" s="486" t="e">
        <f t="shared" si="16"/>
        <v>#DIV/0!</v>
      </c>
      <c r="AV22" s="486" t="e">
        <f t="shared" si="17"/>
        <v>#DIV/0!</v>
      </c>
      <c r="AW22" s="486">
        <f t="shared" si="18"/>
        <v>3183.97</v>
      </c>
      <c r="AX22" s="486" t="e">
        <f t="shared" si="19"/>
        <v>#DIV/0!</v>
      </c>
      <c r="AY22" s="486" t="e">
        <f t="shared" si="20"/>
        <v>#DIV/0!</v>
      </c>
      <c r="AZ22" s="486" t="e">
        <f t="shared" si="21"/>
        <v>#DIV/0!</v>
      </c>
      <c r="BA22" s="486">
        <f t="shared" si="7"/>
        <v>0</v>
      </c>
      <c r="BB22" s="494">
        <v>5155.41</v>
      </c>
      <c r="BC22" s="494">
        <v>2070.12</v>
      </c>
      <c r="BD22" s="494">
        <v>848.92</v>
      </c>
      <c r="BE22" s="494">
        <v>819.73</v>
      </c>
      <c r="BF22" s="494">
        <v>611.5</v>
      </c>
      <c r="BG22" s="494">
        <v>1080.04</v>
      </c>
      <c r="BH22" s="494">
        <v>2671800.0099999998</v>
      </c>
      <c r="BI22" s="494">
        <f t="shared" si="22"/>
        <v>4607.6000000000004</v>
      </c>
      <c r="BJ22" s="494">
        <v>14289.54</v>
      </c>
      <c r="BK22" s="494">
        <v>3389.61</v>
      </c>
      <c r="BL22" s="494">
        <v>5995.76</v>
      </c>
      <c r="BM22" s="494">
        <v>548.62</v>
      </c>
      <c r="BN22" s="495" t="e">
        <f t="shared" si="23"/>
        <v>#DIV/0!</v>
      </c>
      <c r="BO22" s="495" t="e">
        <f t="shared" si="24"/>
        <v>#DIV/0!</v>
      </c>
      <c r="BP22" s="495" t="e">
        <f t="shared" si="25"/>
        <v>#DIV/0!</v>
      </c>
      <c r="BQ22" s="495" t="e">
        <f t="shared" si="26"/>
        <v>#DIV/0!</v>
      </c>
      <c r="BR22" s="495" t="e">
        <f t="shared" si="27"/>
        <v>#DIV/0!</v>
      </c>
      <c r="BS22" s="495" t="e">
        <f t="shared" si="28"/>
        <v>#DIV/0!</v>
      </c>
      <c r="BT22" s="495" t="e">
        <f t="shared" si="29"/>
        <v>#DIV/0!</v>
      </c>
      <c r="BU22" s="495" t="str">
        <f t="shared" si="30"/>
        <v xml:space="preserve"> </v>
      </c>
      <c r="BV22" s="495" t="e">
        <f t="shared" si="31"/>
        <v>#DIV/0!</v>
      </c>
      <c r="BW22" s="495" t="e">
        <f t="shared" si="32"/>
        <v>#DIV/0!</v>
      </c>
      <c r="BX22" s="495" t="e">
        <f t="shared" si="33"/>
        <v>#DIV/0!</v>
      </c>
      <c r="BY22" s="495" t="str">
        <f t="shared" si="34"/>
        <v xml:space="preserve"> </v>
      </c>
    </row>
    <row r="23" spans="1:77" s="28" customFormat="1" ht="9" customHeight="1">
      <c r="A23" s="366">
        <v>7</v>
      </c>
      <c r="B23" s="200" t="s">
        <v>482</v>
      </c>
      <c r="C23" s="465">
        <v>2377.6</v>
      </c>
      <c r="D23" s="308"/>
      <c r="E23" s="141" t="s">
        <v>1005</v>
      </c>
      <c r="F23" s="375">
        <f t="shared" si="2"/>
        <v>0</v>
      </c>
      <c r="G23" s="374">
        <v>2890578</v>
      </c>
      <c r="H23" s="205">
        <v>2890578</v>
      </c>
      <c r="I23" s="368">
        <f t="shared" si="11"/>
        <v>0</v>
      </c>
      <c r="J23" s="205">
        <v>0</v>
      </c>
      <c r="K23" s="465">
        <v>0</v>
      </c>
      <c r="L23" s="205">
        <v>0</v>
      </c>
      <c r="M23" s="465">
        <v>0</v>
      </c>
      <c r="N23" s="205">
        <v>0</v>
      </c>
      <c r="O23" s="249">
        <v>0</v>
      </c>
      <c r="P23" s="368">
        <v>0</v>
      </c>
      <c r="Q23" s="249">
        <v>0</v>
      </c>
      <c r="R23" s="368">
        <v>0</v>
      </c>
      <c r="S23" s="249">
        <v>0</v>
      </c>
      <c r="T23" s="368">
        <v>0</v>
      </c>
      <c r="U23" s="130">
        <v>0</v>
      </c>
      <c r="V23" s="368">
        <v>0</v>
      </c>
      <c r="W23" s="368">
        <v>867</v>
      </c>
      <c r="X23" s="368">
        <f t="shared" si="3"/>
        <v>2760501.99</v>
      </c>
      <c r="Y23" s="368">
        <v>0</v>
      </c>
      <c r="Z23" s="368">
        <v>0</v>
      </c>
      <c r="AA23" s="368">
        <v>0</v>
      </c>
      <c r="AB23" s="368">
        <v>0</v>
      </c>
      <c r="AC23" s="368">
        <v>0</v>
      </c>
      <c r="AD23" s="368">
        <v>0</v>
      </c>
      <c r="AE23" s="368">
        <v>0</v>
      </c>
      <c r="AF23" s="368">
        <v>0</v>
      </c>
      <c r="AG23" s="368">
        <v>0</v>
      </c>
      <c r="AH23" s="368">
        <v>0</v>
      </c>
      <c r="AI23" s="368">
        <v>0</v>
      </c>
      <c r="AJ23" s="370">
        <f t="shared" si="35"/>
        <v>86717.34</v>
      </c>
      <c r="AK23" s="370">
        <f t="shared" si="4"/>
        <v>43358.67</v>
      </c>
      <c r="AL23" s="370">
        <v>0</v>
      </c>
      <c r="AM23" s="447">
        <f t="shared" si="5"/>
        <v>3334</v>
      </c>
      <c r="AN23" s="227">
        <v>4814.95</v>
      </c>
      <c r="AP23" s="486" t="e">
        <f t="shared" si="6"/>
        <v>#DIV/0!</v>
      </c>
      <c r="AQ23" s="486" t="e">
        <f t="shared" si="12"/>
        <v>#DIV/0!</v>
      </c>
      <c r="AR23" s="486" t="e">
        <f t="shared" si="13"/>
        <v>#DIV/0!</v>
      </c>
      <c r="AS23" s="486" t="e">
        <f t="shared" si="14"/>
        <v>#DIV/0!</v>
      </c>
      <c r="AT23" s="486" t="e">
        <f t="shared" si="15"/>
        <v>#DIV/0!</v>
      </c>
      <c r="AU23" s="486" t="e">
        <f t="shared" si="16"/>
        <v>#DIV/0!</v>
      </c>
      <c r="AV23" s="486" t="e">
        <f t="shared" si="17"/>
        <v>#DIV/0!</v>
      </c>
      <c r="AW23" s="486">
        <f t="shared" si="18"/>
        <v>3183.9700000000003</v>
      </c>
      <c r="AX23" s="486" t="e">
        <f t="shared" si="19"/>
        <v>#DIV/0!</v>
      </c>
      <c r="AY23" s="486" t="e">
        <f t="shared" si="20"/>
        <v>#DIV/0!</v>
      </c>
      <c r="AZ23" s="486" t="e">
        <f t="shared" si="21"/>
        <v>#DIV/0!</v>
      </c>
      <c r="BA23" s="486">
        <f t="shared" si="7"/>
        <v>0</v>
      </c>
      <c r="BB23" s="494">
        <v>5155.41</v>
      </c>
      <c r="BC23" s="494">
        <v>2070.12</v>
      </c>
      <c r="BD23" s="494">
        <v>848.92</v>
      </c>
      <c r="BE23" s="494">
        <v>819.73</v>
      </c>
      <c r="BF23" s="494">
        <v>611.5</v>
      </c>
      <c r="BG23" s="494">
        <v>1080.04</v>
      </c>
      <c r="BH23" s="494">
        <v>2671800.0099999998</v>
      </c>
      <c r="BI23" s="494">
        <f t="shared" si="22"/>
        <v>4607.6000000000004</v>
      </c>
      <c r="BJ23" s="494">
        <v>14289.54</v>
      </c>
      <c r="BK23" s="494">
        <v>3389.61</v>
      </c>
      <c r="BL23" s="494">
        <v>5995.76</v>
      </c>
      <c r="BM23" s="494">
        <v>548.62</v>
      </c>
      <c r="BN23" s="495" t="e">
        <f t="shared" si="23"/>
        <v>#DIV/0!</v>
      </c>
      <c r="BO23" s="495" t="e">
        <f t="shared" si="24"/>
        <v>#DIV/0!</v>
      </c>
      <c r="BP23" s="495" t="e">
        <f t="shared" si="25"/>
        <v>#DIV/0!</v>
      </c>
      <c r="BQ23" s="495" t="e">
        <f t="shared" si="26"/>
        <v>#DIV/0!</v>
      </c>
      <c r="BR23" s="495" t="e">
        <f t="shared" si="27"/>
        <v>#DIV/0!</v>
      </c>
      <c r="BS23" s="495" t="e">
        <f t="shared" si="28"/>
        <v>#DIV/0!</v>
      </c>
      <c r="BT23" s="495" t="e">
        <f t="shared" si="29"/>
        <v>#DIV/0!</v>
      </c>
      <c r="BU23" s="495" t="str">
        <f t="shared" si="30"/>
        <v xml:space="preserve"> </v>
      </c>
      <c r="BV23" s="495" t="e">
        <f t="shared" si="31"/>
        <v>#DIV/0!</v>
      </c>
      <c r="BW23" s="495" t="e">
        <f t="shared" si="32"/>
        <v>#DIV/0!</v>
      </c>
      <c r="BX23" s="495" t="e">
        <f t="shared" si="33"/>
        <v>#DIV/0!</v>
      </c>
      <c r="BY23" s="495" t="str">
        <f t="shared" si="34"/>
        <v xml:space="preserve"> </v>
      </c>
    </row>
    <row r="24" spans="1:77" s="28" customFormat="1" ht="9" customHeight="1">
      <c r="A24" s="366">
        <v>8</v>
      </c>
      <c r="B24" s="200" t="s">
        <v>483</v>
      </c>
      <c r="C24" s="465">
        <v>2525.73</v>
      </c>
      <c r="D24" s="466"/>
      <c r="E24" s="201" t="s">
        <v>1006</v>
      </c>
      <c r="F24" s="375">
        <f t="shared" si="2"/>
        <v>0</v>
      </c>
      <c r="G24" s="375">
        <v>2865324</v>
      </c>
      <c r="H24" s="205">
        <v>2865324</v>
      </c>
      <c r="I24" s="368">
        <f t="shared" si="11"/>
        <v>0</v>
      </c>
      <c r="J24" s="205">
        <v>0</v>
      </c>
      <c r="K24" s="465">
        <v>0</v>
      </c>
      <c r="L24" s="205">
        <v>0</v>
      </c>
      <c r="M24" s="465">
        <v>0</v>
      </c>
      <c r="N24" s="205">
        <v>0</v>
      </c>
      <c r="O24" s="249">
        <v>0</v>
      </c>
      <c r="P24" s="368">
        <v>0</v>
      </c>
      <c r="Q24" s="249">
        <v>0</v>
      </c>
      <c r="R24" s="368">
        <v>0</v>
      </c>
      <c r="S24" s="249">
        <v>0</v>
      </c>
      <c r="T24" s="368">
        <v>0</v>
      </c>
      <c r="U24" s="130">
        <v>0</v>
      </c>
      <c r="V24" s="368">
        <v>0</v>
      </c>
      <c r="W24" s="368">
        <v>886</v>
      </c>
      <c r="X24" s="368">
        <f t="shared" si="3"/>
        <v>2736384.42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0</v>
      </c>
      <c r="AF24" s="368">
        <v>0</v>
      </c>
      <c r="AG24" s="368">
        <v>0</v>
      </c>
      <c r="AH24" s="368">
        <v>0</v>
      </c>
      <c r="AI24" s="368">
        <v>0</v>
      </c>
      <c r="AJ24" s="370">
        <f t="shared" si="35"/>
        <v>85959.72</v>
      </c>
      <c r="AK24" s="370">
        <f t="shared" si="4"/>
        <v>42979.86</v>
      </c>
      <c r="AL24" s="370">
        <v>0</v>
      </c>
      <c r="AM24" s="447">
        <f t="shared" si="5"/>
        <v>3234</v>
      </c>
      <c r="AN24" s="227">
        <v>4621.88</v>
      </c>
      <c r="AP24" s="486" t="e">
        <f t="shared" si="6"/>
        <v>#DIV/0!</v>
      </c>
      <c r="AQ24" s="486" t="e">
        <f t="shared" si="12"/>
        <v>#DIV/0!</v>
      </c>
      <c r="AR24" s="486" t="e">
        <f t="shared" si="13"/>
        <v>#DIV/0!</v>
      </c>
      <c r="AS24" s="486" t="e">
        <f t="shared" si="14"/>
        <v>#DIV/0!</v>
      </c>
      <c r="AT24" s="486" t="e">
        <f t="shared" si="15"/>
        <v>#DIV/0!</v>
      </c>
      <c r="AU24" s="486" t="e">
        <f t="shared" si="16"/>
        <v>#DIV/0!</v>
      </c>
      <c r="AV24" s="486" t="e">
        <f t="shared" si="17"/>
        <v>#DIV/0!</v>
      </c>
      <c r="AW24" s="486">
        <f t="shared" si="18"/>
        <v>3088.47</v>
      </c>
      <c r="AX24" s="486" t="e">
        <f t="shared" si="19"/>
        <v>#DIV/0!</v>
      </c>
      <c r="AY24" s="486" t="e">
        <f t="shared" si="20"/>
        <v>#DIV/0!</v>
      </c>
      <c r="AZ24" s="486" t="e">
        <f t="shared" si="21"/>
        <v>#DIV/0!</v>
      </c>
      <c r="BA24" s="486">
        <f t="shared" si="7"/>
        <v>0</v>
      </c>
      <c r="BB24" s="494">
        <v>5155.41</v>
      </c>
      <c r="BC24" s="494">
        <v>2070.12</v>
      </c>
      <c r="BD24" s="494">
        <v>848.92</v>
      </c>
      <c r="BE24" s="494">
        <v>819.73</v>
      </c>
      <c r="BF24" s="494">
        <v>611.5</v>
      </c>
      <c r="BG24" s="494">
        <v>1080.04</v>
      </c>
      <c r="BH24" s="494">
        <v>2671800.0099999998</v>
      </c>
      <c r="BI24" s="494">
        <f t="shared" si="22"/>
        <v>4422.8500000000004</v>
      </c>
      <c r="BJ24" s="494">
        <v>14289.54</v>
      </c>
      <c r="BK24" s="494">
        <v>3389.61</v>
      </c>
      <c r="BL24" s="494">
        <v>5995.76</v>
      </c>
      <c r="BM24" s="494">
        <v>548.62</v>
      </c>
      <c r="BN24" s="495" t="e">
        <f t="shared" si="23"/>
        <v>#DIV/0!</v>
      </c>
      <c r="BO24" s="495" t="e">
        <f t="shared" si="24"/>
        <v>#DIV/0!</v>
      </c>
      <c r="BP24" s="495" t="e">
        <f t="shared" si="25"/>
        <v>#DIV/0!</v>
      </c>
      <c r="BQ24" s="495" t="e">
        <f t="shared" si="26"/>
        <v>#DIV/0!</v>
      </c>
      <c r="BR24" s="495" t="e">
        <f t="shared" si="27"/>
        <v>#DIV/0!</v>
      </c>
      <c r="BS24" s="495" t="e">
        <f t="shared" si="28"/>
        <v>#DIV/0!</v>
      </c>
      <c r="BT24" s="495" t="e">
        <f t="shared" si="29"/>
        <v>#DIV/0!</v>
      </c>
      <c r="BU24" s="495" t="str">
        <f t="shared" si="30"/>
        <v xml:space="preserve"> </v>
      </c>
      <c r="BV24" s="495" t="e">
        <f t="shared" si="31"/>
        <v>#DIV/0!</v>
      </c>
      <c r="BW24" s="495" t="e">
        <f t="shared" si="32"/>
        <v>#DIV/0!</v>
      </c>
      <c r="BX24" s="495" t="e">
        <f t="shared" si="33"/>
        <v>#DIV/0!</v>
      </c>
      <c r="BY24" s="495" t="str">
        <f t="shared" si="34"/>
        <v xml:space="preserve"> </v>
      </c>
    </row>
    <row r="25" spans="1:77" s="28" customFormat="1" ht="9" customHeight="1">
      <c r="A25" s="366">
        <v>9</v>
      </c>
      <c r="B25" s="200" t="s">
        <v>484</v>
      </c>
      <c r="C25" s="465">
        <v>3098.8</v>
      </c>
      <c r="D25" s="308"/>
      <c r="E25" s="141" t="s">
        <v>1005</v>
      </c>
      <c r="F25" s="375">
        <f t="shared" si="2"/>
        <v>0</v>
      </c>
      <c r="G25" s="374">
        <v>1600320</v>
      </c>
      <c r="H25" s="205">
        <v>1600320</v>
      </c>
      <c r="I25" s="368">
        <f t="shared" si="11"/>
        <v>0</v>
      </c>
      <c r="J25" s="205">
        <v>0</v>
      </c>
      <c r="K25" s="465">
        <v>0</v>
      </c>
      <c r="L25" s="205">
        <v>0</v>
      </c>
      <c r="M25" s="465">
        <v>0</v>
      </c>
      <c r="N25" s="205">
        <v>0</v>
      </c>
      <c r="O25" s="249">
        <v>0</v>
      </c>
      <c r="P25" s="368">
        <v>0</v>
      </c>
      <c r="Q25" s="249">
        <v>0</v>
      </c>
      <c r="R25" s="368">
        <v>0</v>
      </c>
      <c r="S25" s="249">
        <v>0</v>
      </c>
      <c r="T25" s="368">
        <v>0</v>
      </c>
      <c r="U25" s="130">
        <v>0</v>
      </c>
      <c r="V25" s="368">
        <v>0</v>
      </c>
      <c r="W25" s="368">
        <v>480</v>
      </c>
      <c r="X25" s="368">
        <f t="shared" si="3"/>
        <v>1528305.6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0</v>
      </c>
      <c r="AF25" s="368">
        <v>0</v>
      </c>
      <c r="AG25" s="368">
        <v>0</v>
      </c>
      <c r="AH25" s="368">
        <v>0</v>
      </c>
      <c r="AI25" s="368">
        <v>0</v>
      </c>
      <c r="AJ25" s="370">
        <f t="shared" si="35"/>
        <v>48009.599999999999</v>
      </c>
      <c r="AK25" s="370">
        <f t="shared" si="4"/>
        <v>24004.799999999999</v>
      </c>
      <c r="AL25" s="370">
        <v>0</v>
      </c>
      <c r="AM25" s="447">
        <f t="shared" si="5"/>
        <v>3334</v>
      </c>
      <c r="AN25" s="227">
        <v>4814.95</v>
      </c>
      <c r="AP25" s="486" t="e">
        <f t="shared" si="6"/>
        <v>#DIV/0!</v>
      </c>
      <c r="AQ25" s="486" t="e">
        <f t="shared" si="12"/>
        <v>#DIV/0!</v>
      </c>
      <c r="AR25" s="486" t="e">
        <f t="shared" si="13"/>
        <v>#DIV/0!</v>
      </c>
      <c r="AS25" s="486" t="e">
        <f t="shared" si="14"/>
        <v>#DIV/0!</v>
      </c>
      <c r="AT25" s="486" t="e">
        <f t="shared" si="15"/>
        <v>#DIV/0!</v>
      </c>
      <c r="AU25" s="486" t="e">
        <f t="shared" si="16"/>
        <v>#DIV/0!</v>
      </c>
      <c r="AV25" s="486" t="e">
        <f t="shared" si="17"/>
        <v>#DIV/0!</v>
      </c>
      <c r="AW25" s="486">
        <f t="shared" si="18"/>
        <v>3183.9700000000003</v>
      </c>
      <c r="AX25" s="486" t="e">
        <f t="shared" si="19"/>
        <v>#DIV/0!</v>
      </c>
      <c r="AY25" s="486" t="e">
        <f t="shared" si="20"/>
        <v>#DIV/0!</v>
      </c>
      <c r="AZ25" s="486" t="e">
        <f t="shared" si="21"/>
        <v>#DIV/0!</v>
      </c>
      <c r="BA25" s="486">
        <f t="shared" si="7"/>
        <v>0</v>
      </c>
      <c r="BB25" s="494">
        <v>5155.41</v>
      </c>
      <c r="BC25" s="494">
        <v>2070.12</v>
      </c>
      <c r="BD25" s="494">
        <v>848.92</v>
      </c>
      <c r="BE25" s="494">
        <v>819.73</v>
      </c>
      <c r="BF25" s="494">
        <v>611.5</v>
      </c>
      <c r="BG25" s="494">
        <v>1080.04</v>
      </c>
      <c r="BH25" s="494">
        <v>2671800.0099999998</v>
      </c>
      <c r="BI25" s="494">
        <f t="shared" si="22"/>
        <v>4607.6000000000004</v>
      </c>
      <c r="BJ25" s="494">
        <v>14289.54</v>
      </c>
      <c r="BK25" s="494">
        <v>3389.61</v>
      </c>
      <c r="BL25" s="494">
        <v>5995.76</v>
      </c>
      <c r="BM25" s="494">
        <v>548.62</v>
      </c>
      <c r="BN25" s="495" t="e">
        <f t="shared" si="23"/>
        <v>#DIV/0!</v>
      </c>
      <c r="BO25" s="495" t="e">
        <f t="shared" si="24"/>
        <v>#DIV/0!</v>
      </c>
      <c r="BP25" s="495" t="e">
        <f t="shared" si="25"/>
        <v>#DIV/0!</v>
      </c>
      <c r="BQ25" s="495" t="e">
        <f t="shared" si="26"/>
        <v>#DIV/0!</v>
      </c>
      <c r="BR25" s="495" t="e">
        <f t="shared" si="27"/>
        <v>#DIV/0!</v>
      </c>
      <c r="BS25" s="495" t="e">
        <f t="shared" si="28"/>
        <v>#DIV/0!</v>
      </c>
      <c r="BT25" s="495" t="e">
        <f t="shared" si="29"/>
        <v>#DIV/0!</v>
      </c>
      <c r="BU25" s="495" t="str">
        <f t="shared" si="30"/>
        <v xml:space="preserve"> </v>
      </c>
      <c r="BV25" s="495" t="e">
        <f t="shared" si="31"/>
        <v>#DIV/0!</v>
      </c>
      <c r="BW25" s="495" t="e">
        <f t="shared" si="32"/>
        <v>#DIV/0!</v>
      </c>
      <c r="BX25" s="495" t="e">
        <f t="shared" si="33"/>
        <v>#DIV/0!</v>
      </c>
      <c r="BY25" s="495" t="str">
        <f t="shared" si="34"/>
        <v xml:space="preserve"> </v>
      </c>
    </row>
    <row r="26" spans="1:77" s="28" customFormat="1" ht="9" customHeight="1">
      <c r="A26" s="366">
        <v>10</v>
      </c>
      <c r="B26" s="200" t="s">
        <v>485</v>
      </c>
      <c r="C26" s="465">
        <v>1410.6</v>
      </c>
      <c r="D26" s="466"/>
      <c r="E26" s="201" t="s">
        <v>1006</v>
      </c>
      <c r="F26" s="375">
        <f t="shared" si="2"/>
        <v>0</v>
      </c>
      <c r="G26" s="375">
        <v>1853082</v>
      </c>
      <c r="H26" s="205">
        <v>1853082</v>
      </c>
      <c r="I26" s="368">
        <f t="shared" si="11"/>
        <v>0</v>
      </c>
      <c r="J26" s="205">
        <v>0</v>
      </c>
      <c r="K26" s="465">
        <v>0</v>
      </c>
      <c r="L26" s="205">
        <v>0</v>
      </c>
      <c r="M26" s="465">
        <v>0</v>
      </c>
      <c r="N26" s="205">
        <v>0</v>
      </c>
      <c r="O26" s="249">
        <v>0</v>
      </c>
      <c r="P26" s="368">
        <v>0</v>
      </c>
      <c r="Q26" s="249">
        <v>0</v>
      </c>
      <c r="R26" s="368">
        <v>0</v>
      </c>
      <c r="S26" s="249">
        <v>0</v>
      </c>
      <c r="T26" s="368">
        <v>0</v>
      </c>
      <c r="U26" s="130">
        <v>0</v>
      </c>
      <c r="V26" s="368">
        <v>0</v>
      </c>
      <c r="W26" s="368">
        <v>573</v>
      </c>
      <c r="X26" s="368">
        <f t="shared" si="3"/>
        <v>1769693.31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70">
        <f t="shared" si="35"/>
        <v>55592.46</v>
      </c>
      <c r="AK26" s="370">
        <f t="shared" si="4"/>
        <v>27796.23</v>
      </c>
      <c r="AL26" s="370">
        <v>0</v>
      </c>
      <c r="AM26" s="447">
        <f t="shared" si="5"/>
        <v>3234</v>
      </c>
      <c r="AN26" s="227">
        <v>4621.88</v>
      </c>
      <c r="AP26" s="486" t="e">
        <f t="shared" si="6"/>
        <v>#DIV/0!</v>
      </c>
      <c r="AQ26" s="486" t="e">
        <f t="shared" si="12"/>
        <v>#DIV/0!</v>
      </c>
      <c r="AR26" s="486" t="e">
        <f t="shared" si="13"/>
        <v>#DIV/0!</v>
      </c>
      <c r="AS26" s="486" t="e">
        <f t="shared" si="14"/>
        <v>#DIV/0!</v>
      </c>
      <c r="AT26" s="486" t="e">
        <f t="shared" si="15"/>
        <v>#DIV/0!</v>
      </c>
      <c r="AU26" s="486" t="e">
        <f t="shared" si="16"/>
        <v>#DIV/0!</v>
      </c>
      <c r="AV26" s="486" t="e">
        <f t="shared" si="17"/>
        <v>#DIV/0!</v>
      </c>
      <c r="AW26" s="486">
        <f t="shared" si="18"/>
        <v>3088.4700000000003</v>
      </c>
      <c r="AX26" s="486" t="e">
        <f t="shared" si="19"/>
        <v>#DIV/0!</v>
      </c>
      <c r="AY26" s="486" t="e">
        <f t="shared" si="20"/>
        <v>#DIV/0!</v>
      </c>
      <c r="AZ26" s="486" t="e">
        <f t="shared" si="21"/>
        <v>#DIV/0!</v>
      </c>
      <c r="BA26" s="486">
        <f t="shared" si="7"/>
        <v>0</v>
      </c>
      <c r="BB26" s="494">
        <v>5155.41</v>
      </c>
      <c r="BC26" s="494">
        <v>2070.12</v>
      </c>
      <c r="BD26" s="494">
        <v>848.92</v>
      </c>
      <c r="BE26" s="494">
        <v>819.73</v>
      </c>
      <c r="BF26" s="494">
        <v>611.5</v>
      </c>
      <c r="BG26" s="494">
        <v>1080.04</v>
      </c>
      <c r="BH26" s="494">
        <v>2671800.0099999998</v>
      </c>
      <c r="BI26" s="494">
        <f t="shared" si="22"/>
        <v>4422.8500000000004</v>
      </c>
      <c r="BJ26" s="494">
        <v>14289.54</v>
      </c>
      <c r="BK26" s="494">
        <v>3389.61</v>
      </c>
      <c r="BL26" s="494">
        <v>5995.76</v>
      </c>
      <c r="BM26" s="494">
        <v>548.62</v>
      </c>
      <c r="BN26" s="495" t="e">
        <f t="shared" si="23"/>
        <v>#DIV/0!</v>
      </c>
      <c r="BO26" s="495" t="e">
        <f t="shared" si="24"/>
        <v>#DIV/0!</v>
      </c>
      <c r="BP26" s="495" t="e">
        <f t="shared" si="25"/>
        <v>#DIV/0!</v>
      </c>
      <c r="BQ26" s="495" t="e">
        <f t="shared" si="26"/>
        <v>#DIV/0!</v>
      </c>
      <c r="BR26" s="495" t="e">
        <f t="shared" si="27"/>
        <v>#DIV/0!</v>
      </c>
      <c r="BS26" s="495" t="e">
        <f t="shared" si="28"/>
        <v>#DIV/0!</v>
      </c>
      <c r="BT26" s="495" t="e">
        <f t="shared" si="29"/>
        <v>#DIV/0!</v>
      </c>
      <c r="BU26" s="495" t="str">
        <f t="shared" si="30"/>
        <v xml:space="preserve"> </v>
      </c>
      <c r="BV26" s="495" t="e">
        <f t="shared" si="31"/>
        <v>#DIV/0!</v>
      </c>
      <c r="BW26" s="495" t="e">
        <f t="shared" si="32"/>
        <v>#DIV/0!</v>
      </c>
      <c r="BX26" s="495" t="e">
        <f t="shared" si="33"/>
        <v>#DIV/0!</v>
      </c>
      <c r="BY26" s="495" t="str">
        <f t="shared" si="34"/>
        <v xml:space="preserve"> </v>
      </c>
    </row>
    <row r="27" spans="1:77" s="28" customFormat="1" ht="9" customHeight="1">
      <c r="A27" s="366">
        <v>11</v>
      </c>
      <c r="B27" s="200" t="s">
        <v>486</v>
      </c>
      <c r="C27" s="465">
        <v>2579.1</v>
      </c>
      <c r="D27" s="466"/>
      <c r="E27" s="201" t="s">
        <v>1006</v>
      </c>
      <c r="F27" s="375">
        <f t="shared" si="2"/>
        <v>0</v>
      </c>
      <c r="G27" s="375">
        <v>3363360</v>
      </c>
      <c r="H27" s="205">
        <v>3363360</v>
      </c>
      <c r="I27" s="368">
        <f t="shared" si="11"/>
        <v>0</v>
      </c>
      <c r="J27" s="205">
        <v>0</v>
      </c>
      <c r="K27" s="465">
        <v>0</v>
      </c>
      <c r="L27" s="205">
        <v>0</v>
      </c>
      <c r="M27" s="465">
        <v>0</v>
      </c>
      <c r="N27" s="205">
        <v>0</v>
      </c>
      <c r="O27" s="249">
        <v>0</v>
      </c>
      <c r="P27" s="368">
        <v>0</v>
      </c>
      <c r="Q27" s="249">
        <v>0</v>
      </c>
      <c r="R27" s="368">
        <v>0</v>
      </c>
      <c r="S27" s="249">
        <v>0</v>
      </c>
      <c r="T27" s="368">
        <v>0</v>
      </c>
      <c r="U27" s="130">
        <v>0</v>
      </c>
      <c r="V27" s="368">
        <v>0</v>
      </c>
      <c r="W27" s="368">
        <v>1040</v>
      </c>
      <c r="X27" s="368">
        <f t="shared" si="3"/>
        <v>3212008.8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70">
        <f t="shared" si="35"/>
        <v>100900.8</v>
      </c>
      <c r="AK27" s="370">
        <f t="shared" si="4"/>
        <v>50450.400000000001</v>
      </c>
      <c r="AL27" s="370">
        <v>0</v>
      </c>
      <c r="AM27" s="447">
        <f t="shared" si="5"/>
        <v>3234</v>
      </c>
      <c r="AN27" s="227">
        <v>4621.88</v>
      </c>
      <c r="AP27" s="486" t="e">
        <f t="shared" si="6"/>
        <v>#DIV/0!</v>
      </c>
      <c r="AQ27" s="486" t="e">
        <f t="shared" si="12"/>
        <v>#DIV/0!</v>
      </c>
      <c r="AR27" s="486" t="e">
        <f t="shared" si="13"/>
        <v>#DIV/0!</v>
      </c>
      <c r="AS27" s="486" t="e">
        <f t="shared" si="14"/>
        <v>#DIV/0!</v>
      </c>
      <c r="AT27" s="486" t="e">
        <f t="shared" si="15"/>
        <v>#DIV/0!</v>
      </c>
      <c r="AU27" s="486" t="e">
        <f t="shared" si="16"/>
        <v>#DIV/0!</v>
      </c>
      <c r="AV27" s="486" t="e">
        <f t="shared" si="17"/>
        <v>#DIV/0!</v>
      </c>
      <c r="AW27" s="486">
        <f t="shared" si="18"/>
        <v>3088.47</v>
      </c>
      <c r="AX27" s="486" t="e">
        <f t="shared" si="19"/>
        <v>#DIV/0!</v>
      </c>
      <c r="AY27" s="486" t="e">
        <f t="shared" si="20"/>
        <v>#DIV/0!</v>
      </c>
      <c r="AZ27" s="486" t="e">
        <f t="shared" si="21"/>
        <v>#DIV/0!</v>
      </c>
      <c r="BA27" s="486">
        <f t="shared" si="7"/>
        <v>0</v>
      </c>
      <c r="BB27" s="494">
        <v>5155.41</v>
      </c>
      <c r="BC27" s="494">
        <v>2070.12</v>
      </c>
      <c r="BD27" s="494">
        <v>848.92</v>
      </c>
      <c r="BE27" s="494">
        <v>819.73</v>
      </c>
      <c r="BF27" s="494">
        <v>611.5</v>
      </c>
      <c r="BG27" s="494">
        <v>1080.04</v>
      </c>
      <c r="BH27" s="494">
        <v>2671800.0099999998</v>
      </c>
      <c r="BI27" s="494">
        <f t="shared" si="22"/>
        <v>4422.8500000000004</v>
      </c>
      <c r="BJ27" s="494">
        <v>14289.54</v>
      </c>
      <c r="BK27" s="494">
        <v>3389.61</v>
      </c>
      <c r="BL27" s="494">
        <v>5995.76</v>
      </c>
      <c r="BM27" s="494">
        <v>548.62</v>
      </c>
      <c r="BN27" s="495" t="e">
        <f t="shared" si="23"/>
        <v>#DIV/0!</v>
      </c>
      <c r="BO27" s="495" t="e">
        <f t="shared" si="24"/>
        <v>#DIV/0!</v>
      </c>
      <c r="BP27" s="495" t="e">
        <f t="shared" si="25"/>
        <v>#DIV/0!</v>
      </c>
      <c r="BQ27" s="495" t="e">
        <f t="shared" si="26"/>
        <v>#DIV/0!</v>
      </c>
      <c r="BR27" s="495" t="e">
        <f t="shared" si="27"/>
        <v>#DIV/0!</v>
      </c>
      <c r="BS27" s="495" t="e">
        <f t="shared" si="28"/>
        <v>#DIV/0!</v>
      </c>
      <c r="BT27" s="495" t="e">
        <f t="shared" si="29"/>
        <v>#DIV/0!</v>
      </c>
      <c r="BU27" s="495" t="str">
        <f t="shared" si="30"/>
        <v xml:space="preserve"> </v>
      </c>
      <c r="BV27" s="495" t="e">
        <f t="shared" si="31"/>
        <v>#DIV/0!</v>
      </c>
      <c r="BW27" s="495" t="e">
        <f t="shared" si="32"/>
        <v>#DIV/0!</v>
      </c>
      <c r="BX27" s="495" t="e">
        <f t="shared" si="33"/>
        <v>#DIV/0!</v>
      </c>
      <c r="BY27" s="495" t="str">
        <f t="shared" si="34"/>
        <v xml:space="preserve"> </v>
      </c>
    </row>
    <row r="28" spans="1:77" s="28" customFormat="1" ht="9" customHeight="1">
      <c r="A28" s="366">
        <v>12</v>
      </c>
      <c r="B28" s="200" t="s">
        <v>487</v>
      </c>
      <c r="C28" s="465">
        <v>3781.6</v>
      </c>
      <c r="D28" s="466"/>
      <c r="E28" s="201" t="s">
        <v>1006</v>
      </c>
      <c r="F28" s="375">
        <f t="shared" si="2"/>
        <v>0</v>
      </c>
      <c r="G28" s="375">
        <v>6073452</v>
      </c>
      <c r="H28" s="205">
        <v>6073452</v>
      </c>
      <c r="I28" s="368">
        <f t="shared" si="11"/>
        <v>0</v>
      </c>
      <c r="J28" s="205">
        <v>0</v>
      </c>
      <c r="K28" s="465">
        <v>0</v>
      </c>
      <c r="L28" s="205">
        <v>0</v>
      </c>
      <c r="M28" s="465">
        <v>0</v>
      </c>
      <c r="N28" s="205">
        <v>0</v>
      </c>
      <c r="O28" s="249">
        <v>0</v>
      </c>
      <c r="P28" s="368">
        <v>0</v>
      </c>
      <c r="Q28" s="249">
        <v>0</v>
      </c>
      <c r="R28" s="368">
        <v>0</v>
      </c>
      <c r="S28" s="249">
        <v>0</v>
      </c>
      <c r="T28" s="368">
        <v>0</v>
      </c>
      <c r="U28" s="130">
        <v>0</v>
      </c>
      <c r="V28" s="368">
        <v>0</v>
      </c>
      <c r="W28" s="368">
        <v>1878</v>
      </c>
      <c r="X28" s="368">
        <f t="shared" si="3"/>
        <v>5800146.6600000001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368">
        <v>0</v>
      </c>
      <c r="AE28" s="368">
        <v>0</v>
      </c>
      <c r="AF28" s="368">
        <v>0</v>
      </c>
      <c r="AG28" s="368">
        <v>0</v>
      </c>
      <c r="AH28" s="368">
        <v>0</v>
      </c>
      <c r="AI28" s="368">
        <v>0</v>
      </c>
      <c r="AJ28" s="370">
        <f t="shared" si="35"/>
        <v>182203.56</v>
      </c>
      <c r="AK28" s="370">
        <f t="shared" si="4"/>
        <v>91101.78</v>
      </c>
      <c r="AL28" s="370">
        <v>0</v>
      </c>
      <c r="AM28" s="447">
        <f t="shared" si="5"/>
        <v>3234</v>
      </c>
      <c r="AN28" s="227">
        <v>4621.88</v>
      </c>
      <c r="AP28" s="486" t="e">
        <f t="shared" si="6"/>
        <v>#DIV/0!</v>
      </c>
      <c r="AQ28" s="486" t="e">
        <f t="shared" si="12"/>
        <v>#DIV/0!</v>
      </c>
      <c r="AR28" s="486" t="e">
        <f t="shared" si="13"/>
        <v>#DIV/0!</v>
      </c>
      <c r="AS28" s="486" t="e">
        <f t="shared" si="14"/>
        <v>#DIV/0!</v>
      </c>
      <c r="AT28" s="486" t="e">
        <f t="shared" si="15"/>
        <v>#DIV/0!</v>
      </c>
      <c r="AU28" s="486" t="e">
        <f t="shared" si="16"/>
        <v>#DIV/0!</v>
      </c>
      <c r="AV28" s="486" t="e">
        <f t="shared" si="17"/>
        <v>#DIV/0!</v>
      </c>
      <c r="AW28" s="486">
        <f t="shared" si="18"/>
        <v>3088.4700000000003</v>
      </c>
      <c r="AX28" s="486" t="e">
        <f t="shared" si="19"/>
        <v>#DIV/0!</v>
      </c>
      <c r="AY28" s="486" t="e">
        <f t="shared" si="20"/>
        <v>#DIV/0!</v>
      </c>
      <c r="AZ28" s="486" t="e">
        <f t="shared" si="21"/>
        <v>#DIV/0!</v>
      </c>
      <c r="BA28" s="486">
        <f t="shared" si="7"/>
        <v>0</v>
      </c>
      <c r="BB28" s="494">
        <v>5155.41</v>
      </c>
      <c r="BC28" s="494">
        <v>2070.12</v>
      </c>
      <c r="BD28" s="494">
        <v>848.92</v>
      </c>
      <c r="BE28" s="494">
        <v>819.73</v>
      </c>
      <c r="BF28" s="494">
        <v>611.5</v>
      </c>
      <c r="BG28" s="494">
        <v>1080.04</v>
      </c>
      <c r="BH28" s="494">
        <v>2671800.0099999998</v>
      </c>
      <c r="BI28" s="494">
        <f t="shared" si="22"/>
        <v>4422.8500000000004</v>
      </c>
      <c r="BJ28" s="494">
        <v>14289.54</v>
      </c>
      <c r="BK28" s="494">
        <v>3389.61</v>
      </c>
      <c r="BL28" s="494">
        <v>5995.76</v>
      </c>
      <c r="BM28" s="494">
        <v>548.62</v>
      </c>
      <c r="BN28" s="495" t="e">
        <f t="shared" si="23"/>
        <v>#DIV/0!</v>
      </c>
      <c r="BO28" s="495" t="e">
        <f t="shared" si="24"/>
        <v>#DIV/0!</v>
      </c>
      <c r="BP28" s="495" t="e">
        <f t="shared" si="25"/>
        <v>#DIV/0!</v>
      </c>
      <c r="BQ28" s="495" t="e">
        <f t="shared" si="26"/>
        <v>#DIV/0!</v>
      </c>
      <c r="BR28" s="495" t="e">
        <f t="shared" si="27"/>
        <v>#DIV/0!</v>
      </c>
      <c r="BS28" s="495" t="e">
        <f t="shared" si="28"/>
        <v>#DIV/0!</v>
      </c>
      <c r="BT28" s="495" t="e">
        <f t="shared" si="29"/>
        <v>#DIV/0!</v>
      </c>
      <c r="BU28" s="495" t="str">
        <f t="shared" si="30"/>
        <v xml:space="preserve"> </v>
      </c>
      <c r="BV28" s="495" t="e">
        <f t="shared" si="31"/>
        <v>#DIV/0!</v>
      </c>
      <c r="BW28" s="495" t="e">
        <f t="shared" si="32"/>
        <v>#DIV/0!</v>
      </c>
      <c r="BX28" s="495" t="e">
        <f t="shared" si="33"/>
        <v>#DIV/0!</v>
      </c>
      <c r="BY28" s="495" t="str">
        <f t="shared" si="34"/>
        <v xml:space="preserve"> </v>
      </c>
    </row>
    <row r="29" spans="1:77" s="28" customFormat="1" ht="9" customHeight="1">
      <c r="A29" s="366">
        <v>13</v>
      </c>
      <c r="B29" s="200" t="s">
        <v>488</v>
      </c>
      <c r="C29" s="465">
        <v>3819.7</v>
      </c>
      <c r="D29" s="466"/>
      <c r="E29" s="201" t="s">
        <v>1006</v>
      </c>
      <c r="F29" s="375">
        <f t="shared" si="2"/>
        <v>0</v>
      </c>
      <c r="G29" s="375">
        <v>5724180</v>
      </c>
      <c r="H29" s="205">
        <v>5724180</v>
      </c>
      <c r="I29" s="368">
        <f t="shared" si="11"/>
        <v>0</v>
      </c>
      <c r="J29" s="205">
        <v>0</v>
      </c>
      <c r="K29" s="465">
        <v>0</v>
      </c>
      <c r="L29" s="205">
        <v>0</v>
      </c>
      <c r="M29" s="465">
        <v>0</v>
      </c>
      <c r="N29" s="205">
        <v>0</v>
      </c>
      <c r="O29" s="249">
        <v>0</v>
      </c>
      <c r="P29" s="368">
        <v>0</v>
      </c>
      <c r="Q29" s="249">
        <v>0</v>
      </c>
      <c r="R29" s="368">
        <v>0</v>
      </c>
      <c r="S29" s="249">
        <v>0</v>
      </c>
      <c r="T29" s="368">
        <v>0</v>
      </c>
      <c r="U29" s="130">
        <v>0</v>
      </c>
      <c r="V29" s="368">
        <v>0</v>
      </c>
      <c r="W29" s="368">
        <v>1770</v>
      </c>
      <c r="X29" s="368">
        <f t="shared" si="3"/>
        <v>5466591.9000000004</v>
      </c>
      <c r="Y29" s="368">
        <v>0</v>
      </c>
      <c r="Z29" s="368">
        <v>0</v>
      </c>
      <c r="AA29" s="368">
        <v>0</v>
      </c>
      <c r="AB29" s="368">
        <v>0</v>
      </c>
      <c r="AC29" s="368">
        <v>0</v>
      </c>
      <c r="AD29" s="368">
        <v>0</v>
      </c>
      <c r="AE29" s="368">
        <v>0</v>
      </c>
      <c r="AF29" s="368">
        <v>0</v>
      </c>
      <c r="AG29" s="368">
        <v>0</v>
      </c>
      <c r="AH29" s="368">
        <v>0</v>
      </c>
      <c r="AI29" s="368">
        <v>0</v>
      </c>
      <c r="AJ29" s="370">
        <f t="shared" si="35"/>
        <v>171725.4</v>
      </c>
      <c r="AK29" s="370">
        <f t="shared" si="4"/>
        <v>85862.7</v>
      </c>
      <c r="AL29" s="370">
        <v>0</v>
      </c>
      <c r="AM29" s="447">
        <f t="shared" si="5"/>
        <v>3234</v>
      </c>
      <c r="AN29" s="227">
        <v>4621.88</v>
      </c>
      <c r="AP29" s="486" t="e">
        <f t="shared" si="6"/>
        <v>#DIV/0!</v>
      </c>
      <c r="AQ29" s="486" t="e">
        <f t="shared" si="12"/>
        <v>#DIV/0!</v>
      </c>
      <c r="AR29" s="486" t="e">
        <f t="shared" si="13"/>
        <v>#DIV/0!</v>
      </c>
      <c r="AS29" s="486" t="e">
        <f t="shared" si="14"/>
        <v>#DIV/0!</v>
      </c>
      <c r="AT29" s="486" t="e">
        <f t="shared" si="15"/>
        <v>#DIV/0!</v>
      </c>
      <c r="AU29" s="486" t="e">
        <f t="shared" si="16"/>
        <v>#DIV/0!</v>
      </c>
      <c r="AV29" s="486" t="e">
        <f t="shared" si="17"/>
        <v>#DIV/0!</v>
      </c>
      <c r="AW29" s="486">
        <f t="shared" si="18"/>
        <v>3088.4700000000003</v>
      </c>
      <c r="AX29" s="486" t="e">
        <f t="shared" si="19"/>
        <v>#DIV/0!</v>
      </c>
      <c r="AY29" s="486" t="e">
        <f t="shared" si="20"/>
        <v>#DIV/0!</v>
      </c>
      <c r="AZ29" s="486" t="e">
        <f t="shared" si="21"/>
        <v>#DIV/0!</v>
      </c>
      <c r="BA29" s="486">
        <f t="shared" si="7"/>
        <v>0</v>
      </c>
      <c r="BB29" s="494">
        <v>5155.41</v>
      </c>
      <c r="BC29" s="494">
        <v>2070.12</v>
      </c>
      <c r="BD29" s="494">
        <v>848.92</v>
      </c>
      <c r="BE29" s="494">
        <v>819.73</v>
      </c>
      <c r="BF29" s="494">
        <v>611.5</v>
      </c>
      <c r="BG29" s="494">
        <v>1080.04</v>
      </c>
      <c r="BH29" s="494">
        <v>2671800.0099999998</v>
      </c>
      <c r="BI29" s="494">
        <f t="shared" si="22"/>
        <v>4422.8500000000004</v>
      </c>
      <c r="BJ29" s="494">
        <v>14289.54</v>
      </c>
      <c r="BK29" s="494">
        <v>3389.61</v>
      </c>
      <c r="BL29" s="494">
        <v>5995.76</v>
      </c>
      <c r="BM29" s="494">
        <v>548.62</v>
      </c>
      <c r="BN29" s="495" t="e">
        <f t="shared" si="23"/>
        <v>#DIV/0!</v>
      </c>
      <c r="BO29" s="495" t="e">
        <f t="shared" si="24"/>
        <v>#DIV/0!</v>
      </c>
      <c r="BP29" s="495" t="e">
        <f t="shared" si="25"/>
        <v>#DIV/0!</v>
      </c>
      <c r="BQ29" s="495" t="e">
        <f t="shared" si="26"/>
        <v>#DIV/0!</v>
      </c>
      <c r="BR29" s="495" t="e">
        <f t="shared" si="27"/>
        <v>#DIV/0!</v>
      </c>
      <c r="BS29" s="495" t="e">
        <f t="shared" si="28"/>
        <v>#DIV/0!</v>
      </c>
      <c r="BT29" s="495" t="e">
        <f t="shared" si="29"/>
        <v>#DIV/0!</v>
      </c>
      <c r="BU29" s="495" t="str">
        <f t="shared" si="30"/>
        <v xml:space="preserve"> </v>
      </c>
      <c r="BV29" s="495" t="e">
        <f t="shared" si="31"/>
        <v>#DIV/0!</v>
      </c>
      <c r="BW29" s="495" t="e">
        <f t="shared" si="32"/>
        <v>#DIV/0!</v>
      </c>
      <c r="BX29" s="495" t="e">
        <f t="shared" si="33"/>
        <v>#DIV/0!</v>
      </c>
      <c r="BY29" s="495" t="str">
        <f t="shared" si="34"/>
        <v xml:space="preserve"> </v>
      </c>
    </row>
    <row r="30" spans="1:77" s="28" customFormat="1" ht="9" customHeight="1">
      <c r="A30" s="366">
        <v>14</v>
      </c>
      <c r="B30" s="200" t="s">
        <v>489</v>
      </c>
      <c r="C30" s="465">
        <v>4509.6000000000004</v>
      </c>
      <c r="D30" s="466"/>
      <c r="E30" s="201" t="s">
        <v>1006</v>
      </c>
      <c r="F30" s="375">
        <f t="shared" si="2"/>
        <v>0</v>
      </c>
      <c r="G30" s="375">
        <v>4624620</v>
      </c>
      <c r="H30" s="205">
        <v>4624620</v>
      </c>
      <c r="I30" s="368">
        <f t="shared" si="11"/>
        <v>0</v>
      </c>
      <c r="J30" s="205">
        <v>0</v>
      </c>
      <c r="K30" s="465">
        <v>0</v>
      </c>
      <c r="L30" s="205">
        <v>0</v>
      </c>
      <c r="M30" s="465">
        <v>0</v>
      </c>
      <c r="N30" s="205">
        <v>0</v>
      </c>
      <c r="O30" s="249">
        <v>0</v>
      </c>
      <c r="P30" s="368">
        <v>0</v>
      </c>
      <c r="Q30" s="249">
        <v>0</v>
      </c>
      <c r="R30" s="368">
        <v>0</v>
      </c>
      <c r="S30" s="249">
        <v>0</v>
      </c>
      <c r="T30" s="368">
        <v>0</v>
      </c>
      <c r="U30" s="130">
        <v>0</v>
      </c>
      <c r="V30" s="368">
        <v>0</v>
      </c>
      <c r="W30" s="368">
        <v>1430</v>
      </c>
      <c r="X30" s="368">
        <f t="shared" si="3"/>
        <v>4416512.0999999996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368">
        <v>0</v>
      </c>
      <c r="AE30" s="368">
        <v>0</v>
      </c>
      <c r="AF30" s="368">
        <v>0</v>
      </c>
      <c r="AG30" s="368">
        <v>0</v>
      </c>
      <c r="AH30" s="368">
        <v>0</v>
      </c>
      <c r="AI30" s="368">
        <v>0</v>
      </c>
      <c r="AJ30" s="370">
        <f t="shared" si="35"/>
        <v>138738.6</v>
      </c>
      <c r="AK30" s="370">
        <f t="shared" si="4"/>
        <v>69369.3</v>
      </c>
      <c r="AL30" s="370">
        <v>0</v>
      </c>
      <c r="AM30" s="447">
        <f t="shared" si="5"/>
        <v>3234</v>
      </c>
      <c r="AN30" s="227">
        <v>4621.88</v>
      </c>
      <c r="AP30" s="486" t="e">
        <f t="shared" si="6"/>
        <v>#DIV/0!</v>
      </c>
      <c r="AQ30" s="486" t="e">
        <f t="shared" si="12"/>
        <v>#DIV/0!</v>
      </c>
      <c r="AR30" s="486" t="e">
        <f t="shared" si="13"/>
        <v>#DIV/0!</v>
      </c>
      <c r="AS30" s="486" t="e">
        <f t="shared" si="14"/>
        <v>#DIV/0!</v>
      </c>
      <c r="AT30" s="486" t="e">
        <f t="shared" si="15"/>
        <v>#DIV/0!</v>
      </c>
      <c r="AU30" s="486" t="e">
        <f t="shared" si="16"/>
        <v>#DIV/0!</v>
      </c>
      <c r="AV30" s="486" t="e">
        <f t="shared" si="17"/>
        <v>#DIV/0!</v>
      </c>
      <c r="AW30" s="486">
        <f t="shared" si="18"/>
        <v>3088.47</v>
      </c>
      <c r="AX30" s="486" t="e">
        <f t="shared" si="19"/>
        <v>#DIV/0!</v>
      </c>
      <c r="AY30" s="486" t="e">
        <f t="shared" si="20"/>
        <v>#DIV/0!</v>
      </c>
      <c r="AZ30" s="486" t="e">
        <f t="shared" si="21"/>
        <v>#DIV/0!</v>
      </c>
      <c r="BA30" s="486">
        <f t="shared" si="7"/>
        <v>0</v>
      </c>
      <c r="BB30" s="494">
        <v>5155.41</v>
      </c>
      <c r="BC30" s="494">
        <v>2070.12</v>
      </c>
      <c r="BD30" s="494">
        <v>848.92</v>
      </c>
      <c r="BE30" s="494">
        <v>819.73</v>
      </c>
      <c r="BF30" s="494">
        <v>611.5</v>
      </c>
      <c r="BG30" s="494">
        <v>1080.04</v>
      </c>
      <c r="BH30" s="494">
        <v>2671800.0099999998</v>
      </c>
      <c r="BI30" s="494">
        <f t="shared" si="22"/>
        <v>4422.8500000000004</v>
      </c>
      <c r="BJ30" s="494">
        <v>14289.54</v>
      </c>
      <c r="BK30" s="494">
        <v>3389.61</v>
      </c>
      <c r="BL30" s="494">
        <v>5995.76</v>
      </c>
      <c r="BM30" s="494">
        <v>548.62</v>
      </c>
      <c r="BN30" s="495" t="e">
        <f t="shared" si="23"/>
        <v>#DIV/0!</v>
      </c>
      <c r="BO30" s="495" t="e">
        <f t="shared" si="24"/>
        <v>#DIV/0!</v>
      </c>
      <c r="BP30" s="495" t="e">
        <f t="shared" si="25"/>
        <v>#DIV/0!</v>
      </c>
      <c r="BQ30" s="495" t="e">
        <f t="shared" si="26"/>
        <v>#DIV/0!</v>
      </c>
      <c r="BR30" s="495" t="e">
        <f t="shared" si="27"/>
        <v>#DIV/0!</v>
      </c>
      <c r="BS30" s="495" t="e">
        <f t="shared" si="28"/>
        <v>#DIV/0!</v>
      </c>
      <c r="BT30" s="495" t="e">
        <f t="shared" si="29"/>
        <v>#DIV/0!</v>
      </c>
      <c r="BU30" s="495" t="str">
        <f t="shared" si="30"/>
        <v xml:space="preserve"> </v>
      </c>
      <c r="BV30" s="495" t="e">
        <f t="shared" si="31"/>
        <v>#DIV/0!</v>
      </c>
      <c r="BW30" s="495" t="e">
        <f t="shared" si="32"/>
        <v>#DIV/0!</v>
      </c>
      <c r="BX30" s="495" t="e">
        <f t="shared" si="33"/>
        <v>#DIV/0!</v>
      </c>
      <c r="BY30" s="495" t="str">
        <f t="shared" si="34"/>
        <v xml:space="preserve"> </v>
      </c>
    </row>
    <row r="31" spans="1:77" s="28" customFormat="1" ht="9" customHeight="1">
      <c r="A31" s="366">
        <v>15</v>
      </c>
      <c r="B31" s="200" t="s">
        <v>490</v>
      </c>
      <c r="C31" s="465">
        <v>4084.6</v>
      </c>
      <c r="D31" s="308"/>
      <c r="E31" s="141" t="s">
        <v>1005</v>
      </c>
      <c r="F31" s="375">
        <f t="shared" si="2"/>
        <v>0</v>
      </c>
      <c r="G31" s="374">
        <v>3624058</v>
      </c>
      <c r="H31" s="205">
        <v>3624058</v>
      </c>
      <c r="I31" s="368">
        <f t="shared" si="11"/>
        <v>0</v>
      </c>
      <c r="J31" s="205">
        <v>0</v>
      </c>
      <c r="K31" s="465">
        <v>0</v>
      </c>
      <c r="L31" s="205">
        <v>0</v>
      </c>
      <c r="M31" s="465">
        <v>0</v>
      </c>
      <c r="N31" s="205">
        <v>0</v>
      </c>
      <c r="O31" s="249">
        <v>0</v>
      </c>
      <c r="P31" s="368">
        <v>0</v>
      </c>
      <c r="Q31" s="249">
        <v>0</v>
      </c>
      <c r="R31" s="368">
        <v>0</v>
      </c>
      <c r="S31" s="249">
        <v>0</v>
      </c>
      <c r="T31" s="368">
        <v>0</v>
      </c>
      <c r="U31" s="130">
        <v>0</v>
      </c>
      <c r="V31" s="368">
        <v>0</v>
      </c>
      <c r="W31" s="368">
        <v>1087</v>
      </c>
      <c r="X31" s="368">
        <f t="shared" si="3"/>
        <v>3460975.39</v>
      </c>
      <c r="Y31" s="368">
        <v>0</v>
      </c>
      <c r="Z31" s="368">
        <v>0</v>
      </c>
      <c r="AA31" s="368">
        <v>0</v>
      </c>
      <c r="AB31" s="368">
        <v>0</v>
      </c>
      <c r="AC31" s="368">
        <v>0</v>
      </c>
      <c r="AD31" s="368">
        <v>0</v>
      </c>
      <c r="AE31" s="368">
        <v>0</v>
      </c>
      <c r="AF31" s="368">
        <v>0</v>
      </c>
      <c r="AG31" s="368">
        <v>0</v>
      </c>
      <c r="AH31" s="368">
        <v>0</v>
      </c>
      <c r="AI31" s="368">
        <v>0</v>
      </c>
      <c r="AJ31" s="370">
        <f t="shared" si="35"/>
        <v>108721.74</v>
      </c>
      <c r="AK31" s="370">
        <f t="shared" si="4"/>
        <v>54360.87</v>
      </c>
      <c r="AL31" s="370">
        <v>0</v>
      </c>
      <c r="AM31" s="447">
        <f t="shared" si="5"/>
        <v>3334</v>
      </c>
      <c r="AN31" s="227">
        <v>4814.95</v>
      </c>
      <c r="AP31" s="486" t="e">
        <f t="shared" si="6"/>
        <v>#DIV/0!</v>
      </c>
      <c r="AQ31" s="486" t="e">
        <f t="shared" si="12"/>
        <v>#DIV/0!</v>
      </c>
      <c r="AR31" s="486" t="e">
        <f t="shared" si="13"/>
        <v>#DIV/0!</v>
      </c>
      <c r="AS31" s="486" t="e">
        <f t="shared" si="14"/>
        <v>#DIV/0!</v>
      </c>
      <c r="AT31" s="486" t="e">
        <f t="shared" si="15"/>
        <v>#DIV/0!</v>
      </c>
      <c r="AU31" s="486" t="e">
        <f t="shared" si="16"/>
        <v>#DIV/0!</v>
      </c>
      <c r="AV31" s="486" t="e">
        <f t="shared" si="17"/>
        <v>#DIV/0!</v>
      </c>
      <c r="AW31" s="486">
        <f t="shared" si="18"/>
        <v>3183.9700000000003</v>
      </c>
      <c r="AX31" s="486" t="e">
        <f t="shared" si="19"/>
        <v>#DIV/0!</v>
      </c>
      <c r="AY31" s="486" t="e">
        <f t="shared" si="20"/>
        <v>#DIV/0!</v>
      </c>
      <c r="AZ31" s="486" t="e">
        <f t="shared" si="21"/>
        <v>#DIV/0!</v>
      </c>
      <c r="BA31" s="486">
        <f t="shared" si="7"/>
        <v>0</v>
      </c>
      <c r="BB31" s="494">
        <v>5155.41</v>
      </c>
      <c r="BC31" s="494">
        <v>2070.12</v>
      </c>
      <c r="BD31" s="494">
        <v>848.92</v>
      </c>
      <c r="BE31" s="494">
        <v>819.73</v>
      </c>
      <c r="BF31" s="494">
        <v>611.5</v>
      </c>
      <c r="BG31" s="494">
        <v>1080.04</v>
      </c>
      <c r="BH31" s="494">
        <v>2671800.0099999998</v>
      </c>
      <c r="BI31" s="494">
        <f t="shared" si="22"/>
        <v>4607.6000000000004</v>
      </c>
      <c r="BJ31" s="494">
        <v>14289.54</v>
      </c>
      <c r="BK31" s="494">
        <v>3389.61</v>
      </c>
      <c r="BL31" s="494">
        <v>5995.76</v>
      </c>
      <c r="BM31" s="494">
        <v>548.62</v>
      </c>
      <c r="BN31" s="495" t="e">
        <f t="shared" si="23"/>
        <v>#DIV/0!</v>
      </c>
      <c r="BO31" s="495" t="e">
        <f t="shared" si="24"/>
        <v>#DIV/0!</v>
      </c>
      <c r="BP31" s="495" t="e">
        <f t="shared" si="25"/>
        <v>#DIV/0!</v>
      </c>
      <c r="BQ31" s="495" t="e">
        <f t="shared" si="26"/>
        <v>#DIV/0!</v>
      </c>
      <c r="BR31" s="495" t="e">
        <f t="shared" si="27"/>
        <v>#DIV/0!</v>
      </c>
      <c r="BS31" s="495" t="e">
        <f t="shared" si="28"/>
        <v>#DIV/0!</v>
      </c>
      <c r="BT31" s="495" t="e">
        <f t="shared" si="29"/>
        <v>#DIV/0!</v>
      </c>
      <c r="BU31" s="495" t="str">
        <f t="shared" si="30"/>
        <v xml:space="preserve"> </v>
      </c>
      <c r="BV31" s="495" t="e">
        <f t="shared" si="31"/>
        <v>#DIV/0!</v>
      </c>
      <c r="BW31" s="495" t="e">
        <f t="shared" si="32"/>
        <v>#DIV/0!</v>
      </c>
      <c r="BX31" s="495" t="e">
        <f t="shared" si="33"/>
        <v>#DIV/0!</v>
      </c>
      <c r="BY31" s="495" t="str">
        <f t="shared" si="34"/>
        <v xml:space="preserve"> </v>
      </c>
    </row>
    <row r="32" spans="1:77" s="28" customFormat="1" ht="9" customHeight="1">
      <c r="A32" s="366">
        <v>16</v>
      </c>
      <c r="B32" s="200" t="s">
        <v>491</v>
      </c>
      <c r="C32" s="465">
        <v>4230.7</v>
      </c>
      <c r="D32" s="308"/>
      <c r="E32" s="141" t="s">
        <v>1005</v>
      </c>
      <c r="F32" s="375">
        <f t="shared" si="2"/>
        <v>0</v>
      </c>
      <c r="G32" s="374">
        <v>3647396</v>
      </c>
      <c r="H32" s="205">
        <v>3647396</v>
      </c>
      <c r="I32" s="368">
        <f t="shared" si="11"/>
        <v>0</v>
      </c>
      <c r="J32" s="205">
        <v>0</v>
      </c>
      <c r="K32" s="465">
        <v>0</v>
      </c>
      <c r="L32" s="205">
        <v>0</v>
      </c>
      <c r="M32" s="465">
        <v>0</v>
      </c>
      <c r="N32" s="205">
        <v>0</v>
      </c>
      <c r="O32" s="249">
        <v>0</v>
      </c>
      <c r="P32" s="368">
        <v>0</v>
      </c>
      <c r="Q32" s="249">
        <v>0</v>
      </c>
      <c r="R32" s="368">
        <v>0</v>
      </c>
      <c r="S32" s="249">
        <v>0</v>
      </c>
      <c r="T32" s="368">
        <v>0</v>
      </c>
      <c r="U32" s="130">
        <v>0</v>
      </c>
      <c r="V32" s="368">
        <v>0</v>
      </c>
      <c r="W32" s="368">
        <v>1094</v>
      </c>
      <c r="X32" s="368">
        <f t="shared" si="3"/>
        <v>3483263.18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368">
        <v>0</v>
      </c>
      <c r="AE32" s="368">
        <v>0</v>
      </c>
      <c r="AF32" s="368">
        <v>0</v>
      </c>
      <c r="AG32" s="368">
        <v>0</v>
      </c>
      <c r="AH32" s="368">
        <v>0</v>
      </c>
      <c r="AI32" s="368">
        <v>0</v>
      </c>
      <c r="AJ32" s="370">
        <f t="shared" si="35"/>
        <v>109421.88</v>
      </c>
      <c r="AK32" s="370">
        <f t="shared" si="4"/>
        <v>54710.94</v>
      </c>
      <c r="AL32" s="370">
        <v>0</v>
      </c>
      <c r="AM32" s="447">
        <f t="shared" si="5"/>
        <v>3334</v>
      </c>
      <c r="AN32" s="227">
        <v>4814.95</v>
      </c>
      <c r="AP32" s="486" t="e">
        <f t="shared" si="6"/>
        <v>#DIV/0!</v>
      </c>
      <c r="AQ32" s="486" t="e">
        <f t="shared" si="12"/>
        <v>#DIV/0!</v>
      </c>
      <c r="AR32" s="486" t="e">
        <f t="shared" si="13"/>
        <v>#DIV/0!</v>
      </c>
      <c r="AS32" s="486" t="e">
        <f t="shared" si="14"/>
        <v>#DIV/0!</v>
      </c>
      <c r="AT32" s="486" t="e">
        <f t="shared" si="15"/>
        <v>#DIV/0!</v>
      </c>
      <c r="AU32" s="486" t="e">
        <f t="shared" si="16"/>
        <v>#DIV/0!</v>
      </c>
      <c r="AV32" s="486" t="e">
        <f t="shared" si="17"/>
        <v>#DIV/0!</v>
      </c>
      <c r="AW32" s="486">
        <f t="shared" si="18"/>
        <v>3183.9700000000003</v>
      </c>
      <c r="AX32" s="486" t="e">
        <f t="shared" si="19"/>
        <v>#DIV/0!</v>
      </c>
      <c r="AY32" s="486" t="e">
        <f t="shared" si="20"/>
        <v>#DIV/0!</v>
      </c>
      <c r="AZ32" s="486" t="e">
        <f t="shared" si="21"/>
        <v>#DIV/0!</v>
      </c>
      <c r="BA32" s="486">
        <f t="shared" si="7"/>
        <v>0</v>
      </c>
      <c r="BB32" s="494">
        <v>5155.41</v>
      </c>
      <c r="BC32" s="494">
        <v>2070.12</v>
      </c>
      <c r="BD32" s="494">
        <v>848.92</v>
      </c>
      <c r="BE32" s="494">
        <v>819.73</v>
      </c>
      <c r="BF32" s="494">
        <v>611.5</v>
      </c>
      <c r="BG32" s="494">
        <v>1080.04</v>
      </c>
      <c r="BH32" s="494">
        <v>2671800.0099999998</v>
      </c>
      <c r="BI32" s="494">
        <f t="shared" si="22"/>
        <v>4607.6000000000004</v>
      </c>
      <c r="BJ32" s="494">
        <v>14289.54</v>
      </c>
      <c r="BK32" s="494">
        <v>3389.61</v>
      </c>
      <c r="BL32" s="494">
        <v>5995.76</v>
      </c>
      <c r="BM32" s="494">
        <v>548.62</v>
      </c>
      <c r="BN32" s="495" t="e">
        <f t="shared" si="23"/>
        <v>#DIV/0!</v>
      </c>
      <c r="BO32" s="495" t="e">
        <f t="shared" si="24"/>
        <v>#DIV/0!</v>
      </c>
      <c r="BP32" s="495" t="e">
        <f t="shared" si="25"/>
        <v>#DIV/0!</v>
      </c>
      <c r="BQ32" s="495" t="e">
        <f t="shared" si="26"/>
        <v>#DIV/0!</v>
      </c>
      <c r="BR32" s="495" t="e">
        <f t="shared" si="27"/>
        <v>#DIV/0!</v>
      </c>
      <c r="BS32" s="495" t="e">
        <f t="shared" si="28"/>
        <v>#DIV/0!</v>
      </c>
      <c r="BT32" s="495" t="e">
        <f t="shared" si="29"/>
        <v>#DIV/0!</v>
      </c>
      <c r="BU32" s="495" t="str">
        <f t="shared" si="30"/>
        <v xml:space="preserve"> </v>
      </c>
      <c r="BV32" s="495" t="e">
        <f t="shared" si="31"/>
        <v>#DIV/0!</v>
      </c>
      <c r="BW32" s="495" t="e">
        <f t="shared" si="32"/>
        <v>#DIV/0!</v>
      </c>
      <c r="BX32" s="495" t="e">
        <f t="shared" si="33"/>
        <v>#DIV/0!</v>
      </c>
      <c r="BY32" s="495" t="str">
        <f t="shared" si="34"/>
        <v xml:space="preserve"> </v>
      </c>
    </row>
    <row r="33" spans="1:77" s="28" customFormat="1" ht="9" customHeight="1">
      <c r="A33" s="366">
        <v>17</v>
      </c>
      <c r="B33" s="200" t="s">
        <v>492</v>
      </c>
      <c r="C33" s="465">
        <v>4184.3</v>
      </c>
      <c r="D33" s="308"/>
      <c r="E33" s="141" t="s">
        <v>1005</v>
      </c>
      <c r="F33" s="375">
        <f t="shared" si="2"/>
        <v>0</v>
      </c>
      <c r="G33" s="374">
        <v>3630726</v>
      </c>
      <c r="H33" s="205">
        <v>3630726</v>
      </c>
      <c r="I33" s="368">
        <f t="shared" si="11"/>
        <v>0</v>
      </c>
      <c r="J33" s="205">
        <v>0</v>
      </c>
      <c r="K33" s="465">
        <v>0</v>
      </c>
      <c r="L33" s="205">
        <v>0</v>
      </c>
      <c r="M33" s="465">
        <v>0</v>
      </c>
      <c r="N33" s="205">
        <v>0</v>
      </c>
      <c r="O33" s="249">
        <v>0</v>
      </c>
      <c r="P33" s="368">
        <v>0</v>
      </c>
      <c r="Q33" s="249">
        <v>0</v>
      </c>
      <c r="R33" s="368">
        <v>0</v>
      </c>
      <c r="S33" s="249">
        <v>0</v>
      </c>
      <c r="T33" s="368">
        <v>0</v>
      </c>
      <c r="U33" s="130">
        <v>0</v>
      </c>
      <c r="V33" s="368">
        <v>0</v>
      </c>
      <c r="W33" s="368">
        <v>1089</v>
      </c>
      <c r="X33" s="368">
        <f t="shared" si="3"/>
        <v>3467343.33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368">
        <v>0</v>
      </c>
      <c r="AF33" s="368">
        <v>0</v>
      </c>
      <c r="AG33" s="368">
        <v>0</v>
      </c>
      <c r="AH33" s="368">
        <v>0</v>
      </c>
      <c r="AI33" s="368">
        <v>0</v>
      </c>
      <c r="AJ33" s="370">
        <f t="shared" si="35"/>
        <v>108921.78</v>
      </c>
      <c r="AK33" s="370">
        <f t="shared" si="4"/>
        <v>54460.89</v>
      </c>
      <c r="AL33" s="370">
        <v>0</v>
      </c>
      <c r="AM33" s="447">
        <f t="shared" si="5"/>
        <v>3334</v>
      </c>
      <c r="AN33" s="227">
        <v>4814.95</v>
      </c>
      <c r="AP33" s="486" t="e">
        <f t="shared" si="6"/>
        <v>#DIV/0!</v>
      </c>
      <c r="AQ33" s="486" t="e">
        <f t="shared" si="12"/>
        <v>#DIV/0!</v>
      </c>
      <c r="AR33" s="486" t="e">
        <f t="shared" si="13"/>
        <v>#DIV/0!</v>
      </c>
      <c r="AS33" s="486" t="e">
        <f t="shared" si="14"/>
        <v>#DIV/0!</v>
      </c>
      <c r="AT33" s="486" t="e">
        <f t="shared" si="15"/>
        <v>#DIV/0!</v>
      </c>
      <c r="AU33" s="486" t="e">
        <f t="shared" si="16"/>
        <v>#DIV/0!</v>
      </c>
      <c r="AV33" s="486" t="e">
        <f t="shared" si="17"/>
        <v>#DIV/0!</v>
      </c>
      <c r="AW33" s="486">
        <f t="shared" si="18"/>
        <v>3183.9700000000003</v>
      </c>
      <c r="AX33" s="486" t="e">
        <f t="shared" si="19"/>
        <v>#DIV/0!</v>
      </c>
      <c r="AY33" s="486" t="e">
        <f t="shared" si="20"/>
        <v>#DIV/0!</v>
      </c>
      <c r="AZ33" s="486" t="e">
        <f t="shared" si="21"/>
        <v>#DIV/0!</v>
      </c>
      <c r="BA33" s="486">
        <f t="shared" si="7"/>
        <v>0</v>
      </c>
      <c r="BB33" s="494">
        <v>5155.41</v>
      </c>
      <c r="BC33" s="494">
        <v>2070.12</v>
      </c>
      <c r="BD33" s="494">
        <v>848.92</v>
      </c>
      <c r="BE33" s="494">
        <v>819.73</v>
      </c>
      <c r="BF33" s="494">
        <v>611.5</v>
      </c>
      <c r="BG33" s="494">
        <v>1080.04</v>
      </c>
      <c r="BH33" s="494">
        <v>2671800.0099999998</v>
      </c>
      <c r="BI33" s="494">
        <f t="shared" si="22"/>
        <v>4607.6000000000004</v>
      </c>
      <c r="BJ33" s="494">
        <v>14289.54</v>
      </c>
      <c r="BK33" s="494">
        <v>3389.61</v>
      </c>
      <c r="BL33" s="494">
        <v>5995.76</v>
      </c>
      <c r="BM33" s="494">
        <v>548.62</v>
      </c>
      <c r="BN33" s="495" t="e">
        <f t="shared" si="23"/>
        <v>#DIV/0!</v>
      </c>
      <c r="BO33" s="495" t="e">
        <f t="shared" si="24"/>
        <v>#DIV/0!</v>
      </c>
      <c r="BP33" s="495" t="e">
        <f t="shared" si="25"/>
        <v>#DIV/0!</v>
      </c>
      <c r="BQ33" s="495" t="e">
        <f t="shared" si="26"/>
        <v>#DIV/0!</v>
      </c>
      <c r="BR33" s="495" t="e">
        <f t="shared" si="27"/>
        <v>#DIV/0!</v>
      </c>
      <c r="BS33" s="495" t="e">
        <f t="shared" si="28"/>
        <v>#DIV/0!</v>
      </c>
      <c r="BT33" s="495" t="e">
        <f t="shared" si="29"/>
        <v>#DIV/0!</v>
      </c>
      <c r="BU33" s="495" t="str">
        <f t="shared" si="30"/>
        <v xml:space="preserve"> </v>
      </c>
      <c r="BV33" s="495" t="e">
        <f t="shared" si="31"/>
        <v>#DIV/0!</v>
      </c>
      <c r="BW33" s="495" t="e">
        <f t="shared" si="32"/>
        <v>#DIV/0!</v>
      </c>
      <c r="BX33" s="495" t="e">
        <f t="shared" si="33"/>
        <v>#DIV/0!</v>
      </c>
      <c r="BY33" s="495" t="str">
        <f t="shared" si="34"/>
        <v xml:space="preserve"> </v>
      </c>
    </row>
    <row r="34" spans="1:77" s="28" customFormat="1" ht="9" customHeight="1">
      <c r="A34" s="366">
        <v>18</v>
      </c>
      <c r="B34" s="200" t="s">
        <v>493</v>
      </c>
      <c r="C34" s="465">
        <v>1458.8</v>
      </c>
      <c r="D34" s="308"/>
      <c r="E34" s="141" t="s">
        <v>1005</v>
      </c>
      <c r="F34" s="375">
        <f t="shared" si="2"/>
        <v>0</v>
      </c>
      <c r="G34" s="374">
        <v>1246916</v>
      </c>
      <c r="H34" s="205">
        <v>1246916</v>
      </c>
      <c r="I34" s="368">
        <f t="shared" si="11"/>
        <v>0</v>
      </c>
      <c r="J34" s="205">
        <v>0</v>
      </c>
      <c r="K34" s="465">
        <v>0</v>
      </c>
      <c r="L34" s="205">
        <v>0</v>
      </c>
      <c r="M34" s="465">
        <v>0</v>
      </c>
      <c r="N34" s="205">
        <v>0</v>
      </c>
      <c r="O34" s="249">
        <v>0</v>
      </c>
      <c r="P34" s="368">
        <v>0</v>
      </c>
      <c r="Q34" s="249">
        <v>0</v>
      </c>
      <c r="R34" s="368">
        <v>0</v>
      </c>
      <c r="S34" s="249">
        <v>0</v>
      </c>
      <c r="T34" s="368">
        <v>0</v>
      </c>
      <c r="U34" s="130">
        <v>0</v>
      </c>
      <c r="V34" s="368">
        <v>0</v>
      </c>
      <c r="W34" s="368">
        <v>374</v>
      </c>
      <c r="X34" s="368">
        <f t="shared" si="3"/>
        <v>1190804.78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368">
        <v>0</v>
      </c>
      <c r="AF34" s="368">
        <v>0</v>
      </c>
      <c r="AG34" s="368">
        <v>0</v>
      </c>
      <c r="AH34" s="368">
        <v>0</v>
      </c>
      <c r="AI34" s="368">
        <v>0</v>
      </c>
      <c r="AJ34" s="370">
        <f t="shared" si="35"/>
        <v>37407.480000000003</v>
      </c>
      <c r="AK34" s="370">
        <f t="shared" si="4"/>
        <v>18703.740000000002</v>
      </c>
      <c r="AL34" s="370">
        <v>0</v>
      </c>
      <c r="AM34" s="447">
        <f t="shared" si="5"/>
        <v>3334</v>
      </c>
      <c r="AN34" s="227">
        <v>4814.95</v>
      </c>
      <c r="AP34" s="486" t="e">
        <f t="shared" si="6"/>
        <v>#DIV/0!</v>
      </c>
      <c r="AQ34" s="486" t="e">
        <f t="shared" si="12"/>
        <v>#DIV/0!</v>
      </c>
      <c r="AR34" s="486" t="e">
        <f t="shared" si="13"/>
        <v>#DIV/0!</v>
      </c>
      <c r="AS34" s="486" t="e">
        <f t="shared" si="14"/>
        <v>#DIV/0!</v>
      </c>
      <c r="AT34" s="486" t="e">
        <f t="shared" si="15"/>
        <v>#DIV/0!</v>
      </c>
      <c r="AU34" s="486" t="e">
        <f t="shared" si="16"/>
        <v>#DIV/0!</v>
      </c>
      <c r="AV34" s="486" t="e">
        <f t="shared" si="17"/>
        <v>#DIV/0!</v>
      </c>
      <c r="AW34" s="486">
        <f t="shared" si="18"/>
        <v>3183.9700000000003</v>
      </c>
      <c r="AX34" s="486" t="e">
        <f t="shared" si="19"/>
        <v>#DIV/0!</v>
      </c>
      <c r="AY34" s="486" t="e">
        <f t="shared" si="20"/>
        <v>#DIV/0!</v>
      </c>
      <c r="AZ34" s="486" t="e">
        <f t="shared" si="21"/>
        <v>#DIV/0!</v>
      </c>
      <c r="BA34" s="486">
        <f t="shared" si="7"/>
        <v>0</v>
      </c>
      <c r="BB34" s="494">
        <v>5155.41</v>
      </c>
      <c r="BC34" s="494">
        <v>2070.12</v>
      </c>
      <c r="BD34" s="494">
        <v>848.92</v>
      </c>
      <c r="BE34" s="494">
        <v>819.73</v>
      </c>
      <c r="BF34" s="494">
        <v>611.5</v>
      </c>
      <c r="BG34" s="494">
        <v>1080.04</v>
      </c>
      <c r="BH34" s="494">
        <v>2671800.0099999998</v>
      </c>
      <c r="BI34" s="494">
        <f t="shared" si="22"/>
        <v>4607.6000000000004</v>
      </c>
      <c r="BJ34" s="494">
        <v>14289.54</v>
      </c>
      <c r="BK34" s="494">
        <v>3389.61</v>
      </c>
      <c r="BL34" s="494">
        <v>5995.76</v>
      </c>
      <c r="BM34" s="494">
        <v>548.62</v>
      </c>
      <c r="BN34" s="495" t="e">
        <f t="shared" si="23"/>
        <v>#DIV/0!</v>
      </c>
      <c r="BO34" s="495" t="e">
        <f t="shared" si="24"/>
        <v>#DIV/0!</v>
      </c>
      <c r="BP34" s="495" t="e">
        <f t="shared" si="25"/>
        <v>#DIV/0!</v>
      </c>
      <c r="BQ34" s="495" t="e">
        <f t="shared" si="26"/>
        <v>#DIV/0!</v>
      </c>
      <c r="BR34" s="495" t="e">
        <f t="shared" si="27"/>
        <v>#DIV/0!</v>
      </c>
      <c r="BS34" s="495" t="e">
        <f t="shared" si="28"/>
        <v>#DIV/0!</v>
      </c>
      <c r="BT34" s="495" t="e">
        <f t="shared" si="29"/>
        <v>#DIV/0!</v>
      </c>
      <c r="BU34" s="495" t="str">
        <f t="shared" si="30"/>
        <v xml:space="preserve"> </v>
      </c>
      <c r="BV34" s="495" t="e">
        <f t="shared" si="31"/>
        <v>#DIV/0!</v>
      </c>
      <c r="BW34" s="495" t="e">
        <f t="shared" si="32"/>
        <v>#DIV/0!</v>
      </c>
      <c r="BX34" s="495" t="e">
        <f t="shared" si="33"/>
        <v>#DIV/0!</v>
      </c>
      <c r="BY34" s="495" t="str">
        <f t="shared" si="34"/>
        <v xml:space="preserve"> </v>
      </c>
    </row>
    <row r="35" spans="1:77" s="28" customFormat="1" ht="9" customHeight="1">
      <c r="A35" s="366">
        <v>19</v>
      </c>
      <c r="B35" s="200" t="s">
        <v>494</v>
      </c>
      <c r="C35" s="465">
        <v>2594.6</v>
      </c>
      <c r="D35" s="308"/>
      <c r="E35" s="141" t="s">
        <v>1005</v>
      </c>
      <c r="F35" s="375">
        <f t="shared" si="2"/>
        <v>0</v>
      </c>
      <c r="G35" s="374">
        <v>2587184</v>
      </c>
      <c r="H35" s="205">
        <v>2587184</v>
      </c>
      <c r="I35" s="368">
        <f t="shared" si="11"/>
        <v>0</v>
      </c>
      <c r="J35" s="205">
        <v>0</v>
      </c>
      <c r="K35" s="465">
        <v>0</v>
      </c>
      <c r="L35" s="205">
        <v>0</v>
      </c>
      <c r="M35" s="465">
        <v>0</v>
      </c>
      <c r="N35" s="205">
        <v>0</v>
      </c>
      <c r="O35" s="249">
        <v>0</v>
      </c>
      <c r="P35" s="368">
        <v>0</v>
      </c>
      <c r="Q35" s="249">
        <v>0</v>
      </c>
      <c r="R35" s="368">
        <v>0</v>
      </c>
      <c r="S35" s="249">
        <v>0</v>
      </c>
      <c r="T35" s="368">
        <v>0</v>
      </c>
      <c r="U35" s="130">
        <v>0</v>
      </c>
      <c r="V35" s="368">
        <v>0</v>
      </c>
      <c r="W35" s="368">
        <v>776</v>
      </c>
      <c r="X35" s="368">
        <f t="shared" si="3"/>
        <v>2470760.7200000002</v>
      </c>
      <c r="Y35" s="368">
        <v>0</v>
      </c>
      <c r="Z35" s="368">
        <v>0</v>
      </c>
      <c r="AA35" s="368">
        <v>0</v>
      </c>
      <c r="AB35" s="368">
        <v>0</v>
      </c>
      <c r="AC35" s="368">
        <v>0</v>
      </c>
      <c r="AD35" s="368">
        <v>0</v>
      </c>
      <c r="AE35" s="368">
        <v>0</v>
      </c>
      <c r="AF35" s="368">
        <v>0</v>
      </c>
      <c r="AG35" s="368">
        <v>0</v>
      </c>
      <c r="AH35" s="368">
        <v>0</v>
      </c>
      <c r="AI35" s="368">
        <v>0</v>
      </c>
      <c r="AJ35" s="370">
        <f t="shared" si="35"/>
        <v>77615.520000000004</v>
      </c>
      <c r="AK35" s="370">
        <f t="shared" si="4"/>
        <v>38807.760000000002</v>
      </c>
      <c r="AL35" s="370">
        <v>0</v>
      </c>
      <c r="AM35" s="447">
        <f t="shared" si="5"/>
        <v>3334</v>
      </c>
      <c r="AN35" s="227">
        <v>4814.95</v>
      </c>
      <c r="AP35" s="486" t="e">
        <f t="shared" si="6"/>
        <v>#DIV/0!</v>
      </c>
      <c r="AQ35" s="486" t="e">
        <f t="shared" si="12"/>
        <v>#DIV/0!</v>
      </c>
      <c r="AR35" s="486" t="e">
        <f t="shared" si="13"/>
        <v>#DIV/0!</v>
      </c>
      <c r="AS35" s="486" t="e">
        <f t="shared" si="14"/>
        <v>#DIV/0!</v>
      </c>
      <c r="AT35" s="486" t="e">
        <f t="shared" si="15"/>
        <v>#DIV/0!</v>
      </c>
      <c r="AU35" s="486" t="e">
        <f t="shared" si="16"/>
        <v>#DIV/0!</v>
      </c>
      <c r="AV35" s="486" t="e">
        <f t="shared" si="17"/>
        <v>#DIV/0!</v>
      </c>
      <c r="AW35" s="486">
        <f t="shared" si="18"/>
        <v>3183.9700000000003</v>
      </c>
      <c r="AX35" s="486" t="e">
        <f t="shared" si="19"/>
        <v>#DIV/0!</v>
      </c>
      <c r="AY35" s="486" t="e">
        <f t="shared" si="20"/>
        <v>#DIV/0!</v>
      </c>
      <c r="AZ35" s="486" t="e">
        <f t="shared" si="21"/>
        <v>#DIV/0!</v>
      </c>
      <c r="BA35" s="486">
        <f t="shared" si="7"/>
        <v>0</v>
      </c>
      <c r="BB35" s="494">
        <v>5155.41</v>
      </c>
      <c r="BC35" s="494">
        <v>2070.12</v>
      </c>
      <c r="BD35" s="494">
        <v>848.92</v>
      </c>
      <c r="BE35" s="494">
        <v>819.73</v>
      </c>
      <c r="BF35" s="494">
        <v>611.5</v>
      </c>
      <c r="BG35" s="494">
        <v>1080.04</v>
      </c>
      <c r="BH35" s="494">
        <v>2671800.0099999998</v>
      </c>
      <c r="BI35" s="494">
        <f t="shared" ref="BI35:BI98" si="36">IF(E35="ПК",4607.6,4422.85)</f>
        <v>4607.6000000000004</v>
      </c>
      <c r="BJ35" s="494">
        <v>14289.54</v>
      </c>
      <c r="BK35" s="494">
        <v>3389.61</v>
      </c>
      <c r="BL35" s="494">
        <v>5995.76</v>
      </c>
      <c r="BM35" s="494">
        <v>548.62</v>
      </c>
      <c r="BN35" s="495" t="e">
        <f t="shared" si="23"/>
        <v>#DIV/0!</v>
      </c>
      <c r="BO35" s="495" t="e">
        <f t="shared" si="24"/>
        <v>#DIV/0!</v>
      </c>
      <c r="BP35" s="495" t="e">
        <f t="shared" si="25"/>
        <v>#DIV/0!</v>
      </c>
      <c r="BQ35" s="495" t="e">
        <f t="shared" si="26"/>
        <v>#DIV/0!</v>
      </c>
      <c r="BR35" s="495" t="e">
        <f t="shared" si="27"/>
        <v>#DIV/0!</v>
      </c>
      <c r="BS35" s="495" t="e">
        <f t="shared" si="28"/>
        <v>#DIV/0!</v>
      </c>
      <c r="BT35" s="495" t="e">
        <f t="shared" si="29"/>
        <v>#DIV/0!</v>
      </c>
      <c r="BU35" s="495" t="str">
        <f t="shared" si="30"/>
        <v xml:space="preserve"> </v>
      </c>
      <c r="BV35" s="495" t="e">
        <f t="shared" si="31"/>
        <v>#DIV/0!</v>
      </c>
      <c r="BW35" s="495" t="e">
        <f t="shared" si="32"/>
        <v>#DIV/0!</v>
      </c>
      <c r="BX35" s="495" t="e">
        <f t="shared" si="33"/>
        <v>#DIV/0!</v>
      </c>
      <c r="BY35" s="495" t="str">
        <f t="shared" si="34"/>
        <v xml:space="preserve"> </v>
      </c>
    </row>
    <row r="36" spans="1:77" s="28" customFormat="1" ht="9" customHeight="1">
      <c r="A36" s="366">
        <v>20</v>
      </c>
      <c r="B36" s="200" t="s">
        <v>495</v>
      </c>
      <c r="C36" s="465">
        <v>3421.9</v>
      </c>
      <c r="D36" s="308"/>
      <c r="E36" s="141" t="s">
        <v>1005</v>
      </c>
      <c r="F36" s="375">
        <f t="shared" si="2"/>
        <v>0</v>
      </c>
      <c r="G36" s="374">
        <v>3327332</v>
      </c>
      <c r="H36" s="205">
        <v>3327332</v>
      </c>
      <c r="I36" s="368">
        <f t="shared" si="11"/>
        <v>0</v>
      </c>
      <c r="J36" s="205">
        <v>0</v>
      </c>
      <c r="K36" s="465">
        <v>0</v>
      </c>
      <c r="L36" s="205">
        <v>0</v>
      </c>
      <c r="M36" s="465">
        <v>0</v>
      </c>
      <c r="N36" s="205">
        <v>0</v>
      </c>
      <c r="O36" s="249">
        <v>0</v>
      </c>
      <c r="P36" s="368">
        <v>0</v>
      </c>
      <c r="Q36" s="249">
        <v>0</v>
      </c>
      <c r="R36" s="368">
        <v>0</v>
      </c>
      <c r="S36" s="249">
        <v>0</v>
      </c>
      <c r="T36" s="368">
        <v>0</v>
      </c>
      <c r="U36" s="130">
        <v>0</v>
      </c>
      <c r="V36" s="368">
        <v>0</v>
      </c>
      <c r="W36" s="368">
        <v>998</v>
      </c>
      <c r="X36" s="368">
        <f t="shared" si="3"/>
        <v>3177602.06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368">
        <v>0</v>
      </c>
      <c r="AF36" s="368">
        <v>0</v>
      </c>
      <c r="AG36" s="368">
        <v>0</v>
      </c>
      <c r="AH36" s="368">
        <v>0</v>
      </c>
      <c r="AI36" s="368">
        <v>0</v>
      </c>
      <c r="AJ36" s="370">
        <f t="shared" si="35"/>
        <v>99819.96</v>
      </c>
      <c r="AK36" s="370">
        <f t="shared" si="4"/>
        <v>49909.98</v>
      </c>
      <c r="AL36" s="370">
        <v>0</v>
      </c>
      <c r="AM36" s="447">
        <f t="shared" si="5"/>
        <v>3334</v>
      </c>
      <c r="AN36" s="227">
        <v>4814.95</v>
      </c>
      <c r="AP36" s="486" t="e">
        <f t="shared" si="6"/>
        <v>#DIV/0!</v>
      </c>
      <c r="AQ36" s="486" t="e">
        <f t="shared" si="12"/>
        <v>#DIV/0!</v>
      </c>
      <c r="AR36" s="486" t="e">
        <f t="shared" si="13"/>
        <v>#DIV/0!</v>
      </c>
      <c r="AS36" s="486" t="e">
        <f t="shared" si="14"/>
        <v>#DIV/0!</v>
      </c>
      <c r="AT36" s="486" t="e">
        <f t="shared" si="15"/>
        <v>#DIV/0!</v>
      </c>
      <c r="AU36" s="486" t="e">
        <f t="shared" si="16"/>
        <v>#DIV/0!</v>
      </c>
      <c r="AV36" s="486" t="e">
        <f t="shared" si="17"/>
        <v>#DIV/0!</v>
      </c>
      <c r="AW36" s="486">
        <f t="shared" si="18"/>
        <v>3183.9700000000003</v>
      </c>
      <c r="AX36" s="486" t="e">
        <f t="shared" si="19"/>
        <v>#DIV/0!</v>
      </c>
      <c r="AY36" s="486" t="e">
        <f t="shared" si="20"/>
        <v>#DIV/0!</v>
      </c>
      <c r="AZ36" s="486" t="e">
        <f t="shared" si="21"/>
        <v>#DIV/0!</v>
      </c>
      <c r="BA36" s="486">
        <f t="shared" si="7"/>
        <v>0</v>
      </c>
      <c r="BB36" s="494">
        <v>5155.41</v>
      </c>
      <c r="BC36" s="494">
        <v>2070.12</v>
      </c>
      <c r="BD36" s="494">
        <v>848.92</v>
      </c>
      <c r="BE36" s="494">
        <v>819.73</v>
      </c>
      <c r="BF36" s="494">
        <v>611.5</v>
      </c>
      <c r="BG36" s="494">
        <v>1080.04</v>
      </c>
      <c r="BH36" s="494">
        <v>2671800.0099999998</v>
      </c>
      <c r="BI36" s="494">
        <f t="shared" si="36"/>
        <v>4607.6000000000004</v>
      </c>
      <c r="BJ36" s="494">
        <v>14289.54</v>
      </c>
      <c r="BK36" s="494">
        <v>3389.61</v>
      </c>
      <c r="BL36" s="494">
        <v>5995.76</v>
      </c>
      <c r="BM36" s="494">
        <v>548.62</v>
      </c>
      <c r="BN36" s="495" t="e">
        <f t="shared" si="23"/>
        <v>#DIV/0!</v>
      </c>
      <c r="BO36" s="495" t="e">
        <f t="shared" si="24"/>
        <v>#DIV/0!</v>
      </c>
      <c r="BP36" s="495" t="e">
        <f t="shared" si="25"/>
        <v>#DIV/0!</v>
      </c>
      <c r="BQ36" s="495" t="e">
        <f t="shared" si="26"/>
        <v>#DIV/0!</v>
      </c>
      <c r="BR36" s="495" t="e">
        <f t="shared" si="27"/>
        <v>#DIV/0!</v>
      </c>
      <c r="BS36" s="495" t="e">
        <f t="shared" si="28"/>
        <v>#DIV/0!</v>
      </c>
      <c r="BT36" s="495" t="e">
        <f t="shared" si="29"/>
        <v>#DIV/0!</v>
      </c>
      <c r="BU36" s="495" t="str">
        <f t="shared" si="30"/>
        <v xml:space="preserve"> </v>
      </c>
      <c r="BV36" s="495" t="e">
        <f t="shared" si="31"/>
        <v>#DIV/0!</v>
      </c>
      <c r="BW36" s="495" t="e">
        <f t="shared" si="32"/>
        <v>#DIV/0!</v>
      </c>
      <c r="BX36" s="495" t="e">
        <f t="shared" si="33"/>
        <v>#DIV/0!</v>
      </c>
      <c r="BY36" s="495" t="str">
        <f t="shared" si="34"/>
        <v xml:space="preserve"> </v>
      </c>
    </row>
    <row r="37" spans="1:77" s="28" customFormat="1" ht="9" customHeight="1">
      <c r="A37" s="366">
        <v>21</v>
      </c>
      <c r="B37" s="200" t="s">
        <v>496</v>
      </c>
      <c r="C37" s="465">
        <v>1981.6</v>
      </c>
      <c r="D37" s="466"/>
      <c r="E37" s="201" t="s">
        <v>1006</v>
      </c>
      <c r="F37" s="375">
        <f t="shared" si="2"/>
        <v>0</v>
      </c>
      <c r="G37" s="375">
        <v>2865324</v>
      </c>
      <c r="H37" s="205">
        <v>2865324</v>
      </c>
      <c r="I37" s="368">
        <f t="shared" si="11"/>
        <v>0</v>
      </c>
      <c r="J37" s="205">
        <v>0</v>
      </c>
      <c r="K37" s="465">
        <v>0</v>
      </c>
      <c r="L37" s="205">
        <v>0</v>
      </c>
      <c r="M37" s="465">
        <v>0</v>
      </c>
      <c r="N37" s="205">
        <v>0</v>
      </c>
      <c r="O37" s="249">
        <v>0</v>
      </c>
      <c r="P37" s="368">
        <v>0</v>
      </c>
      <c r="Q37" s="249">
        <v>0</v>
      </c>
      <c r="R37" s="368">
        <v>0</v>
      </c>
      <c r="S37" s="249">
        <v>0</v>
      </c>
      <c r="T37" s="368">
        <v>0</v>
      </c>
      <c r="U37" s="130">
        <v>0</v>
      </c>
      <c r="V37" s="368">
        <v>0</v>
      </c>
      <c r="W37" s="368">
        <v>886</v>
      </c>
      <c r="X37" s="368">
        <f t="shared" si="3"/>
        <v>2736384.42</v>
      </c>
      <c r="Y37" s="368">
        <v>0</v>
      </c>
      <c r="Z37" s="368">
        <v>0</v>
      </c>
      <c r="AA37" s="368">
        <v>0</v>
      </c>
      <c r="AB37" s="368">
        <v>0</v>
      </c>
      <c r="AC37" s="368">
        <v>0</v>
      </c>
      <c r="AD37" s="368">
        <v>0</v>
      </c>
      <c r="AE37" s="368">
        <v>0</v>
      </c>
      <c r="AF37" s="368">
        <v>0</v>
      </c>
      <c r="AG37" s="368">
        <v>0</v>
      </c>
      <c r="AH37" s="368">
        <v>0</v>
      </c>
      <c r="AI37" s="368">
        <v>0</v>
      </c>
      <c r="AJ37" s="370">
        <f t="shared" si="35"/>
        <v>85959.72</v>
      </c>
      <c r="AK37" s="370">
        <f t="shared" si="4"/>
        <v>42979.86</v>
      </c>
      <c r="AL37" s="370">
        <v>0</v>
      </c>
      <c r="AM37" s="447">
        <f t="shared" si="5"/>
        <v>3234</v>
      </c>
      <c r="AN37" s="227">
        <v>4621.88</v>
      </c>
      <c r="AP37" s="486" t="e">
        <f t="shared" si="6"/>
        <v>#DIV/0!</v>
      </c>
      <c r="AQ37" s="486" t="e">
        <f t="shared" si="12"/>
        <v>#DIV/0!</v>
      </c>
      <c r="AR37" s="486" t="e">
        <f t="shared" si="13"/>
        <v>#DIV/0!</v>
      </c>
      <c r="AS37" s="486" t="e">
        <f t="shared" si="14"/>
        <v>#DIV/0!</v>
      </c>
      <c r="AT37" s="486" t="e">
        <f t="shared" si="15"/>
        <v>#DIV/0!</v>
      </c>
      <c r="AU37" s="486" t="e">
        <f t="shared" si="16"/>
        <v>#DIV/0!</v>
      </c>
      <c r="AV37" s="486" t="e">
        <f t="shared" si="17"/>
        <v>#DIV/0!</v>
      </c>
      <c r="AW37" s="486">
        <f t="shared" si="18"/>
        <v>3088.47</v>
      </c>
      <c r="AX37" s="486" t="e">
        <f t="shared" si="19"/>
        <v>#DIV/0!</v>
      </c>
      <c r="AY37" s="486" t="e">
        <f t="shared" si="20"/>
        <v>#DIV/0!</v>
      </c>
      <c r="AZ37" s="486" t="e">
        <f t="shared" si="21"/>
        <v>#DIV/0!</v>
      </c>
      <c r="BA37" s="486">
        <f t="shared" si="7"/>
        <v>0</v>
      </c>
      <c r="BB37" s="494">
        <v>5155.41</v>
      </c>
      <c r="BC37" s="494">
        <v>2070.12</v>
      </c>
      <c r="BD37" s="494">
        <v>848.92</v>
      </c>
      <c r="BE37" s="494">
        <v>819.73</v>
      </c>
      <c r="BF37" s="494">
        <v>611.5</v>
      </c>
      <c r="BG37" s="494">
        <v>1080.04</v>
      </c>
      <c r="BH37" s="494">
        <v>2671800.0099999998</v>
      </c>
      <c r="BI37" s="494">
        <f t="shared" si="36"/>
        <v>4422.8500000000004</v>
      </c>
      <c r="BJ37" s="494">
        <v>14289.54</v>
      </c>
      <c r="BK37" s="494">
        <v>3389.61</v>
      </c>
      <c r="BL37" s="494">
        <v>5995.76</v>
      </c>
      <c r="BM37" s="494">
        <v>548.62</v>
      </c>
      <c r="BN37" s="495" t="e">
        <f t="shared" si="23"/>
        <v>#DIV/0!</v>
      </c>
      <c r="BO37" s="495" t="e">
        <f t="shared" si="24"/>
        <v>#DIV/0!</v>
      </c>
      <c r="BP37" s="495" t="e">
        <f t="shared" si="25"/>
        <v>#DIV/0!</v>
      </c>
      <c r="BQ37" s="495" t="e">
        <f t="shared" si="26"/>
        <v>#DIV/0!</v>
      </c>
      <c r="BR37" s="495" t="e">
        <f t="shared" si="27"/>
        <v>#DIV/0!</v>
      </c>
      <c r="BS37" s="495" t="e">
        <f t="shared" si="28"/>
        <v>#DIV/0!</v>
      </c>
      <c r="BT37" s="495" t="e">
        <f t="shared" si="29"/>
        <v>#DIV/0!</v>
      </c>
      <c r="BU37" s="495" t="str">
        <f t="shared" si="30"/>
        <v xml:space="preserve"> </v>
      </c>
      <c r="BV37" s="495" t="e">
        <f t="shared" si="31"/>
        <v>#DIV/0!</v>
      </c>
      <c r="BW37" s="495" t="e">
        <f t="shared" si="32"/>
        <v>#DIV/0!</v>
      </c>
      <c r="BX37" s="495" t="e">
        <f t="shared" si="33"/>
        <v>#DIV/0!</v>
      </c>
      <c r="BY37" s="495" t="str">
        <f t="shared" si="34"/>
        <v xml:space="preserve"> </v>
      </c>
    </row>
    <row r="38" spans="1:77" s="28" customFormat="1" ht="9" customHeight="1">
      <c r="A38" s="366">
        <v>22</v>
      </c>
      <c r="B38" s="200" t="s">
        <v>497</v>
      </c>
      <c r="C38" s="465">
        <v>2755.8</v>
      </c>
      <c r="D38" s="466"/>
      <c r="E38" s="201" t="s">
        <v>1006</v>
      </c>
      <c r="F38" s="375">
        <f t="shared" si="2"/>
        <v>0</v>
      </c>
      <c r="G38" s="375">
        <v>2823282</v>
      </c>
      <c r="H38" s="205">
        <v>2823282</v>
      </c>
      <c r="I38" s="368">
        <f t="shared" si="11"/>
        <v>0</v>
      </c>
      <c r="J38" s="205">
        <v>0</v>
      </c>
      <c r="K38" s="465">
        <v>0</v>
      </c>
      <c r="L38" s="205">
        <v>0</v>
      </c>
      <c r="M38" s="465">
        <v>0</v>
      </c>
      <c r="N38" s="205">
        <v>0</v>
      </c>
      <c r="O38" s="249">
        <v>0</v>
      </c>
      <c r="P38" s="368">
        <v>0</v>
      </c>
      <c r="Q38" s="249">
        <v>0</v>
      </c>
      <c r="R38" s="368">
        <v>0</v>
      </c>
      <c r="S38" s="249">
        <v>0</v>
      </c>
      <c r="T38" s="368">
        <v>0</v>
      </c>
      <c r="U38" s="130">
        <v>0</v>
      </c>
      <c r="V38" s="368">
        <v>0</v>
      </c>
      <c r="W38" s="368">
        <v>873</v>
      </c>
      <c r="X38" s="368">
        <f t="shared" si="3"/>
        <v>2696234.31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368">
        <v>0</v>
      </c>
      <c r="AE38" s="368">
        <v>0</v>
      </c>
      <c r="AF38" s="368">
        <v>0</v>
      </c>
      <c r="AG38" s="368">
        <v>0</v>
      </c>
      <c r="AH38" s="368">
        <v>0</v>
      </c>
      <c r="AI38" s="368">
        <v>0</v>
      </c>
      <c r="AJ38" s="370">
        <f t="shared" si="35"/>
        <v>84698.46</v>
      </c>
      <c r="AK38" s="370">
        <f t="shared" si="4"/>
        <v>42349.23</v>
      </c>
      <c r="AL38" s="370">
        <v>0</v>
      </c>
      <c r="AM38" s="447">
        <f t="shared" si="5"/>
        <v>3234</v>
      </c>
      <c r="AN38" s="227">
        <v>4621.88</v>
      </c>
      <c r="AP38" s="486" t="e">
        <f t="shared" si="6"/>
        <v>#DIV/0!</v>
      </c>
      <c r="AQ38" s="486" t="e">
        <f t="shared" si="12"/>
        <v>#DIV/0!</v>
      </c>
      <c r="AR38" s="486" t="e">
        <f t="shared" si="13"/>
        <v>#DIV/0!</v>
      </c>
      <c r="AS38" s="486" t="e">
        <f t="shared" si="14"/>
        <v>#DIV/0!</v>
      </c>
      <c r="AT38" s="486" t="e">
        <f t="shared" si="15"/>
        <v>#DIV/0!</v>
      </c>
      <c r="AU38" s="486" t="e">
        <f t="shared" si="16"/>
        <v>#DIV/0!</v>
      </c>
      <c r="AV38" s="486" t="e">
        <f t="shared" si="17"/>
        <v>#DIV/0!</v>
      </c>
      <c r="AW38" s="486">
        <f t="shared" si="18"/>
        <v>3088.4700000000003</v>
      </c>
      <c r="AX38" s="486" t="e">
        <f t="shared" si="19"/>
        <v>#DIV/0!</v>
      </c>
      <c r="AY38" s="486" t="e">
        <f t="shared" si="20"/>
        <v>#DIV/0!</v>
      </c>
      <c r="AZ38" s="486" t="e">
        <f t="shared" si="21"/>
        <v>#DIV/0!</v>
      </c>
      <c r="BA38" s="486">
        <f t="shared" si="7"/>
        <v>0</v>
      </c>
      <c r="BB38" s="494">
        <v>5155.41</v>
      </c>
      <c r="BC38" s="494">
        <v>2070.12</v>
      </c>
      <c r="BD38" s="494">
        <v>848.92</v>
      </c>
      <c r="BE38" s="494">
        <v>819.73</v>
      </c>
      <c r="BF38" s="494">
        <v>611.5</v>
      </c>
      <c r="BG38" s="494">
        <v>1080.04</v>
      </c>
      <c r="BH38" s="494">
        <v>2671800.0099999998</v>
      </c>
      <c r="BI38" s="494">
        <f t="shared" si="36"/>
        <v>4422.8500000000004</v>
      </c>
      <c r="BJ38" s="494">
        <v>14289.54</v>
      </c>
      <c r="BK38" s="494">
        <v>3389.61</v>
      </c>
      <c r="BL38" s="494">
        <v>5995.76</v>
      </c>
      <c r="BM38" s="494">
        <v>548.62</v>
      </c>
      <c r="BN38" s="495" t="e">
        <f t="shared" si="23"/>
        <v>#DIV/0!</v>
      </c>
      <c r="BO38" s="495" t="e">
        <f t="shared" si="24"/>
        <v>#DIV/0!</v>
      </c>
      <c r="BP38" s="495" t="e">
        <f t="shared" si="25"/>
        <v>#DIV/0!</v>
      </c>
      <c r="BQ38" s="495" t="e">
        <f t="shared" si="26"/>
        <v>#DIV/0!</v>
      </c>
      <c r="BR38" s="495" t="e">
        <f t="shared" si="27"/>
        <v>#DIV/0!</v>
      </c>
      <c r="BS38" s="495" t="e">
        <f t="shared" si="28"/>
        <v>#DIV/0!</v>
      </c>
      <c r="BT38" s="495" t="e">
        <f t="shared" si="29"/>
        <v>#DIV/0!</v>
      </c>
      <c r="BU38" s="495" t="str">
        <f t="shared" si="30"/>
        <v xml:space="preserve"> </v>
      </c>
      <c r="BV38" s="495" t="e">
        <f t="shared" si="31"/>
        <v>#DIV/0!</v>
      </c>
      <c r="BW38" s="495" t="e">
        <f t="shared" si="32"/>
        <v>#DIV/0!</v>
      </c>
      <c r="BX38" s="495" t="e">
        <f t="shared" si="33"/>
        <v>#DIV/0!</v>
      </c>
      <c r="BY38" s="495" t="str">
        <f t="shared" si="34"/>
        <v xml:space="preserve"> </v>
      </c>
    </row>
    <row r="39" spans="1:77" s="28" customFormat="1" ht="9" customHeight="1">
      <c r="A39" s="366">
        <v>23</v>
      </c>
      <c r="B39" s="200" t="s">
        <v>498</v>
      </c>
      <c r="C39" s="465">
        <v>1934.6</v>
      </c>
      <c r="D39" s="466"/>
      <c r="E39" s="201" t="s">
        <v>1006</v>
      </c>
      <c r="F39" s="375">
        <f t="shared" si="2"/>
        <v>0</v>
      </c>
      <c r="G39" s="375">
        <v>2393160</v>
      </c>
      <c r="H39" s="205">
        <v>2393160</v>
      </c>
      <c r="I39" s="368">
        <f t="shared" si="11"/>
        <v>0</v>
      </c>
      <c r="J39" s="205">
        <v>0</v>
      </c>
      <c r="K39" s="465">
        <v>0</v>
      </c>
      <c r="L39" s="205">
        <v>0</v>
      </c>
      <c r="M39" s="465">
        <v>0</v>
      </c>
      <c r="N39" s="205">
        <v>0</v>
      </c>
      <c r="O39" s="249">
        <v>0</v>
      </c>
      <c r="P39" s="368">
        <v>0</v>
      </c>
      <c r="Q39" s="249">
        <v>0</v>
      </c>
      <c r="R39" s="368">
        <v>0</v>
      </c>
      <c r="S39" s="249">
        <v>0</v>
      </c>
      <c r="T39" s="368">
        <v>0</v>
      </c>
      <c r="U39" s="130">
        <v>0</v>
      </c>
      <c r="V39" s="368">
        <v>0</v>
      </c>
      <c r="W39" s="368">
        <v>740</v>
      </c>
      <c r="X39" s="368">
        <f t="shared" si="3"/>
        <v>2285467.7999999998</v>
      </c>
      <c r="Y39" s="368">
        <v>0</v>
      </c>
      <c r="Z39" s="368">
        <v>0</v>
      </c>
      <c r="AA39" s="368">
        <v>0</v>
      </c>
      <c r="AB39" s="368">
        <v>0</v>
      </c>
      <c r="AC39" s="368">
        <v>0</v>
      </c>
      <c r="AD39" s="368">
        <v>0</v>
      </c>
      <c r="AE39" s="368">
        <v>0</v>
      </c>
      <c r="AF39" s="368">
        <v>0</v>
      </c>
      <c r="AG39" s="368">
        <v>0</v>
      </c>
      <c r="AH39" s="368">
        <v>0</v>
      </c>
      <c r="AI39" s="368">
        <v>0</v>
      </c>
      <c r="AJ39" s="370">
        <f t="shared" si="35"/>
        <v>71794.8</v>
      </c>
      <c r="AK39" s="370">
        <f t="shared" si="4"/>
        <v>35897.4</v>
      </c>
      <c r="AL39" s="370">
        <v>0</v>
      </c>
      <c r="AM39" s="447">
        <f t="shared" si="5"/>
        <v>3234</v>
      </c>
      <c r="AN39" s="227">
        <v>4621.88</v>
      </c>
      <c r="AP39" s="486" t="e">
        <f t="shared" si="6"/>
        <v>#DIV/0!</v>
      </c>
      <c r="AQ39" s="486" t="e">
        <f t="shared" si="12"/>
        <v>#DIV/0!</v>
      </c>
      <c r="AR39" s="486" t="e">
        <f t="shared" si="13"/>
        <v>#DIV/0!</v>
      </c>
      <c r="AS39" s="486" t="e">
        <f t="shared" si="14"/>
        <v>#DIV/0!</v>
      </c>
      <c r="AT39" s="486" t="e">
        <f t="shared" si="15"/>
        <v>#DIV/0!</v>
      </c>
      <c r="AU39" s="486" t="e">
        <f t="shared" si="16"/>
        <v>#DIV/0!</v>
      </c>
      <c r="AV39" s="486" t="e">
        <f t="shared" si="17"/>
        <v>#DIV/0!</v>
      </c>
      <c r="AW39" s="486">
        <f t="shared" si="18"/>
        <v>3088.47</v>
      </c>
      <c r="AX39" s="486" t="e">
        <f t="shared" si="19"/>
        <v>#DIV/0!</v>
      </c>
      <c r="AY39" s="486" t="e">
        <f t="shared" si="20"/>
        <v>#DIV/0!</v>
      </c>
      <c r="AZ39" s="486" t="e">
        <f t="shared" si="21"/>
        <v>#DIV/0!</v>
      </c>
      <c r="BA39" s="486">
        <f t="shared" si="7"/>
        <v>0</v>
      </c>
      <c r="BB39" s="494">
        <v>5155.41</v>
      </c>
      <c r="BC39" s="494">
        <v>2070.12</v>
      </c>
      <c r="BD39" s="494">
        <v>848.92</v>
      </c>
      <c r="BE39" s="494">
        <v>819.73</v>
      </c>
      <c r="BF39" s="494">
        <v>611.5</v>
      </c>
      <c r="BG39" s="494">
        <v>1080.04</v>
      </c>
      <c r="BH39" s="494">
        <v>2671800.0099999998</v>
      </c>
      <c r="BI39" s="494">
        <f t="shared" si="36"/>
        <v>4422.8500000000004</v>
      </c>
      <c r="BJ39" s="494">
        <v>14289.54</v>
      </c>
      <c r="BK39" s="494">
        <v>3389.61</v>
      </c>
      <c r="BL39" s="494">
        <v>5995.76</v>
      </c>
      <c r="BM39" s="494">
        <v>548.62</v>
      </c>
      <c r="BN39" s="495" t="e">
        <f t="shared" si="23"/>
        <v>#DIV/0!</v>
      </c>
      <c r="BO39" s="495" t="e">
        <f t="shared" si="24"/>
        <v>#DIV/0!</v>
      </c>
      <c r="BP39" s="495" t="e">
        <f t="shared" si="25"/>
        <v>#DIV/0!</v>
      </c>
      <c r="BQ39" s="495" t="e">
        <f t="shared" si="26"/>
        <v>#DIV/0!</v>
      </c>
      <c r="BR39" s="495" t="e">
        <f t="shared" si="27"/>
        <v>#DIV/0!</v>
      </c>
      <c r="BS39" s="495" t="e">
        <f t="shared" si="28"/>
        <v>#DIV/0!</v>
      </c>
      <c r="BT39" s="495" t="e">
        <f t="shared" si="29"/>
        <v>#DIV/0!</v>
      </c>
      <c r="BU39" s="495" t="str">
        <f t="shared" si="30"/>
        <v xml:space="preserve"> </v>
      </c>
      <c r="BV39" s="495" t="e">
        <f t="shared" si="31"/>
        <v>#DIV/0!</v>
      </c>
      <c r="BW39" s="495" t="e">
        <f t="shared" si="32"/>
        <v>#DIV/0!</v>
      </c>
      <c r="BX39" s="495" t="e">
        <f t="shared" si="33"/>
        <v>#DIV/0!</v>
      </c>
      <c r="BY39" s="495" t="str">
        <f t="shared" si="34"/>
        <v xml:space="preserve"> </v>
      </c>
    </row>
    <row r="40" spans="1:77" s="28" customFormat="1" ht="9" customHeight="1">
      <c r="A40" s="366">
        <v>24</v>
      </c>
      <c r="B40" s="200" t="s">
        <v>499</v>
      </c>
      <c r="C40" s="465">
        <v>2711</v>
      </c>
      <c r="D40" s="466"/>
      <c r="E40" s="201" t="s">
        <v>1006</v>
      </c>
      <c r="F40" s="375">
        <f t="shared" si="2"/>
        <v>0</v>
      </c>
      <c r="G40" s="375">
        <v>5821200</v>
      </c>
      <c r="H40" s="205">
        <v>5821200</v>
      </c>
      <c r="I40" s="368">
        <f t="shared" si="11"/>
        <v>0</v>
      </c>
      <c r="J40" s="205">
        <v>0</v>
      </c>
      <c r="K40" s="465">
        <v>0</v>
      </c>
      <c r="L40" s="205">
        <v>0</v>
      </c>
      <c r="M40" s="465">
        <v>0</v>
      </c>
      <c r="N40" s="205">
        <v>0</v>
      </c>
      <c r="O40" s="249">
        <v>0</v>
      </c>
      <c r="P40" s="368">
        <v>0</v>
      </c>
      <c r="Q40" s="249">
        <v>0</v>
      </c>
      <c r="R40" s="368">
        <v>0</v>
      </c>
      <c r="S40" s="249">
        <v>0</v>
      </c>
      <c r="T40" s="368">
        <v>0</v>
      </c>
      <c r="U40" s="130">
        <v>0</v>
      </c>
      <c r="V40" s="368">
        <v>0</v>
      </c>
      <c r="W40" s="368">
        <v>1800</v>
      </c>
      <c r="X40" s="368">
        <f t="shared" si="3"/>
        <v>5559246</v>
      </c>
      <c r="Y40" s="368">
        <v>0</v>
      </c>
      <c r="Z40" s="368">
        <v>0</v>
      </c>
      <c r="AA40" s="368">
        <v>0</v>
      </c>
      <c r="AB40" s="368">
        <v>0</v>
      </c>
      <c r="AC40" s="368">
        <v>0</v>
      </c>
      <c r="AD40" s="368">
        <v>0</v>
      </c>
      <c r="AE40" s="368">
        <v>0</v>
      </c>
      <c r="AF40" s="368">
        <v>0</v>
      </c>
      <c r="AG40" s="368">
        <v>0</v>
      </c>
      <c r="AH40" s="368">
        <v>0</v>
      </c>
      <c r="AI40" s="368">
        <v>0</v>
      </c>
      <c r="AJ40" s="370">
        <f t="shared" si="35"/>
        <v>174636</v>
      </c>
      <c r="AK40" s="370">
        <f t="shared" si="4"/>
        <v>87318</v>
      </c>
      <c r="AL40" s="370">
        <v>0</v>
      </c>
      <c r="AM40" s="447">
        <f t="shared" si="5"/>
        <v>3234</v>
      </c>
      <c r="AN40" s="227">
        <v>4621.88</v>
      </c>
      <c r="AP40" s="486" t="e">
        <f t="shared" si="6"/>
        <v>#DIV/0!</v>
      </c>
      <c r="AQ40" s="486" t="e">
        <f t="shared" si="12"/>
        <v>#DIV/0!</v>
      </c>
      <c r="AR40" s="486" t="e">
        <f t="shared" si="13"/>
        <v>#DIV/0!</v>
      </c>
      <c r="AS40" s="486" t="e">
        <f t="shared" si="14"/>
        <v>#DIV/0!</v>
      </c>
      <c r="AT40" s="486" t="e">
        <f t="shared" si="15"/>
        <v>#DIV/0!</v>
      </c>
      <c r="AU40" s="486" t="e">
        <f t="shared" si="16"/>
        <v>#DIV/0!</v>
      </c>
      <c r="AV40" s="486" t="e">
        <f t="shared" si="17"/>
        <v>#DIV/0!</v>
      </c>
      <c r="AW40" s="486">
        <f t="shared" si="18"/>
        <v>3088.47</v>
      </c>
      <c r="AX40" s="486" t="e">
        <f t="shared" si="19"/>
        <v>#DIV/0!</v>
      </c>
      <c r="AY40" s="486" t="e">
        <f t="shared" si="20"/>
        <v>#DIV/0!</v>
      </c>
      <c r="AZ40" s="486" t="e">
        <f t="shared" si="21"/>
        <v>#DIV/0!</v>
      </c>
      <c r="BA40" s="486">
        <f t="shared" si="7"/>
        <v>0</v>
      </c>
      <c r="BB40" s="494">
        <v>5155.41</v>
      </c>
      <c r="BC40" s="494">
        <v>2070.12</v>
      </c>
      <c r="BD40" s="494">
        <v>848.92</v>
      </c>
      <c r="BE40" s="494">
        <v>819.73</v>
      </c>
      <c r="BF40" s="494">
        <v>611.5</v>
      </c>
      <c r="BG40" s="494">
        <v>1080.04</v>
      </c>
      <c r="BH40" s="494">
        <v>2671800.0099999998</v>
      </c>
      <c r="BI40" s="494">
        <f t="shared" si="36"/>
        <v>4422.8500000000004</v>
      </c>
      <c r="BJ40" s="494">
        <v>14289.54</v>
      </c>
      <c r="BK40" s="494">
        <v>3389.61</v>
      </c>
      <c r="BL40" s="494">
        <v>5995.76</v>
      </c>
      <c r="BM40" s="494">
        <v>548.62</v>
      </c>
      <c r="BN40" s="495" t="e">
        <f t="shared" si="23"/>
        <v>#DIV/0!</v>
      </c>
      <c r="BO40" s="495" t="e">
        <f t="shared" si="24"/>
        <v>#DIV/0!</v>
      </c>
      <c r="BP40" s="495" t="e">
        <f t="shared" si="25"/>
        <v>#DIV/0!</v>
      </c>
      <c r="BQ40" s="495" t="e">
        <f t="shared" si="26"/>
        <v>#DIV/0!</v>
      </c>
      <c r="BR40" s="495" t="e">
        <f t="shared" si="27"/>
        <v>#DIV/0!</v>
      </c>
      <c r="BS40" s="495" t="e">
        <f t="shared" si="28"/>
        <v>#DIV/0!</v>
      </c>
      <c r="BT40" s="495" t="e">
        <f t="shared" si="29"/>
        <v>#DIV/0!</v>
      </c>
      <c r="BU40" s="495" t="str">
        <f t="shared" si="30"/>
        <v xml:space="preserve"> </v>
      </c>
      <c r="BV40" s="495" t="e">
        <f t="shared" si="31"/>
        <v>#DIV/0!</v>
      </c>
      <c r="BW40" s="495" t="e">
        <f t="shared" si="32"/>
        <v>#DIV/0!</v>
      </c>
      <c r="BX40" s="495" t="e">
        <f t="shared" si="33"/>
        <v>#DIV/0!</v>
      </c>
      <c r="BY40" s="495" t="str">
        <f t="shared" si="34"/>
        <v xml:space="preserve"> </v>
      </c>
    </row>
    <row r="41" spans="1:77" s="28" customFormat="1" ht="9" customHeight="1">
      <c r="A41" s="366">
        <v>25</v>
      </c>
      <c r="B41" s="200" t="s">
        <v>500</v>
      </c>
      <c r="C41" s="465">
        <v>6957.45</v>
      </c>
      <c r="D41" s="308"/>
      <c r="E41" s="141" t="s">
        <v>1005</v>
      </c>
      <c r="F41" s="375">
        <f t="shared" si="2"/>
        <v>0</v>
      </c>
      <c r="G41" s="374">
        <v>8234980</v>
      </c>
      <c r="H41" s="205">
        <v>8234980</v>
      </c>
      <c r="I41" s="368">
        <f t="shared" si="11"/>
        <v>0</v>
      </c>
      <c r="J41" s="205">
        <v>0</v>
      </c>
      <c r="K41" s="465">
        <v>0</v>
      </c>
      <c r="L41" s="205">
        <v>0</v>
      </c>
      <c r="M41" s="465">
        <v>0</v>
      </c>
      <c r="N41" s="205">
        <v>0</v>
      </c>
      <c r="O41" s="249">
        <v>0</v>
      </c>
      <c r="P41" s="368">
        <v>0</v>
      </c>
      <c r="Q41" s="249">
        <v>0</v>
      </c>
      <c r="R41" s="368">
        <v>0</v>
      </c>
      <c r="S41" s="249">
        <v>0</v>
      </c>
      <c r="T41" s="368">
        <v>0</v>
      </c>
      <c r="U41" s="130">
        <v>0</v>
      </c>
      <c r="V41" s="368">
        <v>0</v>
      </c>
      <c r="W41" s="368">
        <v>2470</v>
      </c>
      <c r="X41" s="368">
        <f t="shared" si="3"/>
        <v>7864405.9000000004</v>
      </c>
      <c r="Y41" s="368">
        <v>0</v>
      </c>
      <c r="Z41" s="368">
        <v>0</v>
      </c>
      <c r="AA41" s="368">
        <v>0</v>
      </c>
      <c r="AB41" s="368">
        <v>0</v>
      </c>
      <c r="AC41" s="368">
        <v>0</v>
      </c>
      <c r="AD41" s="368">
        <v>0</v>
      </c>
      <c r="AE41" s="368">
        <v>0</v>
      </c>
      <c r="AF41" s="368">
        <v>0</v>
      </c>
      <c r="AG41" s="368">
        <v>0</v>
      </c>
      <c r="AH41" s="368">
        <v>0</v>
      </c>
      <c r="AI41" s="368">
        <v>0</v>
      </c>
      <c r="AJ41" s="370">
        <f t="shared" si="35"/>
        <v>247049.4</v>
      </c>
      <c r="AK41" s="370">
        <f t="shared" si="4"/>
        <v>123524.7</v>
      </c>
      <c r="AL41" s="370">
        <v>0</v>
      </c>
      <c r="AM41" s="447">
        <f t="shared" si="5"/>
        <v>3334</v>
      </c>
      <c r="AN41" s="227">
        <v>4814.95</v>
      </c>
      <c r="AP41" s="486" t="e">
        <f t="shared" si="6"/>
        <v>#DIV/0!</v>
      </c>
      <c r="AQ41" s="486" t="e">
        <f t="shared" si="12"/>
        <v>#DIV/0!</v>
      </c>
      <c r="AR41" s="486" t="e">
        <f t="shared" si="13"/>
        <v>#DIV/0!</v>
      </c>
      <c r="AS41" s="486" t="e">
        <f t="shared" si="14"/>
        <v>#DIV/0!</v>
      </c>
      <c r="AT41" s="486" t="e">
        <f t="shared" si="15"/>
        <v>#DIV/0!</v>
      </c>
      <c r="AU41" s="486" t="e">
        <f t="shared" si="16"/>
        <v>#DIV/0!</v>
      </c>
      <c r="AV41" s="486" t="e">
        <f t="shared" si="17"/>
        <v>#DIV/0!</v>
      </c>
      <c r="AW41" s="486">
        <f t="shared" si="18"/>
        <v>3183.9700000000003</v>
      </c>
      <c r="AX41" s="486" t="e">
        <f t="shared" si="19"/>
        <v>#DIV/0!</v>
      </c>
      <c r="AY41" s="486" t="e">
        <f t="shared" si="20"/>
        <v>#DIV/0!</v>
      </c>
      <c r="AZ41" s="486" t="e">
        <f t="shared" si="21"/>
        <v>#DIV/0!</v>
      </c>
      <c r="BA41" s="486">
        <f t="shared" si="7"/>
        <v>0</v>
      </c>
      <c r="BB41" s="494">
        <v>5155.41</v>
      </c>
      <c r="BC41" s="494">
        <v>2070.12</v>
      </c>
      <c r="BD41" s="494">
        <v>848.92</v>
      </c>
      <c r="BE41" s="494">
        <v>819.73</v>
      </c>
      <c r="BF41" s="494">
        <v>611.5</v>
      </c>
      <c r="BG41" s="494">
        <v>1080.04</v>
      </c>
      <c r="BH41" s="494">
        <v>2671800.0099999998</v>
      </c>
      <c r="BI41" s="494">
        <f t="shared" si="36"/>
        <v>4607.6000000000004</v>
      </c>
      <c r="BJ41" s="494">
        <v>14289.54</v>
      </c>
      <c r="BK41" s="494">
        <v>3389.61</v>
      </c>
      <c r="BL41" s="494">
        <v>5995.76</v>
      </c>
      <c r="BM41" s="494">
        <v>548.62</v>
      </c>
      <c r="BN41" s="495" t="e">
        <f t="shared" si="23"/>
        <v>#DIV/0!</v>
      </c>
      <c r="BO41" s="495" t="e">
        <f t="shared" si="24"/>
        <v>#DIV/0!</v>
      </c>
      <c r="BP41" s="495" t="e">
        <f t="shared" si="25"/>
        <v>#DIV/0!</v>
      </c>
      <c r="BQ41" s="495" t="e">
        <f t="shared" si="26"/>
        <v>#DIV/0!</v>
      </c>
      <c r="BR41" s="495" t="e">
        <f t="shared" si="27"/>
        <v>#DIV/0!</v>
      </c>
      <c r="BS41" s="495" t="e">
        <f t="shared" si="28"/>
        <v>#DIV/0!</v>
      </c>
      <c r="BT41" s="495" t="e">
        <f t="shared" si="29"/>
        <v>#DIV/0!</v>
      </c>
      <c r="BU41" s="495" t="str">
        <f t="shared" si="30"/>
        <v xml:space="preserve"> </v>
      </c>
      <c r="BV41" s="495" t="e">
        <f t="shared" si="31"/>
        <v>#DIV/0!</v>
      </c>
      <c r="BW41" s="495" t="e">
        <f t="shared" si="32"/>
        <v>#DIV/0!</v>
      </c>
      <c r="BX41" s="495" t="e">
        <f t="shared" si="33"/>
        <v>#DIV/0!</v>
      </c>
      <c r="BY41" s="495" t="str">
        <f t="shared" si="34"/>
        <v xml:space="preserve"> </v>
      </c>
    </row>
    <row r="42" spans="1:77" s="28" customFormat="1" ht="9" customHeight="1">
      <c r="A42" s="366">
        <v>26</v>
      </c>
      <c r="B42" s="200" t="s">
        <v>501</v>
      </c>
      <c r="C42" s="465">
        <v>7495.9</v>
      </c>
      <c r="D42" s="308"/>
      <c r="E42" s="141" t="s">
        <v>1005</v>
      </c>
      <c r="F42" s="375">
        <f t="shared" si="2"/>
        <v>0</v>
      </c>
      <c r="G42" s="374">
        <v>4580916</v>
      </c>
      <c r="H42" s="205">
        <v>4580916</v>
      </c>
      <c r="I42" s="368">
        <f t="shared" si="11"/>
        <v>0</v>
      </c>
      <c r="J42" s="205">
        <v>0</v>
      </c>
      <c r="K42" s="465">
        <v>0</v>
      </c>
      <c r="L42" s="205">
        <v>0</v>
      </c>
      <c r="M42" s="465">
        <v>0</v>
      </c>
      <c r="N42" s="205">
        <v>0</v>
      </c>
      <c r="O42" s="249">
        <v>0</v>
      </c>
      <c r="P42" s="368">
        <v>0</v>
      </c>
      <c r="Q42" s="249">
        <v>0</v>
      </c>
      <c r="R42" s="368">
        <v>0</v>
      </c>
      <c r="S42" s="249">
        <v>0</v>
      </c>
      <c r="T42" s="368">
        <v>0</v>
      </c>
      <c r="U42" s="130">
        <v>0</v>
      </c>
      <c r="V42" s="368">
        <v>0</v>
      </c>
      <c r="W42" s="368">
        <v>1374</v>
      </c>
      <c r="X42" s="368">
        <f t="shared" si="3"/>
        <v>4374774.78</v>
      </c>
      <c r="Y42" s="368">
        <v>0</v>
      </c>
      <c r="Z42" s="368">
        <v>0</v>
      </c>
      <c r="AA42" s="368">
        <v>0</v>
      </c>
      <c r="AB42" s="368">
        <v>0</v>
      </c>
      <c r="AC42" s="368">
        <v>0</v>
      </c>
      <c r="AD42" s="368">
        <v>0</v>
      </c>
      <c r="AE42" s="368">
        <v>0</v>
      </c>
      <c r="AF42" s="368">
        <v>0</v>
      </c>
      <c r="AG42" s="368">
        <v>0</v>
      </c>
      <c r="AH42" s="368">
        <v>0</v>
      </c>
      <c r="AI42" s="368">
        <v>0</v>
      </c>
      <c r="AJ42" s="370">
        <f t="shared" si="35"/>
        <v>137427.48000000001</v>
      </c>
      <c r="AK42" s="370">
        <f t="shared" si="4"/>
        <v>68713.740000000005</v>
      </c>
      <c r="AL42" s="370">
        <v>0</v>
      </c>
      <c r="AM42" s="447">
        <f t="shared" si="5"/>
        <v>3334</v>
      </c>
      <c r="AN42" s="227">
        <v>4814.95</v>
      </c>
      <c r="AP42" s="486" t="e">
        <f t="shared" si="6"/>
        <v>#DIV/0!</v>
      </c>
      <c r="AQ42" s="486" t="e">
        <f t="shared" si="12"/>
        <v>#DIV/0!</v>
      </c>
      <c r="AR42" s="486" t="e">
        <f t="shared" si="13"/>
        <v>#DIV/0!</v>
      </c>
      <c r="AS42" s="486" t="e">
        <f t="shared" si="14"/>
        <v>#DIV/0!</v>
      </c>
      <c r="AT42" s="486" t="e">
        <f t="shared" si="15"/>
        <v>#DIV/0!</v>
      </c>
      <c r="AU42" s="486" t="e">
        <f t="shared" si="16"/>
        <v>#DIV/0!</v>
      </c>
      <c r="AV42" s="486" t="e">
        <f t="shared" si="17"/>
        <v>#DIV/0!</v>
      </c>
      <c r="AW42" s="486">
        <f t="shared" si="18"/>
        <v>3183.9700000000003</v>
      </c>
      <c r="AX42" s="486" t="e">
        <f t="shared" si="19"/>
        <v>#DIV/0!</v>
      </c>
      <c r="AY42" s="486" t="e">
        <f t="shared" si="20"/>
        <v>#DIV/0!</v>
      </c>
      <c r="AZ42" s="486" t="e">
        <f t="shared" si="21"/>
        <v>#DIV/0!</v>
      </c>
      <c r="BA42" s="486">
        <f t="shared" si="7"/>
        <v>0</v>
      </c>
      <c r="BB42" s="494">
        <v>5155.41</v>
      </c>
      <c r="BC42" s="494">
        <v>2070.12</v>
      </c>
      <c r="BD42" s="494">
        <v>848.92</v>
      </c>
      <c r="BE42" s="494">
        <v>819.73</v>
      </c>
      <c r="BF42" s="494">
        <v>611.5</v>
      </c>
      <c r="BG42" s="494">
        <v>1080.04</v>
      </c>
      <c r="BH42" s="494">
        <v>2671800.0099999998</v>
      </c>
      <c r="BI42" s="494">
        <f t="shared" si="36"/>
        <v>4607.6000000000004</v>
      </c>
      <c r="BJ42" s="494">
        <v>14289.54</v>
      </c>
      <c r="BK42" s="494">
        <v>3389.61</v>
      </c>
      <c r="BL42" s="494">
        <v>5995.76</v>
      </c>
      <c r="BM42" s="494">
        <v>548.62</v>
      </c>
      <c r="BN42" s="495" t="e">
        <f t="shared" si="23"/>
        <v>#DIV/0!</v>
      </c>
      <c r="BO42" s="495" t="e">
        <f t="shared" si="24"/>
        <v>#DIV/0!</v>
      </c>
      <c r="BP42" s="495" t="e">
        <f t="shared" si="25"/>
        <v>#DIV/0!</v>
      </c>
      <c r="BQ42" s="495" t="e">
        <f t="shared" si="26"/>
        <v>#DIV/0!</v>
      </c>
      <c r="BR42" s="495" t="e">
        <f t="shared" si="27"/>
        <v>#DIV/0!</v>
      </c>
      <c r="BS42" s="495" t="e">
        <f t="shared" si="28"/>
        <v>#DIV/0!</v>
      </c>
      <c r="BT42" s="495" t="e">
        <f t="shared" si="29"/>
        <v>#DIV/0!</v>
      </c>
      <c r="BU42" s="495" t="str">
        <f t="shared" si="30"/>
        <v xml:space="preserve"> </v>
      </c>
      <c r="BV42" s="495" t="e">
        <f t="shared" si="31"/>
        <v>#DIV/0!</v>
      </c>
      <c r="BW42" s="495" t="e">
        <f t="shared" si="32"/>
        <v>#DIV/0!</v>
      </c>
      <c r="BX42" s="495" t="e">
        <f t="shared" si="33"/>
        <v>#DIV/0!</v>
      </c>
      <c r="BY42" s="495" t="str">
        <f t="shared" si="34"/>
        <v xml:space="preserve"> </v>
      </c>
    </row>
    <row r="43" spans="1:77" s="28" customFormat="1" ht="9" customHeight="1">
      <c r="A43" s="366">
        <v>27</v>
      </c>
      <c r="B43" s="200" t="s">
        <v>502</v>
      </c>
      <c r="C43" s="465">
        <v>750.8</v>
      </c>
      <c r="D43" s="466"/>
      <c r="E43" s="201" t="s">
        <v>1006</v>
      </c>
      <c r="F43" s="375">
        <f t="shared" si="2"/>
        <v>0</v>
      </c>
      <c r="G43" s="375">
        <v>2668050</v>
      </c>
      <c r="H43" s="205">
        <v>2668050</v>
      </c>
      <c r="I43" s="368">
        <f t="shared" si="11"/>
        <v>0</v>
      </c>
      <c r="J43" s="205">
        <v>0</v>
      </c>
      <c r="K43" s="465">
        <v>0</v>
      </c>
      <c r="L43" s="205">
        <v>0</v>
      </c>
      <c r="M43" s="465">
        <v>0</v>
      </c>
      <c r="N43" s="205">
        <v>0</v>
      </c>
      <c r="O43" s="249">
        <v>0</v>
      </c>
      <c r="P43" s="368">
        <v>0</v>
      </c>
      <c r="Q43" s="249">
        <v>0</v>
      </c>
      <c r="R43" s="368">
        <v>0</v>
      </c>
      <c r="S43" s="249">
        <v>0</v>
      </c>
      <c r="T43" s="368">
        <v>0</v>
      </c>
      <c r="U43" s="130">
        <v>0</v>
      </c>
      <c r="V43" s="368">
        <v>0</v>
      </c>
      <c r="W43" s="368">
        <v>825</v>
      </c>
      <c r="X43" s="368">
        <f t="shared" si="3"/>
        <v>2547987.75</v>
      </c>
      <c r="Y43" s="368">
        <v>0</v>
      </c>
      <c r="Z43" s="368">
        <v>0</v>
      </c>
      <c r="AA43" s="368">
        <v>0</v>
      </c>
      <c r="AB43" s="368">
        <v>0</v>
      </c>
      <c r="AC43" s="368">
        <v>0</v>
      </c>
      <c r="AD43" s="368">
        <v>0</v>
      </c>
      <c r="AE43" s="368">
        <v>0</v>
      </c>
      <c r="AF43" s="368">
        <v>0</v>
      </c>
      <c r="AG43" s="368">
        <v>0</v>
      </c>
      <c r="AH43" s="368">
        <v>0</v>
      </c>
      <c r="AI43" s="368">
        <v>0</v>
      </c>
      <c r="AJ43" s="370">
        <f t="shared" si="35"/>
        <v>80041.5</v>
      </c>
      <c r="AK43" s="370">
        <f t="shared" si="4"/>
        <v>40020.75</v>
      </c>
      <c r="AL43" s="370">
        <v>0</v>
      </c>
      <c r="AM43" s="447">
        <f t="shared" si="5"/>
        <v>3234</v>
      </c>
      <c r="AN43" s="227">
        <v>4621.88</v>
      </c>
      <c r="AP43" s="486" t="e">
        <f t="shared" si="6"/>
        <v>#DIV/0!</v>
      </c>
      <c r="AQ43" s="486" t="e">
        <f t="shared" si="12"/>
        <v>#DIV/0!</v>
      </c>
      <c r="AR43" s="486" t="e">
        <f t="shared" si="13"/>
        <v>#DIV/0!</v>
      </c>
      <c r="AS43" s="486" t="e">
        <f t="shared" si="14"/>
        <v>#DIV/0!</v>
      </c>
      <c r="AT43" s="486" t="e">
        <f t="shared" si="15"/>
        <v>#DIV/0!</v>
      </c>
      <c r="AU43" s="486" t="e">
        <f t="shared" si="16"/>
        <v>#DIV/0!</v>
      </c>
      <c r="AV43" s="486" t="e">
        <f t="shared" si="17"/>
        <v>#DIV/0!</v>
      </c>
      <c r="AW43" s="486">
        <f t="shared" si="18"/>
        <v>3088.47</v>
      </c>
      <c r="AX43" s="486" t="e">
        <f t="shared" si="19"/>
        <v>#DIV/0!</v>
      </c>
      <c r="AY43" s="486" t="e">
        <f t="shared" si="20"/>
        <v>#DIV/0!</v>
      </c>
      <c r="AZ43" s="486" t="e">
        <f t="shared" si="21"/>
        <v>#DIV/0!</v>
      </c>
      <c r="BA43" s="486">
        <f t="shared" si="7"/>
        <v>0</v>
      </c>
      <c r="BB43" s="494">
        <v>5155.41</v>
      </c>
      <c r="BC43" s="494">
        <v>2070.12</v>
      </c>
      <c r="BD43" s="494">
        <v>848.92</v>
      </c>
      <c r="BE43" s="494">
        <v>819.73</v>
      </c>
      <c r="BF43" s="494">
        <v>611.5</v>
      </c>
      <c r="BG43" s="494">
        <v>1080.04</v>
      </c>
      <c r="BH43" s="494">
        <v>2671800.0099999998</v>
      </c>
      <c r="BI43" s="494">
        <f t="shared" si="36"/>
        <v>4422.8500000000004</v>
      </c>
      <c r="BJ43" s="494">
        <v>14289.54</v>
      </c>
      <c r="BK43" s="494">
        <v>3389.61</v>
      </c>
      <c r="BL43" s="494">
        <v>5995.76</v>
      </c>
      <c r="BM43" s="494">
        <v>548.62</v>
      </c>
      <c r="BN43" s="495" t="e">
        <f t="shared" si="23"/>
        <v>#DIV/0!</v>
      </c>
      <c r="BO43" s="495" t="e">
        <f t="shared" si="24"/>
        <v>#DIV/0!</v>
      </c>
      <c r="BP43" s="495" t="e">
        <f t="shared" si="25"/>
        <v>#DIV/0!</v>
      </c>
      <c r="BQ43" s="495" t="e">
        <f t="shared" si="26"/>
        <v>#DIV/0!</v>
      </c>
      <c r="BR43" s="495" t="e">
        <f t="shared" si="27"/>
        <v>#DIV/0!</v>
      </c>
      <c r="BS43" s="495" t="e">
        <f t="shared" si="28"/>
        <v>#DIV/0!</v>
      </c>
      <c r="BT43" s="495" t="e">
        <f t="shared" si="29"/>
        <v>#DIV/0!</v>
      </c>
      <c r="BU43" s="495" t="str">
        <f t="shared" si="30"/>
        <v xml:space="preserve"> </v>
      </c>
      <c r="BV43" s="495" t="e">
        <f t="shared" si="31"/>
        <v>#DIV/0!</v>
      </c>
      <c r="BW43" s="495" t="e">
        <f t="shared" si="32"/>
        <v>#DIV/0!</v>
      </c>
      <c r="BX43" s="495" t="e">
        <f t="shared" si="33"/>
        <v>#DIV/0!</v>
      </c>
      <c r="BY43" s="495" t="str">
        <f t="shared" si="34"/>
        <v xml:space="preserve"> </v>
      </c>
    </row>
    <row r="44" spans="1:77" s="28" customFormat="1" ht="9" customHeight="1">
      <c r="A44" s="366">
        <v>28</v>
      </c>
      <c r="B44" s="200" t="s">
        <v>503</v>
      </c>
      <c r="C44" s="465">
        <v>3960.7</v>
      </c>
      <c r="D44" s="308"/>
      <c r="E44" s="141" t="s">
        <v>1005</v>
      </c>
      <c r="F44" s="375">
        <f t="shared" si="2"/>
        <v>0</v>
      </c>
      <c r="G44" s="374">
        <v>6668000</v>
      </c>
      <c r="H44" s="205">
        <v>6668000</v>
      </c>
      <c r="I44" s="368">
        <f t="shared" si="11"/>
        <v>0</v>
      </c>
      <c r="J44" s="205">
        <v>0</v>
      </c>
      <c r="K44" s="465">
        <v>0</v>
      </c>
      <c r="L44" s="205">
        <v>0</v>
      </c>
      <c r="M44" s="465">
        <v>0</v>
      </c>
      <c r="N44" s="205">
        <v>0</v>
      </c>
      <c r="O44" s="249">
        <v>0</v>
      </c>
      <c r="P44" s="368">
        <v>0</v>
      </c>
      <c r="Q44" s="249">
        <v>0</v>
      </c>
      <c r="R44" s="368">
        <v>0</v>
      </c>
      <c r="S44" s="249">
        <v>0</v>
      </c>
      <c r="T44" s="368">
        <v>0</v>
      </c>
      <c r="U44" s="130">
        <v>0</v>
      </c>
      <c r="V44" s="368">
        <v>0</v>
      </c>
      <c r="W44" s="368">
        <v>2000</v>
      </c>
      <c r="X44" s="368">
        <f t="shared" si="3"/>
        <v>6367940</v>
      </c>
      <c r="Y44" s="368">
        <v>0</v>
      </c>
      <c r="Z44" s="368">
        <v>0</v>
      </c>
      <c r="AA44" s="368">
        <v>0</v>
      </c>
      <c r="AB44" s="368">
        <v>0</v>
      </c>
      <c r="AC44" s="368">
        <v>0</v>
      </c>
      <c r="AD44" s="368">
        <v>0</v>
      </c>
      <c r="AE44" s="368">
        <v>0</v>
      </c>
      <c r="AF44" s="368">
        <v>0</v>
      </c>
      <c r="AG44" s="368">
        <v>0</v>
      </c>
      <c r="AH44" s="368">
        <v>0</v>
      </c>
      <c r="AI44" s="368">
        <v>0</v>
      </c>
      <c r="AJ44" s="370">
        <f t="shared" si="35"/>
        <v>200040</v>
      </c>
      <c r="AK44" s="370">
        <f t="shared" si="4"/>
        <v>100020</v>
      </c>
      <c r="AL44" s="370">
        <v>0</v>
      </c>
      <c r="AM44" s="447">
        <f t="shared" si="5"/>
        <v>3334</v>
      </c>
      <c r="AN44" s="227">
        <v>4814.95</v>
      </c>
      <c r="AP44" s="486" t="e">
        <f t="shared" si="6"/>
        <v>#DIV/0!</v>
      </c>
      <c r="AQ44" s="486" t="e">
        <f t="shared" si="12"/>
        <v>#DIV/0!</v>
      </c>
      <c r="AR44" s="486" t="e">
        <f t="shared" si="13"/>
        <v>#DIV/0!</v>
      </c>
      <c r="AS44" s="486" t="e">
        <f t="shared" si="14"/>
        <v>#DIV/0!</v>
      </c>
      <c r="AT44" s="486" t="e">
        <f t="shared" si="15"/>
        <v>#DIV/0!</v>
      </c>
      <c r="AU44" s="486" t="e">
        <f t="shared" si="16"/>
        <v>#DIV/0!</v>
      </c>
      <c r="AV44" s="486" t="e">
        <f t="shared" si="17"/>
        <v>#DIV/0!</v>
      </c>
      <c r="AW44" s="486">
        <f t="shared" si="18"/>
        <v>3183.97</v>
      </c>
      <c r="AX44" s="486" t="e">
        <f t="shared" si="19"/>
        <v>#DIV/0!</v>
      </c>
      <c r="AY44" s="486" t="e">
        <f t="shared" si="20"/>
        <v>#DIV/0!</v>
      </c>
      <c r="AZ44" s="486" t="e">
        <f t="shared" si="21"/>
        <v>#DIV/0!</v>
      </c>
      <c r="BA44" s="486">
        <f t="shared" si="7"/>
        <v>0</v>
      </c>
      <c r="BB44" s="494">
        <v>5155.41</v>
      </c>
      <c r="BC44" s="494">
        <v>2070.12</v>
      </c>
      <c r="BD44" s="494">
        <v>848.92</v>
      </c>
      <c r="BE44" s="494">
        <v>819.73</v>
      </c>
      <c r="BF44" s="494">
        <v>611.5</v>
      </c>
      <c r="BG44" s="494">
        <v>1080.04</v>
      </c>
      <c r="BH44" s="494">
        <v>2671800.0099999998</v>
      </c>
      <c r="BI44" s="494">
        <f t="shared" si="36"/>
        <v>4607.6000000000004</v>
      </c>
      <c r="BJ44" s="494">
        <v>14289.54</v>
      </c>
      <c r="BK44" s="494">
        <v>3389.61</v>
      </c>
      <c r="BL44" s="494">
        <v>5995.76</v>
      </c>
      <c r="BM44" s="494">
        <v>548.62</v>
      </c>
      <c r="BN44" s="495" t="e">
        <f t="shared" si="23"/>
        <v>#DIV/0!</v>
      </c>
      <c r="BO44" s="495" t="e">
        <f t="shared" si="24"/>
        <v>#DIV/0!</v>
      </c>
      <c r="BP44" s="495" t="e">
        <f t="shared" si="25"/>
        <v>#DIV/0!</v>
      </c>
      <c r="BQ44" s="495" t="e">
        <f t="shared" si="26"/>
        <v>#DIV/0!</v>
      </c>
      <c r="BR44" s="495" t="e">
        <f t="shared" si="27"/>
        <v>#DIV/0!</v>
      </c>
      <c r="BS44" s="495" t="e">
        <f t="shared" si="28"/>
        <v>#DIV/0!</v>
      </c>
      <c r="BT44" s="495" t="e">
        <f t="shared" si="29"/>
        <v>#DIV/0!</v>
      </c>
      <c r="BU44" s="495" t="str">
        <f t="shared" si="30"/>
        <v xml:space="preserve"> </v>
      </c>
      <c r="BV44" s="495" t="e">
        <f t="shared" si="31"/>
        <v>#DIV/0!</v>
      </c>
      <c r="BW44" s="495" t="e">
        <f t="shared" si="32"/>
        <v>#DIV/0!</v>
      </c>
      <c r="BX44" s="495" t="e">
        <f t="shared" si="33"/>
        <v>#DIV/0!</v>
      </c>
      <c r="BY44" s="495" t="str">
        <f t="shared" si="34"/>
        <v xml:space="preserve"> </v>
      </c>
    </row>
    <row r="45" spans="1:77" s="28" customFormat="1" ht="9" customHeight="1">
      <c r="A45" s="366">
        <v>29</v>
      </c>
      <c r="B45" s="200" t="s">
        <v>504</v>
      </c>
      <c r="C45" s="465">
        <v>3936.1</v>
      </c>
      <c r="D45" s="308"/>
      <c r="E45" s="141" t="s">
        <v>1005</v>
      </c>
      <c r="F45" s="375">
        <f t="shared" si="2"/>
        <v>0</v>
      </c>
      <c r="G45" s="374">
        <v>4000800</v>
      </c>
      <c r="H45" s="205">
        <v>4000800</v>
      </c>
      <c r="I45" s="368">
        <f t="shared" si="11"/>
        <v>0</v>
      </c>
      <c r="J45" s="205">
        <v>0</v>
      </c>
      <c r="K45" s="465">
        <v>0</v>
      </c>
      <c r="L45" s="205">
        <v>0</v>
      </c>
      <c r="M45" s="465">
        <v>0</v>
      </c>
      <c r="N45" s="205">
        <v>0</v>
      </c>
      <c r="O45" s="249">
        <v>0</v>
      </c>
      <c r="P45" s="368">
        <v>0</v>
      </c>
      <c r="Q45" s="249">
        <v>0</v>
      </c>
      <c r="R45" s="368">
        <v>0</v>
      </c>
      <c r="S45" s="249">
        <v>0</v>
      </c>
      <c r="T45" s="368">
        <v>0</v>
      </c>
      <c r="U45" s="130">
        <v>0</v>
      </c>
      <c r="V45" s="368">
        <v>0</v>
      </c>
      <c r="W45" s="368">
        <v>1200</v>
      </c>
      <c r="X45" s="368">
        <f t="shared" si="3"/>
        <v>3820764</v>
      </c>
      <c r="Y45" s="368">
        <v>0</v>
      </c>
      <c r="Z45" s="368">
        <v>0</v>
      </c>
      <c r="AA45" s="368">
        <v>0</v>
      </c>
      <c r="AB45" s="368">
        <v>0</v>
      </c>
      <c r="AC45" s="368">
        <v>0</v>
      </c>
      <c r="AD45" s="368">
        <v>0</v>
      </c>
      <c r="AE45" s="368">
        <v>0</v>
      </c>
      <c r="AF45" s="368">
        <v>0</v>
      </c>
      <c r="AG45" s="368">
        <v>0</v>
      </c>
      <c r="AH45" s="368">
        <v>0</v>
      </c>
      <c r="AI45" s="368">
        <v>0</v>
      </c>
      <c r="AJ45" s="370">
        <f t="shared" si="35"/>
        <v>120024</v>
      </c>
      <c r="AK45" s="370">
        <f t="shared" si="4"/>
        <v>60012</v>
      </c>
      <c r="AL45" s="370">
        <v>0</v>
      </c>
      <c r="AM45" s="447">
        <f t="shared" si="5"/>
        <v>3334</v>
      </c>
      <c r="AN45" s="227">
        <v>4814.95</v>
      </c>
      <c r="AP45" s="486" t="e">
        <f t="shared" si="6"/>
        <v>#DIV/0!</v>
      </c>
      <c r="AQ45" s="486" t="e">
        <f t="shared" si="12"/>
        <v>#DIV/0!</v>
      </c>
      <c r="AR45" s="486" t="e">
        <f t="shared" si="13"/>
        <v>#DIV/0!</v>
      </c>
      <c r="AS45" s="486" t="e">
        <f t="shared" si="14"/>
        <v>#DIV/0!</v>
      </c>
      <c r="AT45" s="486" t="e">
        <f t="shared" si="15"/>
        <v>#DIV/0!</v>
      </c>
      <c r="AU45" s="486" t="e">
        <f t="shared" si="16"/>
        <v>#DIV/0!</v>
      </c>
      <c r="AV45" s="486" t="e">
        <f t="shared" si="17"/>
        <v>#DIV/0!</v>
      </c>
      <c r="AW45" s="486">
        <f t="shared" si="18"/>
        <v>3183.97</v>
      </c>
      <c r="AX45" s="486" t="e">
        <f t="shared" si="19"/>
        <v>#DIV/0!</v>
      </c>
      <c r="AY45" s="486" t="e">
        <f t="shared" si="20"/>
        <v>#DIV/0!</v>
      </c>
      <c r="AZ45" s="486" t="e">
        <f t="shared" si="21"/>
        <v>#DIV/0!</v>
      </c>
      <c r="BA45" s="486">
        <f t="shared" si="7"/>
        <v>0</v>
      </c>
      <c r="BB45" s="494">
        <v>5155.41</v>
      </c>
      <c r="BC45" s="494">
        <v>2070.12</v>
      </c>
      <c r="BD45" s="494">
        <v>848.92</v>
      </c>
      <c r="BE45" s="494">
        <v>819.73</v>
      </c>
      <c r="BF45" s="494">
        <v>611.5</v>
      </c>
      <c r="BG45" s="494">
        <v>1080.04</v>
      </c>
      <c r="BH45" s="494">
        <v>2671800.0099999998</v>
      </c>
      <c r="BI45" s="494">
        <f t="shared" si="36"/>
        <v>4607.6000000000004</v>
      </c>
      <c r="BJ45" s="494">
        <v>14289.54</v>
      </c>
      <c r="BK45" s="494">
        <v>3389.61</v>
      </c>
      <c r="BL45" s="494">
        <v>5995.76</v>
      </c>
      <c r="BM45" s="494">
        <v>548.62</v>
      </c>
      <c r="BN45" s="495" t="e">
        <f t="shared" si="23"/>
        <v>#DIV/0!</v>
      </c>
      <c r="BO45" s="495" t="e">
        <f t="shared" si="24"/>
        <v>#DIV/0!</v>
      </c>
      <c r="BP45" s="495" t="e">
        <f t="shared" si="25"/>
        <v>#DIV/0!</v>
      </c>
      <c r="BQ45" s="495" t="e">
        <f t="shared" si="26"/>
        <v>#DIV/0!</v>
      </c>
      <c r="BR45" s="495" t="e">
        <f t="shared" si="27"/>
        <v>#DIV/0!</v>
      </c>
      <c r="BS45" s="495" t="e">
        <f t="shared" si="28"/>
        <v>#DIV/0!</v>
      </c>
      <c r="BT45" s="495" t="e">
        <f t="shared" si="29"/>
        <v>#DIV/0!</v>
      </c>
      <c r="BU45" s="495" t="str">
        <f t="shared" si="30"/>
        <v xml:space="preserve"> </v>
      </c>
      <c r="BV45" s="495" t="e">
        <f t="shared" si="31"/>
        <v>#DIV/0!</v>
      </c>
      <c r="BW45" s="495" t="e">
        <f t="shared" si="32"/>
        <v>#DIV/0!</v>
      </c>
      <c r="BX45" s="495" t="e">
        <f t="shared" si="33"/>
        <v>#DIV/0!</v>
      </c>
      <c r="BY45" s="495" t="str">
        <f t="shared" si="34"/>
        <v xml:space="preserve"> </v>
      </c>
    </row>
    <row r="46" spans="1:77" s="28" customFormat="1" ht="9" customHeight="1">
      <c r="A46" s="366">
        <v>30</v>
      </c>
      <c r="B46" s="200" t="s">
        <v>505</v>
      </c>
      <c r="C46" s="465">
        <v>3164.8</v>
      </c>
      <c r="D46" s="308"/>
      <c r="E46" s="141" t="s">
        <v>1005</v>
      </c>
      <c r="F46" s="375">
        <f t="shared" si="2"/>
        <v>0</v>
      </c>
      <c r="G46" s="374">
        <v>3114956.2</v>
      </c>
      <c r="H46" s="205">
        <v>3114956.2</v>
      </c>
      <c r="I46" s="368">
        <f t="shared" si="11"/>
        <v>0</v>
      </c>
      <c r="J46" s="205">
        <v>0</v>
      </c>
      <c r="K46" s="465">
        <v>0</v>
      </c>
      <c r="L46" s="205">
        <v>0</v>
      </c>
      <c r="M46" s="465">
        <v>0</v>
      </c>
      <c r="N46" s="205">
        <v>0</v>
      </c>
      <c r="O46" s="249">
        <v>0</v>
      </c>
      <c r="P46" s="368">
        <v>0</v>
      </c>
      <c r="Q46" s="249">
        <v>0</v>
      </c>
      <c r="R46" s="368">
        <v>0</v>
      </c>
      <c r="S46" s="249">
        <v>0</v>
      </c>
      <c r="T46" s="368">
        <v>0</v>
      </c>
      <c r="U46" s="130">
        <v>0</v>
      </c>
      <c r="V46" s="368">
        <v>0</v>
      </c>
      <c r="W46" s="368">
        <v>934.3</v>
      </c>
      <c r="X46" s="368">
        <f t="shared" si="3"/>
        <v>2974783.17</v>
      </c>
      <c r="Y46" s="368">
        <v>0</v>
      </c>
      <c r="Z46" s="368">
        <v>0</v>
      </c>
      <c r="AA46" s="368">
        <v>0</v>
      </c>
      <c r="AB46" s="368">
        <v>0</v>
      </c>
      <c r="AC46" s="368">
        <v>0</v>
      </c>
      <c r="AD46" s="368">
        <v>0</v>
      </c>
      <c r="AE46" s="368">
        <v>0</v>
      </c>
      <c r="AF46" s="368">
        <v>0</v>
      </c>
      <c r="AG46" s="368">
        <v>0</v>
      </c>
      <c r="AH46" s="368">
        <v>0</v>
      </c>
      <c r="AI46" s="368">
        <v>0</v>
      </c>
      <c r="AJ46" s="370">
        <f t="shared" si="35"/>
        <v>93448.69</v>
      </c>
      <c r="AK46" s="370">
        <f t="shared" si="4"/>
        <v>46724.34</v>
      </c>
      <c r="AL46" s="370">
        <v>0</v>
      </c>
      <c r="AM46" s="447">
        <f t="shared" si="5"/>
        <v>3334.0000000000005</v>
      </c>
      <c r="AN46" s="227">
        <v>4814.95</v>
      </c>
      <c r="AP46" s="486" t="e">
        <f t="shared" si="6"/>
        <v>#DIV/0!</v>
      </c>
      <c r="AQ46" s="486" t="e">
        <f t="shared" si="12"/>
        <v>#DIV/0!</v>
      </c>
      <c r="AR46" s="486" t="e">
        <f t="shared" si="13"/>
        <v>#DIV/0!</v>
      </c>
      <c r="AS46" s="486" t="e">
        <f t="shared" si="14"/>
        <v>#DIV/0!</v>
      </c>
      <c r="AT46" s="486" t="e">
        <f t="shared" si="15"/>
        <v>#DIV/0!</v>
      </c>
      <c r="AU46" s="486" t="e">
        <f t="shared" si="16"/>
        <v>#DIV/0!</v>
      </c>
      <c r="AV46" s="486" t="e">
        <f t="shared" si="17"/>
        <v>#DIV/0!</v>
      </c>
      <c r="AW46" s="486">
        <f t="shared" si="18"/>
        <v>3183.9699989296801</v>
      </c>
      <c r="AX46" s="486" t="e">
        <f t="shared" si="19"/>
        <v>#DIV/0!</v>
      </c>
      <c r="AY46" s="486" t="e">
        <f t="shared" si="20"/>
        <v>#DIV/0!</v>
      </c>
      <c r="AZ46" s="486" t="e">
        <f t="shared" si="21"/>
        <v>#DIV/0!</v>
      </c>
      <c r="BA46" s="486">
        <f t="shared" si="7"/>
        <v>0</v>
      </c>
      <c r="BB46" s="494">
        <v>5155.41</v>
      </c>
      <c r="BC46" s="494">
        <v>2070.12</v>
      </c>
      <c r="BD46" s="494">
        <v>848.92</v>
      </c>
      <c r="BE46" s="494">
        <v>819.73</v>
      </c>
      <c r="BF46" s="494">
        <v>611.5</v>
      </c>
      <c r="BG46" s="494">
        <v>1080.04</v>
      </c>
      <c r="BH46" s="494">
        <v>2671800.0099999998</v>
      </c>
      <c r="BI46" s="494">
        <f t="shared" si="36"/>
        <v>4607.6000000000004</v>
      </c>
      <c r="BJ46" s="494">
        <v>14289.54</v>
      </c>
      <c r="BK46" s="494">
        <v>3389.61</v>
      </c>
      <c r="BL46" s="494">
        <v>5995.76</v>
      </c>
      <c r="BM46" s="494">
        <v>548.62</v>
      </c>
      <c r="BN46" s="495" t="e">
        <f t="shared" si="23"/>
        <v>#DIV/0!</v>
      </c>
      <c r="BO46" s="495" t="e">
        <f t="shared" si="24"/>
        <v>#DIV/0!</v>
      </c>
      <c r="BP46" s="495" t="e">
        <f t="shared" si="25"/>
        <v>#DIV/0!</v>
      </c>
      <c r="BQ46" s="495" t="e">
        <f t="shared" si="26"/>
        <v>#DIV/0!</v>
      </c>
      <c r="BR46" s="495" t="e">
        <f t="shared" si="27"/>
        <v>#DIV/0!</v>
      </c>
      <c r="BS46" s="495" t="e">
        <f t="shared" si="28"/>
        <v>#DIV/0!</v>
      </c>
      <c r="BT46" s="495" t="e">
        <f t="shared" si="29"/>
        <v>#DIV/0!</v>
      </c>
      <c r="BU46" s="495" t="str">
        <f t="shared" si="30"/>
        <v xml:space="preserve"> </v>
      </c>
      <c r="BV46" s="495" t="e">
        <f t="shared" si="31"/>
        <v>#DIV/0!</v>
      </c>
      <c r="BW46" s="495" t="e">
        <f t="shared" si="32"/>
        <v>#DIV/0!</v>
      </c>
      <c r="BX46" s="495" t="e">
        <f t="shared" si="33"/>
        <v>#DIV/0!</v>
      </c>
      <c r="BY46" s="495" t="str">
        <f t="shared" si="34"/>
        <v xml:space="preserve"> </v>
      </c>
    </row>
    <row r="47" spans="1:77" s="28" customFormat="1" ht="9" customHeight="1">
      <c r="A47" s="366">
        <v>31</v>
      </c>
      <c r="B47" s="200" t="s">
        <v>506</v>
      </c>
      <c r="C47" s="465">
        <v>2990.3</v>
      </c>
      <c r="D47" s="308"/>
      <c r="E47" s="141" t="s">
        <v>1005</v>
      </c>
      <c r="F47" s="375">
        <f t="shared" si="2"/>
        <v>0</v>
      </c>
      <c r="G47" s="374">
        <v>3190638</v>
      </c>
      <c r="H47" s="205">
        <v>3190638</v>
      </c>
      <c r="I47" s="368">
        <f t="shared" si="11"/>
        <v>0</v>
      </c>
      <c r="J47" s="205">
        <v>0</v>
      </c>
      <c r="K47" s="465">
        <v>0</v>
      </c>
      <c r="L47" s="205">
        <v>0</v>
      </c>
      <c r="M47" s="465">
        <v>0</v>
      </c>
      <c r="N47" s="205">
        <v>0</v>
      </c>
      <c r="O47" s="249">
        <v>0</v>
      </c>
      <c r="P47" s="368">
        <v>0</v>
      </c>
      <c r="Q47" s="249">
        <v>0</v>
      </c>
      <c r="R47" s="368">
        <v>0</v>
      </c>
      <c r="S47" s="249">
        <v>0</v>
      </c>
      <c r="T47" s="368">
        <v>0</v>
      </c>
      <c r="U47" s="130">
        <v>0</v>
      </c>
      <c r="V47" s="368">
        <v>0</v>
      </c>
      <c r="W47" s="368">
        <v>957</v>
      </c>
      <c r="X47" s="368">
        <f t="shared" si="3"/>
        <v>3047059.29</v>
      </c>
      <c r="Y47" s="368">
        <v>0</v>
      </c>
      <c r="Z47" s="368">
        <v>0</v>
      </c>
      <c r="AA47" s="368">
        <v>0</v>
      </c>
      <c r="AB47" s="368">
        <v>0</v>
      </c>
      <c r="AC47" s="368">
        <v>0</v>
      </c>
      <c r="AD47" s="368">
        <v>0</v>
      </c>
      <c r="AE47" s="368">
        <v>0</v>
      </c>
      <c r="AF47" s="368">
        <v>0</v>
      </c>
      <c r="AG47" s="368">
        <v>0</v>
      </c>
      <c r="AH47" s="368">
        <v>0</v>
      </c>
      <c r="AI47" s="368">
        <v>0</v>
      </c>
      <c r="AJ47" s="370">
        <f t="shared" si="35"/>
        <v>95719.14</v>
      </c>
      <c r="AK47" s="370">
        <f t="shared" si="4"/>
        <v>47859.57</v>
      </c>
      <c r="AL47" s="370">
        <v>0</v>
      </c>
      <c r="AM47" s="447">
        <f t="shared" si="5"/>
        <v>3334</v>
      </c>
      <c r="AN47" s="227">
        <v>4814.95</v>
      </c>
      <c r="AP47" s="486" t="e">
        <f t="shared" si="6"/>
        <v>#DIV/0!</v>
      </c>
      <c r="AQ47" s="486" t="e">
        <f t="shared" si="12"/>
        <v>#DIV/0!</v>
      </c>
      <c r="AR47" s="486" t="e">
        <f t="shared" si="13"/>
        <v>#DIV/0!</v>
      </c>
      <c r="AS47" s="486" t="e">
        <f t="shared" si="14"/>
        <v>#DIV/0!</v>
      </c>
      <c r="AT47" s="486" t="e">
        <f t="shared" si="15"/>
        <v>#DIV/0!</v>
      </c>
      <c r="AU47" s="486" t="e">
        <f t="shared" si="16"/>
        <v>#DIV/0!</v>
      </c>
      <c r="AV47" s="486" t="e">
        <f t="shared" si="17"/>
        <v>#DIV/0!</v>
      </c>
      <c r="AW47" s="486">
        <f t="shared" si="18"/>
        <v>3183.9700000000003</v>
      </c>
      <c r="AX47" s="486" t="e">
        <f t="shared" si="19"/>
        <v>#DIV/0!</v>
      </c>
      <c r="AY47" s="486" t="e">
        <f t="shared" si="20"/>
        <v>#DIV/0!</v>
      </c>
      <c r="AZ47" s="486" t="e">
        <f t="shared" si="21"/>
        <v>#DIV/0!</v>
      </c>
      <c r="BA47" s="486">
        <f t="shared" si="7"/>
        <v>0</v>
      </c>
      <c r="BB47" s="494">
        <v>5155.41</v>
      </c>
      <c r="BC47" s="494">
        <v>2070.12</v>
      </c>
      <c r="BD47" s="494">
        <v>848.92</v>
      </c>
      <c r="BE47" s="494">
        <v>819.73</v>
      </c>
      <c r="BF47" s="494">
        <v>611.5</v>
      </c>
      <c r="BG47" s="494">
        <v>1080.04</v>
      </c>
      <c r="BH47" s="494">
        <v>2671800.0099999998</v>
      </c>
      <c r="BI47" s="494">
        <f t="shared" si="36"/>
        <v>4607.6000000000004</v>
      </c>
      <c r="BJ47" s="494">
        <v>14289.54</v>
      </c>
      <c r="BK47" s="494">
        <v>3389.61</v>
      </c>
      <c r="BL47" s="494">
        <v>5995.76</v>
      </c>
      <c r="BM47" s="494">
        <v>548.62</v>
      </c>
      <c r="BN47" s="495" t="e">
        <f t="shared" si="23"/>
        <v>#DIV/0!</v>
      </c>
      <c r="BO47" s="495" t="e">
        <f t="shared" si="24"/>
        <v>#DIV/0!</v>
      </c>
      <c r="BP47" s="495" t="e">
        <f t="shared" si="25"/>
        <v>#DIV/0!</v>
      </c>
      <c r="BQ47" s="495" t="e">
        <f t="shared" si="26"/>
        <v>#DIV/0!</v>
      </c>
      <c r="BR47" s="495" t="e">
        <f t="shared" si="27"/>
        <v>#DIV/0!</v>
      </c>
      <c r="BS47" s="495" t="e">
        <f t="shared" si="28"/>
        <v>#DIV/0!</v>
      </c>
      <c r="BT47" s="495" t="e">
        <f t="shared" si="29"/>
        <v>#DIV/0!</v>
      </c>
      <c r="BU47" s="495" t="str">
        <f t="shared" si="30"/>
        <v xml:space="preserve"> </v>
      </c>
      <c r="BV47" s="495" t="e">
        <f t="shared" si="31"/>
        <v>#DIV/0!</v>
      </c>
      <c r="BW47" s="495" t="e">
        <f t="shared" si="32"/>
        <v>#DIV/0!</v>
      </c>
      <c r="BX47" s="495" t="e">
        <f t="shared" si="33"/>
        <v>#DIV/0!</v>
      </c>
      <c r="BY47" s="495" t="str">
        <f t="shared" si="34"/>
        <v xml:space="preserve"> </v>
      </c>
    </row>
    <row r="48" spans="1:77" s="28" customFormat="1" ht="9" customHeight="1">
      <c r="A48" s="366">
        <v>32</v>
      </c>
      <c r="B48" s="200" t="s">
        <v>507</v>
      </c>
      <c r="C48" s="465">
        <v>3894.4</v>
      </c>
      <c r="D48" s="308"/>
      <c r="E48" s="141" t="s">
        <v>1005</v>
      </c>
      <c r="F48" s="375">
        <f t="shared" si="2"/>
        <v>0</v>
      </c>
      <c r="G48" s="374">
        <v>4000800</v>
      </c>
      <c r="H48" s="205">
        <v>4000800</v>
      </c>
      <c r="I48" s="368">
        <f t="shared" si="11"/>
        <v>0</v>
      </c>
      <c r="J48" s="205">
        <v>0</v>
      </c>
      <c r="K48" s="465">
        <v>0</v>
      </c>
      <c r="L48" s="205">
        <v>0</v>
      </c>
      <c r="M48" s="465">
        <v>0</v>
      </c>
      <c r="N48" s="205">
        <v>0</v>
      </c>
      <c r="O48" s="249">
        <v>0</v>
      </c>
      <c r="P48" s="368">
        <v>0</v>
      </c>
      <c r="Q48" s="249">
        <v>0</v>
      </c>
      <c r="R48" s="368">
        <v>0</v>
      </c>
      <c r="S48" s="249">
        <v>0</v>
      </c>
      <c r="T48" s="368">
        <v>0</v>
      </c>
      <c r="U48" s="130">
        <v>0</v>
      </c>
      <c r="V48" s="368">
        <v>0</v>
      </c>
      <c r="W48" s="368">
        <v>1200</v>
      </c>
      <c r="X48" s="368">
        <f t="shared" si="3"/>
        <v>3820764</v>
      </c>
      <c r="Y48" s="368">
        <v>0</v>
      </c>
      <c r="Z48" s="368">
        <v>0</v>
      </c>
      <c r="AA48" s="368">
        <v>0</v>
      </c>
      <c r="AB48" s="368">
        <v>0</v>
      </c>
      <c r="AC48" s="368">
        <v>0</v>
      </c>
      <c r="AD48" s="368">
        <v>0</v>
      </c>
      <c r="AE48" s="368">
        <v>0</v>
      </c>
      <c r="AF48" s="368">
        <v>0</v>
      </c>
      <c r="AG48" s="368">
        <v>0</v>
      </c>
      <c r="AH48" s="368">
        <v>0</v>
      </c>
      <c r="AI48" s="368">
        <v>0</v>
      </c>
      <c r="AJ48" s="370">
        <f t="shared" si="35"/>
        <v>120024</v>
      </c>
      <c r="AK48" s="370">
        <f t="shared" si="4"/>
        <v>60012</v>
      </c>
      <c r="AL48" s="370">
        <v>0</v>
      </c>
      <c r="AM48" s="447">
        <f t="shared" si="5"/>
        <v>3334</v>
      </c>
      <c r="AN48" s="227">
        <v>4814.95</v>
      </c>
      <c r="AP48" s="486" t="e">
        <f t="shared" si="6"/>
        <v>#DIV/0!</v>
      </c>
      <c r="AQ48" s="486" t="e">
        <f t="shared" si="12"/>
        <v>#DIV/0!</v>
      </c>
      <c r="AR48" s="486" t="e">
        <f t="shared" si="13"/>
        <v>#DIV/0!</v>
      </c>
      <c r="AS48" s="486" t="e">
        <f t="shared" si="14"/>
        <v>#DIV/0!</v>
      </c>
      <c r="AT48" s="486" t="e">
        <f t="shared" si="15"/>
        <v>#DIV/0!</v>
      </c>
      <c r="AU48" s="486" t="e">
        <f t="shared" si="16"/>
        <v>#DIV/0!</v>
      </c>
      <c r="AV48" s="486" t="e">
        <f t="shared" si="17"/>
        <v>#DIV/0!</v>
      </c>
      <c r="AW48" s="486">
        <f t="shared" si="18"/>
        <v>3183.97</v>
      </c>
      <c r="AX48" s="486" t="e">
        <f t="shared" si="19"/>
        <v>#DIV/0!</v>
      </c>
      <c r="AY48" s="486" t="e">
        <f t="shared" si="20"/>
        <v>#DIV/0!</v>
      </c>
      <c r="AZ48" s="486" t="e">
        <f t="shared" si="21"/>
        <v>#DIV/0!</v>
      </c>
      <c r="BA48" s="486">
        <f t="shared" si="7"/>
        <v>0</v>
      </c>
      <c r="BB48" s="494">
        <v>5155.41</v>
      </c>
      <c r="BC48" s="494">
        <v>2070.12</v>
      </c>
      <c r="BD48" s="494">
        <v>848.92</v>
      </c>
      <c r="BE48" s="494">
        <v>819.73</v>
      </c>
      <c r="BF48" s="494">
        <v>611.5</v>
      </c>
      <c r="BG48" s="494">
        <v>1080.04</v>
      </c>
      <c r="BH48" s="494">
        <v>2671800.0099999998</v>
      </c>
      <c r="BI48" s="494">
        <f t="shared" si="36"/>
        <v>4607.6000000000004</v>
      </c>
      <c r="BJ48" s="494">
        <v>14289.54</v>
      </c>
      <c r="BK48" s="494">
        <v>3389.61</v>
      </c>
      <c r="BL48" s="494">
        <v>5995.76</v>
      </c>
      <c r="BM48" s="494">
        <v>548.62</v>
      </c>
      <c r="BN48" s="495" t="e">
        <f t="shared" si="23"/>
        <v>#DIV/0!</v>
      </c>
      <c r="BO48" s="495" t="e">
        <f t="shared" si="24"/>
        <v>#DIV/0!</v>
      </c>
      <c r="BP48" s="495" t="e">
        <f t="shared" si="25"/>
        <v>#DIV/0!</v>
      </c>
      <c r="BQ48" s="495" t="e">
        <f t="shared" si="26"/>
        <v>#DIV/0!</v>
      </c>
      <c r="BR48" s="495" t="e">
        <f t="shared" si="27"/>
        <v>#DIV/0!</v>
      </c>
      <c r="BS48" s="495" t="e">
        <f t="shared" si="28"/>
        <v>#DIV/0!</v>
      </c>
      <c r="BT48" s="495" t="e">
        <f t="shared" si="29"/>
        <v>#DIV/0!</v>
      </c>
      <c r="BU48" s="495" t="str">
        <f t="shared" si="30"/>
        <v xml:space="preserve"> </v>
      </c>
      <c r="BV48" s="495" t="e">
        <f t="shared" si="31"/>
        <v>#DIV/0!</v>
      </c>
      <c r="BW48" s="495" t="e">
        <f t="shared" si="32"/>
        <v>#DIV/0!</v>
      </c>
      <c r="BX48" s="495" t="e">
        <f t="shared" si="33"/>
        <v>#DIV/0!</v>
      </c>
      <c r="BY48" s="495" t="str">
        <f t="shared" si="34"/>
        <v xml:space="preserve"> </v>
      </c>
    </row>
    <row r="49" spans="1:77" s="28" customFormat="1" ht="9" customHeight="1">
      <c r="A49" s="366">
        <v>33</v>
      </c>
      <c r="B49" s="200" t="s">
        <v>508</v>
      </c>
      <c r="C49" s="465">
        <v>4613.5</v>
      </c>
      <c r="D49" s="308"/>
      <c r="E49" s="141" t="s">
        <v>1005</v>
      </c>
      <c r="F49" s="375">
        <f t="shared" ref="F49:F80" si="37">H49-G49</f>
        <v>0</v>
      </c>
      <c r="G49" s="374">
        <v>6334600</v>
      </c>
      <c r="H49" s="205">
        <v>6334600</v>
      </c>
      <c r="I49" s="368">
        <f t="shared" si="11"/>
        <v>0</v>
      </c>
      <c r="J49" s="205">
        <v>0</v>
      </c>
      <c r="K49" s="465">
        <v>0</v>
      </c>
      <c r="L49" s="205">
        <v>0</v>
      </c>
      <c r="M49" s="465">
        <v>0</v>
      </c>
      <c r="N49" s="205">
        <v>0</v>
      </c>
      <c r="O49" s="249">
        <v>0</v>
      </c>
      <c r="P49" s="368">
        <v>0</v>
      </c>
      <c r="Q49" s="249">
        <v>0</v>
      </c>
      <c r="R49" s="368">
        <v>0</v>
      </c>
      <c r="S49" s="249">
        <v>0</v>
      </c>
      <c r="T49" s="368">
        <v>0</v>
      </c>
      <c r="U49" s="130">
        <v>0</v>
      </c>
      <c r="V49" s="368">
        <v>0</v>
      </c>
      <c r="W49" s="368">
        <v>1900</v>
      </c>
      <c r="X49" s="368">
        <f t="shared" si="3"/>
        <v>6049543</v>
      </c>
      <c r="Y49" s="368">
        <v>0</v>
      </c>
      <c r="Z49" s="368">
        <v>0</v>
      </c>
      <c r="AA49" s="368">
        <v>0</v>
      </c>
      <c r="AB49" s="368">
        <v>0</v>
      </c>
      <c r="AC49" s="368">
        <v>0</v>
      </c>
      <c r="AD49" s="368">
        <v>0</v>
      </c>
      <c r="AE49" s="368">
        <v>0</v>
      </c>
      <c r="AF49" s="368">
        <v>0</v>
      </c>
      <c r="AG49" s="368">
        <v>0</v>
      </c>
      <c r="AH49" s="368">
        <v>0</v>
      </c>
      <c r="AI49" s="368">
        <v>0</v>
      </c>
      <c r="AJ49" s="370">
        <f t="shared" si="35"/>
        <v>190038</v>
      </c>
      <c r="AK49" s="370">
        <f t="shared" si="4"/>
        <v>95019</v>
      </c>
      <c r="AL49" s="370">
        <v>0</v>
      </c>
      <c r="AM49" s="447">
        <f t="shared" si="5"/>
        <v>3334</v>
      </c>
      <c r="AN49" s="227">
        <v>4814.95</v>
      </c>
      <c r="AP49" s="486" t="e">
        <f t="shared" si="6"/>
        <v>#DIV/0!</v>
      </c>
      <c r="AQ49" s="486" t="e">
        <f t="shared" si="12"/>
        <v>#DIV/0!</v>
      </c>
      <c r="AR49" s="486" t="e">
        <f t="shared" si="13"/>
        <v>#DIV/0!</v>
      </c>
      <c r="AS49" s="486" t="e">
        <f t="shared" si="14"/>
        <v>#DIV/0!</v>
      </c>
      <c r="AT49" s="486" t="e">
        <f t="shared" si="15"/>
        <v>#DIV/0!</v>
      </c>
      <c r="AU49" s="486" t="e">
        <f t="shared" si="16"/>
        <v>#DIV/0!</v>
      </c>
      <c r="AV49" s="486" t="e">
        <f t="shared" si="17"/>
        <v>#DIV/0!</v>
      </c>
      <c r="AW49" s="486">
        <f t="shared" si="18"/>
        <v>3183.97</v>
      </c>
      <c r="AX49" s="486" t="e">
        <f t="shared" si="19"/>
        <v>#DIV/0!</v>
      </c>
      <c r="AY49" s="486" t="e">
        <f t="shared" si="20"/>
        <v>#DIV/0!</v>
      </c>
      <c r="AZ49" s="486" t="e">
        <f t="shared" si="21"/>
        <v>#DIV/0!</v>
      </c>
      <c r="BA49" s="486">
        <f t="shared" si="7"/>
        <v>0</v>
      </c>
      <c r="BB49" s="494">
        <v>5155.41</v>
      </c>
      <c r="BC49" s="494">
        <v>2070.12</v>
      </c>
      <c r="BD49" s="494">
        <v>848.92</v>
      </c>
      <c r="BE49" s="494">
        <v>819.73</v>
      </c>
      <c r="BF49" s="494">
        <v>611.5</v>
      </c>
      <c r="BG49" s="494">
        <v>1080.04</v>
      </c>
      <c r="BH49" s="494">
        <v>2671800.0099999998</v>
      </c>
      <c r="BI49" s="494">
        <f t="shared" si="36"/>
        <v>4607.6000000000004</v>
      </c>
      <c r="BJ49" s="494">
        <v>14289.54</v>
      </c>
      <c r="BK49" s="494">
        <v>3389.61</v>
      </c>
      <c r="BL49" s="494">
        <v>5995.76</v>
      </c>
      <c r="BM49" s="494">
        <v>548.62</v>
      </c>
      <c r="BN49" s="495" t="e">
        <f t="shared" si="23"/>
        <v>#DIV/0!</v>
      </c>
      <c r="BO49" s="495" t="e">
        <f t="shared" si="24"/>
        <v>#DIV/0!</v>
      </c>
      <c r="BP49" s="495" t="e">
        <f t="shared" si="25"/>
        <v>#DIV/0!</v>
      </c>
      <c r="BQ49" s="495" t="e">
        <f t="shared" si="26"/>
        <v>#DIV/0!</v>
      </c>
      <c r="BR49" s="495" t="e">
        <f t="shared" si="27"/>
        <v>#DIV/0!</v>
      </c>
      <c r="BS49" s="495" t="e">
        <f t="shared" si="28"/>
        <v>#DIV/0!</v>
      </c>
      <c r="BT49" s="495" t="e">
        <f t="shared" si="29"/>
        <v>#DIV/0!</v>
      </c>
      <c r="BU49" s="495" t="str">
        <f t="shared" si="30"/>
        <v xml:space="preserve"> </v>
      </c>
      <c r="BV49" s="495" t="e">
        <f t="shared" si="31"/>
        <v>#DIV/0!</v>
      </c>
      <c r="BW49" s="495" t="e">
        <f t="shared" si="32"/>
        <v>#DIV/0!</v>
      </c>
      <c r="BX49" s="495" t="e">
        <f t="shared" si="33"/>
        <v>#DIV/0!</v>
      </c>
      <c r="BY49" s="495" t="str">
        <f t="shared" si="34"/>
        <v xml:space="preserve"> </v>
      </c>
    </row>
    <row r="50" spans="1:77" s="28" customFormat="1" ht="9" customHeight="1">
      <c r="A50" s="366">
        <v>34</v>
      </c>
      <c r="B50" s="200" t="s">
        <v>509</v>
      </c>
      <c r="C50" s="465">
        <v>1116.4000000000001</v>
      </c>
      <c r="D50" s="308"/>
      <c r="E50" s="141" t="s">
        <v>1005</v>
      </c>
      <c r="F50" s="375">
        <f t="shared" si="37"/>
        <v>0</v>
      </c>
      <c r="G50" s="374">
        <v>1833700</v>
      </c>
      <c r="H50" s="205">
        <v>1833700</v>
      </c>
      <c r="I50" s="368">
        <f t="shared" si="11"/>
        <v>0</v>
      </c>
      <c r="J50" s="205">
        <v>0</v>
      </c>
      <c r="K50" s="465">
        <v>0</v>
      </c>
      <c r="L50" s="205">
        <v>0</v>
      </c>
      <c r="M50" s="465">
        <v>0</v>
      </c>
      <c r="N50" s="205">
        <v>0</v>
      </c>
      <c r="O50" s="249">
        <v>0</v>
      </c>
      <c r="P50" s="368">
        <v>0</v>
      </c>
      <c r="Q50" s="249">
        <v>0</v>
      </c>
      <c r="R50" s="368">
        <v>0</v>
      </c>
      <c r="S50" s="249">
        <v>0</v>
      </c>
      <c r="T50" s="368">
        <v>0</v>
      </c>
      <c r="U50" s="130">
        <v>0</v>
      </c>
      <c r="V50" s="368">
        <v>0</v>
      </c>
      <c r="W50" s="368">
        <v>550</v>
      </c>
      <c r="X50" s="368">
        <f t="shared" si="3"/>
        <v>1751183.5</v>
      </c>
      <c r="Y50" s="368">
        <v>0</v>
      </c>
      <c r="Z50" s="368">
        <v>0</v>
      </c>
      <c r="AA50" s="368">
        <v>0</v>
      </c>
      <c r="AB50" s="368">
        <v>0</v>
      </c>
      <c r="AC50" s="368">
        <v>0</v>
      </c>
      <c r="AD50" s="368">
        <v>0</v>
      </c>
      <c r="AE50" s="368">
        <v>0</v>
      </c>
      <c r="AF50" s="368">
        <v>0</v>
      </c>
      <c r="AG50" s="368">
        <v>0</v>
      </c>
      <c r="AH50" s="368">
        <v>0</v>
      </c>
      <c r="AI50" s="368">
        <v>0</v>
      </c>
      <c r="AJ50" s="370">
        <f t="shared" si="35"/>
        <v>55011</v>
      </c>
      <c r="AK50" s="370">
        <f t="shared" si="4"/>
        <v>27505.5</v>
      </c>
      <c r="AL50" s="370">
        <v>0</v>
      </c>
      <c r="AM50" s="447">
        <f t="shared" si="5"/>
        <v>3334</v>
      </c>
      <c r="AN50" s="227">
        <v>4814.95</v>
      </c>
      <c r="AP50" s="486" t="e">
        <f t="shared" si="6"/>
        <v>#DIV/0!</v>
      </c>
      <c r="AQ50" s="486" t="e">
        <f t="shared" si="12"/>
        <v>#DIV/0!</v>
      </c>
      <c r="AR50" s="486" t="e">
        <f t="shared" si="13"/>
        <v>#DIV/0!</v>
      </c>
      <c r="AS50" s="486" t="e">
        <f t="shared" si="14"/>
        <v>#DIV/0!</v>
      </c>
      <c r="AT50" s="486" t="e">
        <f t="shared" si="15"/>
        <v>#DIV/0!</v>
      </c>
      <c r="AU50" s="486" t="e">
        <f t="shared" si="16"/>
        <v>#DIV/0!</v>
      </c>
      <c r="AV50" s="486" t="e">
        <f t="shared" si="17"/>
        <v>#DIV/0!</v>
      </c>
      <c r="AW50" s="486">
        <f t="shared" si="18"/>
        <v>3183.97</v>
      </c>
      <c r="AX50" s="486" t="e">
        <f t="shared" si="19"/>
        <v>#DIV/0!</v>
      </c>
      <c r="AY50" s="486" t="e">
        <f t="shared" si="20"/>
        <v>#DIV/0!</v>
      </c>
      <c r="AZ50" s="486" t="e">
        <f t="shared" si="21"/>
        <v>#DIV/0!</v>
      </c>
      <c r="BA50" s="486">
        <f t="shared" si="7"/>
        <v>0</v>
      </c>
      <c r="BB50" s="494">
        <v>5155.41</v>
      </c>
      <c r="BC50" s="494">
        <v>2070.12</v>
      </c>
      <c r="BD50" s="494">
        <v>848.92</v>
      </c>
      <c r="BE50" s="494">
        <v>819.73</v>
      </c>
      <c r="BF50" s="494">
        <v>611.5</v>
      </c>
      <c r="BG50" s="494">
        <v>1080.04</v>
      </c>
      <c r="BH50" s="494">
        <v>2671800.0099999998</v>
      </c>
      <c r="BI50" s="494">
        <f t="shared" si="36"/>
        <v>4607.6000000000004</v>
      </c>
      <c r="BJ50" s="494">
        <v>14289.54</v>
      </c>
      <c r="BK50" s="494">
        <v>3389.61</v>
      </c>
      <c r="BL50" s="494">
        <v>5995.76</v>
      </c>
      <c r="BM50" s="494">
        <v>548.62</v>
      </c>
      <c r="BN50" s="495" t="e">
        <f t="shared" si="23"/>
        <v>#DIV/0!</v>
      </c>
      <c r="BO50" s="495" t="e">
        <f t="shared" si="24"/>
        <v>#DIV/0!</v>
      </c>
      <c r="BP50" s="495" t="e">
        <f t="shared" si="25"/>
        <v>#DIV/0!</v>
      </c>
      <c r="BQ50" s="495" t="e">
        <f t="shared" si="26"/>
        <v>#DIV/0!</v>
      </c>
      <c r="BR50" s="495" t="e">
        <f t="shared" si="27"/>
        <v>#DIV/0!</v>
      </c>
      <c r="BS50" s="495" t="e">
        <f t="shared" si="28"/>
        <v>#DIV/0!</v>
      </c>
      <c r="BT50" s="495" t="e">
        <f t="shared" si="29"/>
        <v>#DIV/0!</v>
      </c>
      <c r="BU50" s="495" t="str">
        <f t="shared" si="30"/>
        <v xml:space="preserve"> </v>
      </c>
      <c r="BV50" s="495" t="e">
        <f t="shared" si="31"/>
        <v>#DIV/0!</v>
      </c>
      <c r="BW50" s="495" t="e">
        <f t="shared" si="32"/>
        <v>#DIV/0!</v>
      </c>
      <c r="BX50" s="495" t="e">
        <f t="shared" si="33"/>
        <v>#DIV/0!</v>
      </c>
      <c r="BY50" s="495" t="str">
        <f t="shared" si="34"/>
        <v xml:space="preserve"> </v>
      </c>
    </row>
    <row r="51" spans="1:77" s="28" customFormat="1" ht="9" customHeight="1">
      <c r="A51" s="366">
        <v>35</v>
      </c>
      <c r="B51" s="200" t="s">
        <v>511</v>
      </c>
      <c r="C51" s="465">
        <v>2676.7</v>
      </c>
      <c r="D51" s="308"/>
      <c r="E51" s="141" t="s">
        <v>1005</v>
      </c>
      <c r="F51" s="375">
        <f t="shared" si="37"/>
        <v>0</v>
      </c>
      <c r="G51" s="374">
        <v>3390678</v>
      </c>
      <c r="H51" s="205">
        <v>3390678</v>
      </c>
      <c r="I51" s="368">
        <f t="shared" si="11"/>
        <v>0</v>
      </c>
      <c r="J51" s="205">
        <v>0</v>
      </c>
      <c r="K51" s="465">
        <v>0</v>
      </c>
      <c r="L51" s="205">
        <v>0</v>
      </c>
      <c r="M51" s="465">
        <v>0</v>
      </c>
      <c r="N51" s="205">
        <v>0</v>
      </c>
      <c r="O51" s="249">
        <v>0</v>
      </c>
      <c r="P51" s="368">
        <v>0</v>
      </c>
      <c r="Q51" s="249">
        <v>0</v>
      </c>
      <c r="R51" s="368">
        <v>0</v>
      </c>
      <c r="S51" s="249">
        <v>0</v>
      </c>
      <c r="T51" s="368">
        <v>0</v>
      </c>
      <c r="U51" s="130">
        <v>0</v>
      </c>
      <c r="V51" s="368">
        <v>0</v>
      </c>
      <c r="W51" s="368">
        <v>1017</v>
      </c>
      <c r="X51" s="368">
        <f t="shared" si="3"/>
        <v>3238097.49</v>
      </c>
      <c r="Y51" s="368">
        <v>0</v>
      </c>
      <c r="Z51" s="368">
        <v>0</v>
      </c>
      <c r="AA51" s="368">
        <v>0</v>
      </c>
      <c r="AB51" s="368">
        <v>0</v>
      </c>
      <c r="AC51" s="368">
        <v>0</v>
      </c>
      <c r="AD51" s="368">
        <v>0</v>
      </c>
      <c r="AE51" s="368">
        <v>0</v>
      </c>
      <c r="AF51" s="368">
        <v>0</v>
      </c>
      <c r="AG51" s="368">
        <v>0</v>
      </c>
      <c r="AH51" s="368">
        <v>0</v>
      </c>
      <c r="AI51" s="368">
        <v>0</v>
      </c>
      <c r="AJ51" s="370">
        <f t="shared" si="35"/>
        <v>101720.34</v>
      </c>
      <c r="AK51" s="370">
        <f t="shared" si="4"/>
        <v>50860.17</v>
      </c>
      <c r="AL51" s="370">
        <v>0</v>
      </c>
      <c r="AM51" s="447">
        <f t="shared" si="5"/>
        <v>3334</v>
      </c>
      <c r="AN51" s="227">
        <v>4814.95</v>
      </c>
      <c r="AP51" s="486" t="e">
        <f t="shared" si="6"/>
        <v>#DIV/0!</v>
      </c>
      <c r="AQ51" s="486" t="e">
        <f t="shared" si="12"/>
        <v>#DIV/0!</v>
      </c>
      <c r="AR51" s="486" t="e">
        <f t="shared" si="13"/>
        <v>#DIV/0!</v>
      </c>
      <c r="AS51" s="486" t="e">
        <f t="shared" si="14"/>
        <v>#DIV/0!</v>
      </c>
      <c r="AT51" s="486" t="e">
        <f t="shared" si="15"/>
        <v>#DIV/0!</v>
      </c>
      <c r="AU51" s="486" t="e">
        <f t="shared" si="16"/>
        <v>#DIV/0!</v>
      </c>
      <c r="AV51" s="486" t="e">
        <f t="shared" si="17"/>
        <v>#DIV/0!</v>
      </c>
      <c r="AW51" s="486">
        <f t="shared" si="18"/>
        <v>3183.9700000000003</v>
      </c>
      <c r="AX51" s="486" t="e">
        <f t="shared" si="19"/>
        <v>#DIV/0!</v>
      </c>
      <c r="AY51" s="486" t="e">
        <f t="shared" si="20"/>
        <v>#DIV/0!</v>
      </c>
      <c r="AZ51" s="486" t="e">
        <f t="shared" si="21"/>
        <v>#DIV/0!</v>
      </c>
      <c r="BA51" s="486">
        <f t="shared" si="7"/>
        <v>0</v>
      </c>
      <c r="BB51" s="494">
        <v>5155.41</v>
      </c>
      <c r="BC51" s="494">
        <v>2070.12</v>
      </c>
      <c r="BD51" s="494">
        <v>848.92</v>
      </c>
      <c r="BE51" s="494">
        <v>819.73</v>
      </c>
      <c r="BF51" s="494">
        <v>611.5</v>
      </c>
      <c r="BG51" s="494">
        <v>1080.04</v>
      </c>
      <c r="BH51" s="494">
        <v>2671800.0099999998</v>
      </c>
      <c r="BI51" s="494">
        <f t="shared" si="36"/>
        <v>4607.6000000000004</v>
      </c>
      <c r="BJ51" s="494">
        <v>14289.54</v>
      </c>
      <c r="BK51" s="494">
        <v>3389.61</v>
      </c>
      <c r="BL51" s="494">
        <v>5995.76</v>
      </c>
      <c r="BM51" s="494">
        <v>548.62</v>
      </c>
      <c r="BN51" s="495" t="e">
        <f t="shared" si="23"/>
        <v>#DIV/0!</v>
      </c>
      <c r="BO51" s="495" t="e">
        <f t="shared" si="24"/>
        <v>#DIV/0!</v>
      </c>
      <c r="BP51" s="495" t="e">
        <f t="shared" si="25"/>
        <v>#DIV/0!</v>
      </c>
      <c r="BQ51" s="495" t="e">
        <f t="shared" si="26"/>
        <v>#DIV/0!</v>
      </c>
      <c r="BR51" s="495" t="e">
        <f t="shared" si="27"/>
        <v>#DIV/0!</v>
      </c>
      <c r="BS51" s="495" t="e">
        <f t="shared" si="28"/>
        <v>#DIV/0!</v>
      </c>
      <c r="BT51" s="495" t="e">
        <f t="shared" si="29"/>
        <v>#DIV/0!</v>
      </c>
      <c r="BU51" s="495" t="str">
        <f t="shared" si="30"/>
        <v xml:space="preserve"> </v>
      </c>
      <c r="BV51" s="495" t="e">
        <f t="shared" si="31"/>
        <v>#DIV/0!</v>
      </c>
      <c r="BW51" s="495" t="e">
        <f t="shared" si="32"/>
        <v>#DIV/0!</v>
      </c>
      <c r="BX51" s="495" t="e">
        <f t="shared" si="33"/>
        <v>#DIV/0!</v>
      </c>
      <c r="BY51" s="495" t="str">
        <f t="shared" si="34"/>
        <v xml:space="preserve"> </v>
      </c>
    </row>
    <row r="52" spans="1:77" s="28" customFormat="1" ht="9" customHeight="1">
      <c r="A52" s="366">
        <v>36</v>
      </c>
      <c r="B52" s="200" t="s">
        <v>512</v>
      </c>
      <c r="C52" s="465">
        <v>1421.4</v>
      </c>
      <c r="D52" s="466"/>
      <c r="E52" s="201" t="s">
        <v>1006</v>
      </c>
      <c r="F52" s="375">
        <f t="shared" si="37"/>
        <v>0</v>
      </c>
      <c r="G52" s="375">
        <v>3790248</v>
      </c>
      <c r="H52" s="205">
        <v>3790248</v>
      </c>
      <c r="I52" s="368">
        <f t="shared" si="11"/>
        <v>0</v>
      </c>
      <c r="J52" s="205">
        <v>0</v>
      </c>
      <c r="K52" s="465">
        <v>0</v>
      </c>
      <c r="L52" s="205">
        <v>0</v>
      </c>
      <c r="M52" s="465">
        <v>0</v>
      </c>
      <c r="N52" s="205">
        <v>0</v>
      </c>
      <c r="O52" s="249">
        <v>0</v>
      </c>
      <c r="P52" s="368">
        <v>0</v>
      </c>
      <c r="Q52" s="249">
        <v>0</v>
      </c>
      <c r="R52" s="368">
        <v>0</v>
      </c>
      <c r="S52" s="249">
        <v>0</v>
      </c>
      <c r="T52" s="368">
        <v>0</v>
      </c>
      <c r="U52" s="130">
        <v>0</v>
      </c>
      <c r="V52" s="368">
        <v>0</v>
      </c>
      <c r="W52" s="368">
        <v>1172</v>
      </c>
      <c r="X52" s="368">
        <f t="shared" si="3"/>
        <v>3619686.84</v>
      </c>
      <c r="Y52" s="368">
        <v>0</v>
      </c>
      <c r="Z52" s="368">
        <v>0</v>
      </c>
      <c r="AA52" s="368">
        <v>0</v>
      </c>
      <c r="AB52" s="368">
        <v>0</v>
      </c>
      <c r="AC52" s="368">
        <v>0</v>
      </c>
      <c r="AD52" s="368">
        <v>0</v>
      </c>
      <c r="AE52" s="368">
        <v>0</v>
      </c>
      <c r="AF52" s="368">
        <v>0</v>
      </c>
      <c r="AG52" s="368">
        <v>0</v>
      </c>
      <c r="AH52" s="368">
        <v>0</v>
      </c>
      <c r="AI52" s="368">
        <v>0</v>
      </c>
      <c r="AJ52" s="370">
        <f t="shared" si="35"/>
        <v>113707.44</v>
      </c>
      <c r="AK52" s="370">
        <f t="shared" si="4"/>
        <v>56853.72</v>
      </c>
      <c r="AL52" s="370">
        <v>0</v>
      </c>
      <c r="AM52" s="447">
        <f t="shared" si="5"/>
        <v>3234</v>
      </c>
      <c r="AN52" s="227">
        <v>4621.88</v>
      </c>
      <c r="AP52" s="486" t="e">
        <f t="shared" si="6"/>
        <v>#DIV/0!</v>
      </c>
      <c r="AQ52" s="486" t="e">
        <f t="shared" si="12"/>
        <v>#DIV/0!</v>
      </c>
      <c r="AR52" s="486" t="e">
        <f t="shared" si="13"/>
        <v>#DIV/0!</v>
      </c>
      <c r="AS52" s="486" t="e">
        <f t="shared" si="14"/>
        <v>#DIV/0!</v>
      </c>
      <c r="AT52" s="486" t="e">
        <f t="shared" si="15"/>
        <v>#DIV/0!</v>
      </c>
      <c r="AU52" s="486" t="e">
        <f t="shared" si="16"/>
        <v>#DIV/0!</v>
      </c>
      <c r="AV52" s="486" t="e">
        <f t="shared" si="17"/>
        <v>#DIV/0!</v>
      </c>
      <c r="AW52" s="486">
        <f t="shared" si="18"/>
        <v>3088.47</v>
      </c>
      <c r="AX52" s="486" t="e">
        <f t="shared" si="19"/>
        <v>#DIV/0!</v>
      </c>
      <c r="AY52" s="486" t="e">
        <f t="shared" si="20"/>
        <v>#DIV/0!</v>
      </c>
      <c r="AZ52" s="486" t="e">
        <f t="shared" si="21"/>
        <v>#DIV/0!</v>
      </c>
      <c r="BA52" s="486">
        <f t="shared" si="7"/>
        <v>0</v>
      </c>
      <c r="BB52" s="494">
        <v>5155.41</v>
      </c>
      <c r="BC52" s="494">
        <v>2070.12</v>
      </c>
      <c r="BD52" s="494">
        <v>848.92</v>
      </c>
      <c r="BE52" s="494">
        <v>819.73</v>
      </c>
      <c r="BF52" s="494">
        <v>611.5</v>
      </c>
      <c r="BG52" s="494">
        <v>1080.04</v>
      </c>
      <c r="BH52" s="494">
        <v>2671800.0099999998</v>
      </c>
      <c r="BI52" s="494">
        <f t="shared" si="36"/>
        <v>4422.8500000000004</v>
      </c>
      <c r="BJ52" s="494">
        <v>14289.54</v>
      </c>
      <c r="BK52" s="494">
        <v>3389.61</v>
      </c>
      <c r="BL52" s="494">
        <v>5995.76</v>
      </c>
      <c r="BM52" s="494">
        <v>548.62</v>
      </c>
      <c r="BN52" s="495" t="e">
        <f t="shared" si="23"/>
        <v>#DIV/0!</v>
      </c>
      <c r="BO52" s="495" t="e">
        <f t="shared" si="24"/>
        <v>#DIV/0!</v>
      </c>
      <c r="BP52" s="495" t="e">
        <f t="shared" si="25"/>
        <v>#DIV/0!</v>
      </c>
      <c r="BQ52" s="495" t="e">
        <f t="shared" si="26"/>
        <v>#DIV/0!</v>
      </c>
      <c r="BR52" s="495" t="e">
        <f t="shared" si="27"/>
        <v>#DIV/0!</v>
      </c>
      <c r="BS52" s="495" t="e">
        <f t="shared" si="28"/>
        <v>#DIV/0!</v>
      </c>
      <c r="BT52" s="495" t="e">
        <f t="shared" si="29"/>
        <v>#DIV/0!</v>
      </c>
      <c r="BU52" s="495" t="str">
        <f t="shared" si="30"/>
        <v xml:space="preserve"> </v>
      </c>
      <c r="BV52" s="495" t="e">
        <f t="shared" si="31"/>
        <v>#DIV/0!</v>
      </c>
      <c r="BW52" s="495" t="e">
        <f t="shared" si="32"/>
        <v>#DIV/0!</v>
      </c>
      <c r="BX52" s="495" t="e">
        <f t="shared" si="33"/>
        <v>#DIV/0!</v>
      </c>
      <c r="BY52" s="495" t="str">
        <f t="shared" si="34"/>
        <v xml:space="preserve"> </v>
      </c>
    </row>
    <row r="53" spans="1:77" s="28" customFormat="1" ht="9" customHeight="1">
      <c r="A53" s="366">
        <v>37</v>
      </c>
      <c r="B53" s="200" t="s">
        <v>513</v>
      </c>
      <c r="C53" s="465">
        <v>1549.7</v>
      </c>
      <c r="D53" s="466"/>
      <c r="E53" s="201" t="s">
        <v>1006</v>
      </c>
      <c r="F53" s="375">
        <f t="shared" si="37"/>
        <v>0</v>
      </c>
      <c r="G53" s="375">
        <v>1875720</v>
      </c>
      <c r="H53" s="205">
        <v>1875720</v>
      </c>
      <c r="I53" s="368">
        <f t="shared" si="11"/>
        <v>0</v>
      </c>
      <c r="J53" s="205">
        <v>0</v>
      </c>
      <c r="K53" s="465">
        <v>0</v>
      </c>
      <c r="L53" s="205">
        <v>0</v>
      </c>
      <c r="M53" s="465">
        <v>0</v>
      </c>
      <c r="N53" s="205">
        <v>0</v>
      </c>
      <c r="O53" s="249">
        <v>0</v>
      </c>
      <c r="P53" s="368">
        <v>0</v>
      </c>
      <c r="Q53" s="249">
        <v>0</v>
      </c>
      <c r="R53" s="368">
        <v>0</v>
      </c>
      <c r="S53" s="249">
        <v>0</v>
      </c>
      <c r="T53" s="368">
        <v>0</v>
      </c>
      <c r="U53" s="130">
        <v>0</v>
      </c>
      <c r="V53" s="368">
        <v>0</v>
      </c>
      <c r="W53" s="368">
        <v>580</v>
      </c>
      <c r="X53" s="368">
        <f t="shared" si="3"/>
        <v>1791312.6</v>
      </c>
      <c r="Y53" s="368">
        <v>0</v>
      </c>
      <c r="Z53" s="368">
        <v>0</v>
      </c>
      <c r="AA53" s="368">
        <v>0</v>
      </c>
      <c r="AB53" s="368">
        <v>0</v>
      </c>
      <c r="AC53" s="368">
        <v>0</v>
      </c>
      <c r="AD53" s="368">
        <v>0</v>
      </c>
      <c r="AE53" s="368">
        <v>0</v>
      </c>
      <c r="AF53" s="368">
        <v>0</v>
      </c>
      <c r="AG53" s="368">
        <v>0</v>
      </c>
      <c r="AH53" s="368">
        <v>0</v>
      </c>
      <c r="AI53" s="368">
        <v>0</v>
      </c>
      <c r="AJ53" s="370">
        <f t="shared" si="35"/>
        <v>56271.6</v>
      </c>
      <c r="AK53" s="370">
        <f t="shared" si="4"/>
        <v>28135.8</v>
      </c>
      <c r="AL53" s="370">
        <v>0</v>
      </c>
      <c r="AM53" s="447">
        <f t="shared" si="5"/>
        <v>3234</v>
      </c>
      <c r="AN53" s="227">
        <v>4621.88</v>
      </c>
      <c r="AP53" s="486" t="e">
        <f t="shared" si="6"/>
        <v>#DIV/0!</v>
      </c>
      <c r="AQ53" s="486" t="e">
        <f t="shared" si="12"/>
        <v>#DIV/0!</v>
      </c>
      <c r="AR53" s="486" t="e">
        <f t="shared" si="13"/>
        <v>#DIV/0!</v>
      </c>
      <c r="AS53" s="486" t="e">
        <f t="shared" si="14"/>
        <v>#DIV/0!</v>
      </c>
      <c r="AT53" s="486" t="e">
        <f t="shared" si="15"/>
        <v>#DIV/0!</v>
      </c>
      <c r="AU53" s="486" t="e">
        <f t="shared" si="16"/>
        <v>#DIV/0!</v>
      </c>
      <c r="AV53" s="486" t="e">
        <f t="shared" si="17"/>
        <v>#DIV/0!</v>
      </c>
      <c r="AW53" s="486">
        <f t="shared" si="18"/>
        <v>3088.4700000000003</v>
      </c>
      <c r="AX53" s="486" t="e">
        <f t="shared" si="19"/>
        <v>#DIV/0!</v>
      </c>
      <c r="AY53" s="486" t="e">
        <f t="shared" si="20"/>
        <v>#DIV/0!</v>
      </c>
      <c r="AZ53" s="486" t="e">
        <f t="shared" si="21"/>
        <v>#DIV/0!</v>
      </c>
      <c r="BA53" s="486">
        <f t="shared" si="7"/>
        <v>0</v>
      </c>
      <c r="BB53" s="494">
        <v>5155.41</v>
      </c>
      <c r="BC53" s="494">
        <v>2070.12</v>
      </c>
      <c r="BD53" s="494">
        <v>848.92</v>
      </c>
      <c r="BE53" s="494">
        <v>819.73</v>
      </c>
      <c r="BF53" s="494">
        <v>611.5</v>
      </c>
      <c r="BG53" s="494">
        <v>1080.04</v>
      </c>
      <c r="BH53" s="494">
        <v>2671800.0099999998</v>
      </c>
      <c r="BI53" s="494">
        <f t="shared" si="36"/>
        <v>4422.8500000000004</v>
      </c>
      <c r="BJ53" s="494">
        <v>14289.54</v>
      </c>
      <c r="BK53" s="494">
        <v>3389.61</v>
      </c>
      <c r="BL53" s="494">
        <v>5995.76</v>
      </c>
      <c r="BM53" s="494">
        <v>548.62</v>
      </c>
      <c r="BN53" s="495" t="e">
        <f t="shared" si="23"/>
        <v>#DIV/0!</v>
      </c>
      <c r="BO53" s="495" t="e">
        <f t="shared" si="24"/>
        <v>#DIV/0!</v>
      </c>
      <c r="BP53" s="495" t="e">
        <f t="shared" si="25"/>
        <v>#DIV/0!</v>
      </c>
      <c r="BQ53" s="495" t="e">
        <f t="shared" si="26"/>
        <v>#DIV/0!</v>
      </c>
      <c r="BR53" s="495" t="e">
        <f t="shared" si="27"/>
        <v>#DIV/0!</v>
      </c>
      <c r="BS53" s="495" t="e">
        <f t="shared" si="28"/>
        <v>#DIV/0!</v>
      </c>
      <c r="BT53" s="495" t="e">
        <f t="shared" si="29"/>
        <v>#DIV/0!</v>
      </c>
      <c r="BU53" s="495" t="str">
        <f t="shared" si="30"/>
        <v xml:space="preserve"> </v>
      </c>
      <c r="BV53" s="495" t="e">
        <f t="shared" si="31"/>
        <v>#DIV/0!</v>
      </c>
      <c r="BW53" s="495" t="e">
        <f t="shared" si="32"/>
        <v>#DIV/0!</v>
      </c>
      <c r="BX53" s="495" t="e">
        <f t="shared" si="33"/>
        <v>#DIV/0!</v>
      </c>
      <c r="BY53" s="495" t="str">
        <f t="shared" si="34"/>
        <v xml:space="preserve"> </v>
      </c>
    </row>
    <row r="54" spans="1:77" s="28" customFormat="1" ht="9" customHeight="1">
      <c r="A54" s="366">
        <v>38</v>
      </c>
      <c r="B54" s="200" t="s">
        <v>514</v>
      </c>
      <c r="C54" s="465">
        <v>1764.7</v>
      </c>
      <c r="D54" s="466"/>
      <c r="E54" s="201" t="s">
        <v>1006</v>
      </c>
      <c r="F54" s="375">
        <f t="shared" si="37"/>
        <v>0</v>
      </c>
      <c r="G54" s="375">
        <v>3557400</v>
      </c>
      <c r="H54" s="205">
        <v>3557400</v>
      </c>
      <c r="I54" s="368">
        <f t="shared" si="11"/>
        <v>0</v>
      </c>
      <c r="J54" s="205">
        <v>0</v>
      </c>
      <c r="K54" s="465">
        <v>0</v>
      </c>
      <c r="L54" s="205">
        <v>0</v>
      </c>
      <c r="M54" s="465">
        <v>0</v>
      </c>
      <c r="N54" s="205">
        <v>0</v>
      </c>
      <c r="O54" s="249">
        <v>0</v>
      </c>
      <c r="P54" s="368">
        <v>0</v>
      </c>
      <c r="Q54" s="249">
        <v>0</v>
      </c>
      <c r="R54" s="368">
        <v>0</v>
      </c>
      <c r="S54" s="249">
        <v>0</v>
      </c>
      <c r="T54" s="368">
        <v>0</v>
      </c>
      <c r="U54" s="130">
        <v>0</v>
      </c>
      <c r="V54" s="368">
        <v>0</v>
      </c>
      <c r="W54" s="368">
        <v>1100</v>
      </c>
      <c r="X54" s="368">
        <f t="shared" si="3"/>
        <v>3397317</v>
      </c>
      <c r="Y54" s="368">
        <v>0</v>
      </c>
      <c r="Z54" s="368">
        <v>0</v>
      </c>
      <c r="AA54" s="368">
        <v>0</v>
      </c>
      <c r="AB54" s="368">
        <v>0</v>
      </c>
      <c r="AC54" s="368">
        <v>0</v>
      </c>
      <c r="AD54" s="368">
        <v>0</v>
      </c>
      <c r="AE54" s="368">
        <v>0</v>
      </c>
      <c r="AF54" s="368">
        <v>0</v>
      </c>
      <c r="AG54" s="368">
        <v>0</v>
      </c>
      <c r="AH54" s="368">
        <v>0</v>
      </c>
      <c r="AI54" s="368">
        <v>0</v>
      </c>
      <c r="AJ54" s="370">
        <f t="shared" si="35"/>
        <v>106722</v>
      </c>
      <c r="AK54" s="370">
        <f t="shared" si="4"/>
        <v>53361</v>
      </c>
      <c r="AL54" s="370">
        <v>0</v>
      </c>
      <c r="AM54" s="447">
        <f t="shared" si="5"/>
        <v>3234</v>
      </c>
      <c r="AN54" s="227">
        <v>4621.88</v>
      </c>
      <c r="AP54" s="486" t="e">
        <f t="shared" si="6"/>
        <v>#DIV/0!</v>
      </c>
      <c r="AQ54" s="486" t="e">
        <f t="shared" si="12"/>
        <v>#DIV/0!</v>
      </c>
      <c r="AR54" s="486" t="e">
        <f t="shared" si="13"/>
        <v>#DIV/0!</v>
      </c>
      <c r="AS54" s="486" t="e">
        <f t="shared" si="14"/>
        <v>#DIV/0!</v>
      </c>
      <c r="AT54" s="486" t="e">
        <f t="shared" si="15"/>
        <v>#DIV/0!</v>
      </c>
      <c r="AU54" s="486" t="e">
        <f t="shared" si="16"/>
        <v>#DIV/0!</v>
      </c>
      <c r="AV54" s="486" t="e">
        <f t="shared" si="17"/>
        <v>#DIV/0!</v>
      </c>
      <c r="AW54" s="486">
        <f t="shared" si="18"/>
        <v>3088.47</v>
      </c>
      <c r="AX54" s="486" t="e">
        <f t="shared" si="19"/>
        <v>#DIV/0!</v>
      </c>
      <c r="AY54" s="486" t="e">
        <f t="shared" si="20"/>
        <v>#DIV/0!</v>
      </c>
      <c r="AZ54" s="486" t="e">
        <f t="shared" si="21"/>
        <v>#DIV/0!</v>
      </c>
      <c r="BA54" s="486">
        <f t="shared" si="7"/>
        <v>0</v>
      </c>
      <c r="BB54" s="494">
        <v>5155.41</v>
      </c>
      <c r="BC54" s="494">
        <v>2070.12</v>
      </c>
      <c r="BD54" s="494">
        <v>848.92</v>
      </c>
      <c r="BE54" s="494">
        <v>819.73</v>
      </c>
      <c r="BF54" s="494">
        <v>611.5</v>
      </c>
      <c r="BG54" s="494">
        <v>1080.04</v>
      </c>
      <c r="BH54" s="494">
        <v>2671800.0099999998</v>
      </c>
      <c r="BI54" s="494">
        <f t="shared" si="36"/>
        <v>4422.8500000000004</v>
      </c>
      <c r="BJ54" s="494">
        <v>14289.54</v>
      </c>
      <c r="BK54" s="494">
        <v>3389.61</v>
      </c>
      <c r="BL54" s="494">
        <v>5995.76</v>
      </c>
      <c r="BM54" s="494">
        <v>548.62</v>
      </c>
      <c r="BN54" s="495" t="e">
        <f t="shared" si="23"/>
        <v>#DIV/0!</v>
      </c>
      <c r="BO54" s="495" t="e">
        <f t="shared" si="24"/>
        <v>#DIV/0!</v>
      </c>
      <c r="BP54" s="495" t="e">
        <f t="shared" si="25"/>
        <v>#DIV/0!</v>
      </c>
      <c r="BQ54" s="495" t="e">
        <f t="shared" si="26"/>
        <v>#DIV/0!</v>
      </c>
      <c r="BR54" s="495" t="e">
        <f t="shared" si="27"/>
        <v>#DIV/0!</v>
      </c>
      <c r="BS54" s="495" t="e">
        <f t="shared" si="28"/>
        <v>#DIV/0!</v>
      </c>
      <c r="BT54" s="495" t="e">
        <f t="shared" si="29"/>
        <v>#DIV/0!</v>
      </c>
      <c r="BU54" s="495" t="str">
        <f t="shared" si="30"/>
        <v xml:space="preserve"> </v>
      </c>
      <c r="BV54" s="495" t="e">
        <f t="shared" si="31"/>
        <v>#DIV/0!</v>
      </c>
      <c r="BW54" s="495" t="e">
        <f t="shared" si="32"/>
        <v>#DIV/0!</v>
      </c>
      <c r="BX54" s="495" t="e">
        <f t="shared" si="33"/>
        <v>#DIV/0!</v>
      </c>
      <c r="BY54" s="495" t="str">
        <f t="shared" si="34"/>
        <v xml:space="preserve"> </v>
      </c>
    </row>
    <row r="55" spans="1:77" s="28" customFormat="1" ht="9" customHeight="1">
      <c r="A55" s="366">
        <v>39</v>
      </c>
      <c r="B55" s="200" t="s">
        <v>515</v>
      </c>
      <c r="C55" s="465">
        <v>3164.4</v>
      </c>
      <c r="D55" s="308"/>
      <c r="E55" s="141" t="s">
        <v>1005</v>
      </c>
      <c r="F55" s="375">
        <f t="shared" si="37"/>
        <v>0</v>
      </c>
      <c r="G55" s="374">
        <v>2783890</v>
      </c>
      <c r="H55" s="205">
        <v>2783890</v>
      </c>
      <c r="I55" s="368">
        <f t="shared" si="11"/>
        <v>0</v>
      </c>
      <c r="J55" s="205">
        <v>0</v>
      </c>
      <c r="K55" s="465">
        <v>0</v>
      </c>
      <c r="L55" s="205">
        <v>0</v>
      </c>
      <c r="M55" s="465">
        <v>0</v>
      </c>
      <c r="N55" s="205">
        <v>0</v>
      </c>
      <c r="O55" s="249">
        <v>0</v>
      </c>
      <c r="P55" s="368">
        <v>0</v>
      </c>
      <c r="Q55" s="249">
        <v>0</v>
      </c>
      <c r="R55" s="368">
        <v>0</v>
      </c>
      <c r="S55" s="249">
        <v>0</v>
      </c>
      <c r="T55" s="368">
        <v>0</v>
      </c>
      <c r="U55" s="130">
        <v>0</v>
      </c>
      <c r="V55" s="368">
        <v>0</v>
      </c>
      <c r="W55" s="368">
        <v>835</v>
      </c>
      <c r="X55" s="368">
        <f t="shared" si="3"/>
        <v>2658614.9500000002</v>
      </c>
      <c r="Y55" s="368">
        <v>0</v>
      </c>
      <c r="Z55" s="368">
        <v>0</v>
      </c>
      <c r="AA55" s="368">
        <v>0</v>
      </c>
      <c r="AB55" s="368">
        <v>0</v>
      </c>
      <c r="AC55" s="368">
        <v>0</v>
      </c>
      <c r="AD55" s="368">
        <v>0</v>
      </c>
      <c r="AE55" s="368">
        <v>0</v>
      </c>
      <c r="AF55" s="368">
        <v>0</v>
      </c>
      <c r="AG55" s="368">
        <v>0</v>
      </c>
      <c r="AH55" s="368">
        <v>0</v>
      </c>
      <c r="AI55" s="368">
        <v>0</v>
      </c>
      <c r="AJ55" s="370">
        <f t="shared" si="35"/>
        <v>83516.7</v>
      </c>
      <c r="AK55" s="370">
        <f t="shared" si="4"/>
        <v>41758.35</v>
      </c>
      <c r="AL55" s="370">
        <v>0</v>
      </c>
      <c r="AM55" s="447">
        <f t="shared" si="5"/>
        <v>3334</v>
      </c>
      <c r="AN55" s="227">
        <v>4814.95</v>
      </c>
      <c r="AP55" s="486" t="e">
        <f t="shared" si="6"/>
        <v>#DIV/0!</v>
      </c>
      <c r="AQ55" s="486" t="e">
        <f t="shared" si="12"/>
        <v>#DIV/0!</v>
      </c>
      <c r="AR55" s="486" t="e">
        <f t="shared" si="13"/>
        <v>#DIV/0!</v>
      </c>
      <c r="AS55" s="486" t="e">
        <f t="shared" si="14"/>
        <v>#DIV/0!</v>
      </c>
      <c r="AT55" s="486" t="e">
        <f t="shared" si="15"/>
        <v>#DIV/0!</v>
      </c>
      <c r="AU55" s="486" t="e">
        <f t="shared" si="16"/>
        <v>#DIV/0!</v>
      </c>
      <c r="AV55" s="486" t="e">
        <f t="shared" si="17"/>
        <v>#DIV/0!</v>
      </c>
      <c r="AW55" s="486">
        <f t="shared" si="18"/>
        <v>3183.9700000000003</v>
      </c>
      <c r="AX55" s="486" t="e">
        <f t="shared" si="19"/>
        <v>#DIV/0!</v>
      </c>
      <c r="AY55" s="486" t="e">
        <f t="shared" si="20"/>
        <v>#DIV/0!</v>
      </c>
      <c r="AZ55" s="486" t="e">
        <f t="shared" si="21"/>
        <v>#DIV/0!</v>
      </c>
      <c r="BA55" s="486">
        <f t="shared" si="7"/>
        <v>0</v>
      </c>
      <c r="BB55" s="494">
        <v>5155.41</v>
      </c>
      <c r="BC55" s="494">
        <v>2070.12</v>
      </c>
      <c r="BD55" s="494">
        <v>848.92</v>
      </c>
      <c r="BE55" s="494">
        <v>819.73</v>
      </c>
      <c r="BF55" s="494">
        <v>611.5</v>
      </c>
      <c r="BG55" s="494">
        <v>1080.04</v>
      </c>
      <c r="BH55" s="494">
        <v>2671800.0099999998</v>
      </c>
      <c r="BI55" s="494">
        <f t="shared" si="36"/>
        <v>4607.6000000000004</v>
      </c>
      <c r="BJ55" s="494">
        <v>14289.54</v>
      </c>
      <c r="BK55" s="494">
        <v>3389.61</v>
      </c>
      <c r="BL55" s="494">
        <v>5995.76</v>
      </c>
      <c r="BM55" s="494">
        <v>548.62</v>
      </c>
      <c r="BN55" s="495" t="e">
        <f t="shared" si="23"/>
        <v>#DIV/0!</v>
      </c>
      <c r="BO55" s="495" t="e">
        <f t="shared" si="24"/>
        <v>#DIV/0!</v>
      </c>
      <c r="BP55" s="495" t="e">
        <f t="shared" si="25"/>
        <v>#DIV/0!</v>
      </c>
      <c r="BQ55" s="495" t="e">
        <f t="shared" si="26"/>
        <v>#DIV/0!</v>
      </c>
      <c r="BR55" s="495" t="e">
        <f t="shared" si="27"/>
        <v>#DIV/0!</v>
      </c>
      <c r="BS55" s="495" t="e">
        <f t="shared" si="28"/>
        <v>#DIV/0!</v>
      </c>
      <c r="BT55" s="495" t="e">
        <f t="shared" si="29"/>
        <v>#DIV/0!</v>
      </c>
      <c r="BU55" s="495" t="str">
        <f t="shared" si="30"/>
        <v xml:space="preserve"> </v>
      </c>
      <c r="BV55" s="495" t="e">
        <f t="shared" si="31"/>
        <v>#DIV/0!</v>
      </c>
      <c r="BW55" s="495" t="e">
        <f t="shared" si="32"/>
        <v>#DIV/0!</v>
      </c>
      <c r="BX55" s="495" t="e">
        <f t="shared" si="33"/>
        <v>#DIV/0!</v>
      </c>
      <c r="BY55" s="495" t="str">
        <f t="shared" si="34"/>
        <v xml:space="preserve"> </v>
      </c>
    </row>
    <row r="56" spans="1:77" s="28" customFormat="1" ht="9" customHeight="1">
      <c r="A56" s="366">
        <v>40</v>
      </c>
      <c r="B56" s="200" t="s">
        <v>516</v>
      </c>
      <c r="C56" s="465">
        <v>2106.4</v>
      </c>
      <c r="D56" s="308"/>
      <c r="E56" s="141" t="s">
        <v>1005</v>
      </c>
      <c r="F56" s="375">
        <f t="shared" si="37"/>
        <v>0</v>
      </c>
      <c r="G56" s="374">
        <v>2167100</v>
      </c>
      <c r="H56" s="205">
        <v>2167100</v>
      </c>
      <c r="I56" s="368">
        <f t="shared" si="11"/>
        <v>0</v>
      </c>
      <c r="J56" s="205">
        <v>0</v>
      </c>
      <c r="K56" s="465">
        <v>0</v>
      </c>
      <c r="L56" s="205">
        <v>0</v>
      </c>
      <c r="M56" s="465">
        <v>0</v>
      </c>
      <c r="N56" s="205">
        <v>0</v>
      </c>
      <c r="O56" s="249">
        <v>0</v>
      </c>
      <c r="P56" s="368">
        <v>0</v>
      </c>
      <c r="Q56" s="249">
        <v>0</v>
      </c>
      <c r="R56" s="368">
        <v>0</v>
      </c>
      <c r="S56" s="249">
        <v>0</v>
      </c>
      <c r="T56" s="368">
        <v>0</v>
      </c>
      <c r="U56" s="130">
        <v>0</v>
      </c>
      <c r="V56" s="368">
        <v>0</v>
      </c>
      <c r="W56" s="368">
        <v>650</v>
      </c>
      <c r="X56" s="368">
        <f t="shared" si="3"/>
        <v>2069580.5</v>
      </c>
      <c r="Y56" s="368">
        <v>0</v>
      </c>
      <c r="Z56" s="368">
        <v>0</v>
      </c>
      <c r="AA56" s="368">
        <v>0</v>
      </c>
      <c r="AB56" s="368">
        <v>0</v>
      </c>
      <c r="AC56" s="368">
        <v>0</v>
      </c>
      <c r="AD56" s="368">
        <v>0</v>
      </c>
      <c r="AE56" s="368">
        <v>0</v>
      </c>
      <c r="AF56" s="368">
        <v>0</v>
      </c>
      <c r="AG56" s="368">
        <v>0</v>
      </c>
      <c r="AH56" s="368">
        <v>0</v>
      </c>
      <c r="AI56" s="368">
        <v>0</v>
      </c>
      <c r="AJ56" s="370">
        <f t="shared" si="35"/>
        <v>65013</v>
      </c>
      <c r="AK56" s="370">
        <f t="shared" si="4"/>
        <v>32506.5</v>
      </c>
      <c r="AL56" s="370">
        <v>0</v>
      </c>
      <c r="AM56" s="447">
        <f t="shared" si="5"/>
        <v>3334</v>
      </c>
      <c r="AN56" s="227">
        <v>4814.95</v>
      </c>
      <c r="AP56" s="486" t="e">
        <f t="shared" si="6"/>
        <v>#DIV/0!</v>
      </c>
      <c r="AQ56" s="486" t="e">
        <f t="shared" si="12"/>
        <v>#DIV/0!</v>
      </c>
      <c r="AR56" s="486" t="e">
        <f t="shared" si="13"/>
        <v>#DIV/0!</v>
      </c>
      <c r="AS56" s="486" t="e">
        <f t="shared" si="14"/>
        <v>#DIV/0!</v>
      </c>
      <c r="AT56" s="486" t="e">
        <f t="shared" si="15"/>
        <v>#DIV/0!</v>
      </c>
      <c r="AU56" s="486" t="e">
        <f t="shared" si="16"/>
        <v>#DIV/0!</v>
      </c>
      <c r="AV56" s="486" t="e">
        <f t="shared" si="17"/>
        <v>#DIV/0!</v>
      </c>
      <c r="AW56" s="486">
        <f t="shared" si="18"/>
        <v>3183.97</v>
      </c>
      <c r="AX56" s="486" t="e">
        <f t="shared" si="19"/>
        <v>#DIV/0!</v>
      </c>
      <c r="AY56" s="486" t="e">
        <f t="shared" si="20"/>
        <v>#DIV/0!</v>
      </c>
      <c r="AZ56" s="486" t="e">
        <f t="shared" si="21"/>
        <v>#DIV/0!</v>
      </c>
      <c r="BA56" s="486">
        <f t="shared" si="7"/>
        <v>0</v>
      </c>
      <c r="BB56" s="494">
        <v>5155.41</v>
      </c>
      <c r="BC56" s="494">
        <v>2070.12</v>
      </c>
      <c r="BD56" s="494">
        <v>848.92</v>
      </c>
      <c r="BE56" s="494">
        <v>819.73</v>
      </c>
      <c r="BF56" s="494">
        <v>611.5</v>
      </c>
      <c r="BG56" s="494">
        <v>1080.04</v>
      </c>
      <c r="BH56" s="494">
        <v>2671800.0099999998</v>
      </c>
      <c r="BI56" s="494">
        <f t="shared" si="36"/>
        <v>4607.6000000000004</v>
      </c>
      <c r="BJ56" s="494">
        <v>14289.54</v>
      </c>
      <c r="BK56" s="494">
        <v>3389.61</v>
      </c>
      <c r="BL56" s="494">
        <v>5995.76</v>
      </c>
      <c r="BM56" s="494">
        <v>548.62</v>
      </c>
      <c r="BN56" s="495" t="e">
        <f t="shared" si="23"/>
        <v>#DIV/0!</v>
      </c>
      <c r="BO56" s="495" t="e">
        <f t="shared" si="24"/>
        <v>#DIV/0!</v>
      </c>
      <c r="BP56" s="495" t="e">
        <f t="shared" si="25"/>
        <v>#DIV/0!</v>
      </c>
      <c r="BQ56" s="495" t="e">
        <f t="shared" si="26"/>
        <v>#DIV/0!</v>
      </c>
      <c r="BR56" s="495" t="e">
        <f t="shared" si="27"/>
        <v>#DIV/0!</v>
      </c>
      <c r="BS56" s="495" t="e">
        <f t="shared" si="28"/>
        <v>#DIV/0!</v>
      </c>
      <c r="BT56" s="495" t="e">
        <f t="shared" si="29"/>
        <v>#DIV/0!</v>
      </c>
      <c r="BU56" s="495" t="str">
        <f t="shared" si="30"/>
        <v xml:space="preserve"> </v>
      </c>
      <c r="BV56" s="495" t="e">
        <f t="shared" si="31"/>
        <v>#DIV/0!</v>
      </c>
      <c r="BW56" s="495" t="e">
        <f t="shared" si="32"/>
        <v>#DIV/0!</v>
      </c>
      <c r="BX56" s="495" t="e">
        <f t="shared" si="33"/>
        <v>#DIV/0!</v>
      </c>
      <c r="BY56" s="495" t="str">
        <f t="shared" si="34"/>
        <v xml:space="preserve"> </v>
      </c>
    </row>
    <row r="57" spans="1:77" s="28" customFormat="1" ht="9" customHeight="1">
      <c r="A57" s="366">
        <v>41</v>
      </c>
      <c r="B57" s="200" t="s">
        <v>517</v>
      </c>
      <c r="C57" s="465">
        <v>4985</v>
      </c>
      <c r="D57" s="308"/>
      <c r="E57" s="141" t="s">
        <v>1005</v>
      </c>
      <c r="F57" s="375">
        <f t="shared" si="37"/>
        <v>0</v>
      </c>
      <c r="G57" s="374">
        <v>3167300</v>
      </c>
      <c r="H57" s="205">
        <v>3167300</v>
      </c>
      <c r="I57" s="368">
        <f t="shared" si="11"/>
        <v>0</v>
      </c>
      <c r="J57" s="205">
        <v>0</v>
      </c>
      <c r="K57" s="465">
        <v>0</v>
      </c>
      <c r="L57" s="205">
        <v>0</v>
      </c>
      <c r="M57" s="465">
        <v>0</v>
      </c>
      <c r="N57" s="205">
        <v>0</v>
      </c>
      <c r="O57" s="249">
        <v>0</v>
      </c>
      <c r="P57" s="368">
        <v>0</v>
      </c>
      <c r="Q57" s="249">
        <v>0</v>
      </c>
      <c r="R57" s="368">
        <v>0</v>
      </c>
      <c r="S57" s="249">
        <v>0</v>
      </c>
      <c r="T57" s="368">
        <v>0</v>
      </c>
      <c r="U57" s="130">
        <v>0</v>
      </c>
      <c r="V57" s="368">
        <v>0</v>
      </c>
      <c r="W57" s="368">
        <v>950</v>
      </c>
      <c r="X57" s="368">
        <f t="shared" si="3"/>
        <v>3024771.5</v>
      </c>
      <c r="Y57" s="368">
        <v>0</v>
      </c>
      <c r="Z57" s="368">
        <v>0</v>
      </c>
      <c r="AA57" s="368">
        <v>0</v>
      </c>
      <c r="AB57" s="368">
        <v>0</v>
      </c>
      <c r="AC57" s="368">
        <v>0</v>
      </c>
      <c r="AD57" s="368">
        <v>0</v>
      </c>
      <c r="AE57" s="368">
        <v>0</v>
      </c>
      <c r="AF57" s="368">
        <v>0</v>
      </c>
      <c r="AG57" s="368">
        <v>0</v>
      </c>
      <c r="AH57" s="368">
        <v>0</v>
      </c>
      <c r="AI57" s="368">
        <v>0</v>
      </c>
      <c r="AJ57" s="370">
        <f t="shared" si="35"/>
        <v>95019</v>
      </c>
      <c r="AK57" s="370">
        <f t="shared" si="4"/>
        <v>47509.5</v>
      </c>
      <c r="AL57" s="370">
        <v>0</v>
      </c>
      <c r="AM57" s="447">
        <f t="shared" si="5"/>
        <v>3334</v>
      </c>
      <c r="AN57" s="227">
        <v>4814.95</v>
      </c>
      <c r="AP57" s="486" t="e">
        <f t="shared" si="6"/>
        <v>#DIV/0!</v>
      </c>
      <c r="AQ57" s="486" t="e">
        <f t="shared" si="12"/>
        <v>#DIV/0!</v>
      </c>
      <c r="AR57" s="486" t="e">
        <f t="shared" si="13"/>
        <v>#DIV/0!</v>
      </c>
      <c r="AS57" s="486" t="e">
        <f t="shared" si="14"/>
        <v>#DIV/0!</v>
      </c>
      <c r="AT57" s="486" t="e">
        <f t="shared" si="15"/>
        <v>#DIV/0!</v>
      </c>
      <c r="AU57" s="486" t="e">
        <f t="shared" si="16"/>
        <v>#DIV/0!</v>
      </c>
      <c r="AV57" s="486" t="e">
        <f t="shared" si="17"/>
        <v>#DIV/0!</v>
      </c>
      <c r="AW57" s="486">
        <f t="shared" si="18"/>
        <v>3183.97</v>
      </c>
      <c r="AX57" s="486" t="e">
        <f t="shared" si="19"/>
        <v>#DIV/0!</v>
      </c>
      <c r="AY57" s="486" t="e">
        <f t="shared" si="20"/>
        <v>#DIV/0!</v>
      </c>
      <c r="AZ57" s="486" t="e">
        <f t="shared" si="21"/>
        <v>#DIV/0!</v>
      </c>
      <c r="BA57" s="486">
        <f t="shared" si="7"/>
        <v>0</v>
      </c>
      <c r="BB57" s="494">
        <v>5155.41</v>
      </c>
      <c r="BC57" s="494">
        <v>2070.12</v>
      </c>
      <c r="BD57" s="494">
        <v>848.92</v>
      </c>
      <c r="BE57" s="494">
        <v>819.73</v>
      </c>
      <c r="BF57" s="494">
        <v>611.5</v>
      </c>
      <c r="BG57" s="494">
        <v>1080.04</v>
      </c>
      <c r="BH57" s="494">
        <v>2671800.0099999998</v>
      </c>
      <c r="BI57" s="494">
        <f t="shared" si="36"/>
        <v>4607.6000000000004</v>
      </c>
      <c r="BJ57" s="494">
        <v>14289.54</v>
      </c>
      <c r="BK57" s="494">
        <v>3389.61</v>
      </c>
      <c r="BL57" s="494">
        <v>5995.76</v>
      </c>
      <c r="BM57" s="494">
        <v>548.62</v>
      </c>
      <c r="BN57" s="495" t="e">
        <f t="shared" si="23"/>
        <v>#DIV/0!</v>
      </c>
      <c r="BO57" s="495" t="e">
        <f t="shared" si="24"/>
        <v>#DIV/0!</v>
      </c>
      <c r="BP57" s="495" t="e">
        <f t="shared" si="25"/>
        <v>#DIV/0!</v>
      </c>
      <c r="BQ57" s="495" t="e">
        <f t="shared" si="26"/>
        <v>#DIV/0!</v>
      </c>
      <c r="BR57" s="495" t="e">
        <f t="shared" si="27"/>
        <v>#DIV/0!</v>
      </c>
      <c r="BS57" s="495" t="e">
        <f t="shared" si="28"/>
        <v>#DIV/0!</v>
      </c>
      <c r="BT57" s="495" t="e">
        <f t="shared" si="29"/>
        <v>#DIV/0!</v>
      </c>
      <c r="BU57" s="495" t="str">
        <f t="shared" si="30"/>
        <v xml:space="preserve"> </v>
      </c>
      <c r="BV57" s="495" t="e">
        <f t="shared" si="31"/>
        <v>#DIV/0!</v>
      </c>
      <c r="BW57" s="495" t="e">
        <f t="shared" si="32"/>
        <v>#DIV/0!</v>
      </c>
      <c r="BX57" s="495" t="e">
        <f t="shared" si="33"/>
        <v>#DIV/0!</v>
      </c>
      <c r="BY57" s="495" t="str">
        <f t="shared" si="34"/>
        <v xml:space="preserve"> </v>
      </c>
    </row>
    <row r="58" spans="1:77" s="28" customFormat="1" ht="9" customHeight="1">
      <c r="A58" s="366">
        <v>42</v>
      </c>
      <c r="B58" s="200" t="s">
        <v>518</v>
      </c>
      <c r="C58" s="465">
        <v>4964.5</v>
      </c>
      <c r="D58" s="308"/>
      <c r="E58" s="141" t="s">
        <v>1005</v>
      </c>
      <c r="F58" s="375">
        <f t="shared" si="37"/>
        <v>0</v>
      </c>
      <c r="G58" s="374">
        <v>3200640</v>
      </c>
      <c r="H58" s="205">
        <v>3200640</v>
      </c>
      <c r="I58" s="368">
        <f t="shared" si="11"/>
        <v>0</v>
      </c>
      <c r="J58" s="205">
        <v>0</v>
      </c>
      <c r="K58" s="465">
        <v>0</v>
      </c>
      <c r="L58" s="205">
        <v>0</v>
      </c>
      <c r="M58" s="465">
        <v>0</v>
      </c>
      <c r="N58" s="205">
        <v>0</v>
      </c>
      <c r="O58" s="249">
        <v>0</v>
      </c>
      <c r="P58" s="368">
        <v>0</v>
      </c>
      <c r="Q58" s="249">
        <v>0</v>
      </c>
      <c r="R58" s="368">
        <v>0</v>
      </c>
      <c r="S58" s="249">
        <v>0</v>
      </c>
      <c r="T58" s="368">
        <v>0</v>
      </c>
      <c r="U58" s="130">
        <v>0</v>
      </c>
      <c r="V58" s="368">
        <v>0</v>
      </c>
      <c r="W58" s="368">
        <v>960</v>
      </c>
      <c r="X58" s="368">
        <f t="shared" si="3"/>
        <v>3056611.2</v>
      </c>
      <c r="Y58" s="368">
        <v>0</v>
      </c>
      <c r="Z58" s="368">
        <v>0</v>
      </c>
      <c r="AA58" s="368">
        <v>0</v>
      </c>
      <c r="AB58" s="368">
        <v>0</v>
      </c>
      <c r="AC58" s="368">
        <v>0</v>
      </c>
      <c r="AD58" s="368">
        <v>0</v>
      </c>
      <c r="AE58" s="368">
        <v>0</v>
      </c>
      <c r="AF58" s="368">
        <v>0</v>
      </c>
      <c r="AG58" s="368">
        <v>0</v>
      </c>
      <c r="AH58" s="368">
        <v>0</v>
      </c>
      <c r="AI58" s="368">
        <v>0</v>
      </c>
      <c r="AJ58" s="370">
        <f t="shared" si="35"/>
        <v>96019.199999999997</v>
      </c>
      <c r="AK58" s="370">
        <f t="shared" si="4"/>
        <v>48009.599999999999</v>
      </c>
      <c r="AL58" s="370">
        <v>0</v>
      </c>
      <c r="AM58" s="447">
        <f t="shared" si="5"/>
        <v>3334</v>
      </c>
      <c r="AN58" s="227">
        <v>4814.95</v>
      </c>
      <c r="AP58" s="486" t="e">
        <f t="shared" si="6"/>
        <v>#DIV/0!</v>
      </c>
      <c r="AQ58" s="486" t="e">
        <f t="shared" si="12"/>
        <v>#DIV/0!</v>
      </c>
      <c r="AR58" s="486" t="e">
        <f t="shared" si="13"/>
        <v>#DIV/0!</v>
      </c>
      <c r="AS58" s="486" t="e">
        <f t="shared" si="14"/>
        <v>#DIV/0!</v>
      </c>
      <c r="AT58" s="486" t="e">
        <f t="shared" si="15"/>
        <v>#DIV/0!</v>
      </c>
      <c r="AU58" s="486" t="e">
        <f t="shared" si="16"/>
        <v>#DIV/0!</v>
      </c>
      <c r="AV58" s="486" t="e">
        <f t="shared" si="17"/>
        <v>#DIV/0!</v>
      </c>
      <c r="AW58" s="486">
        <f t="shared" si="18"/>
        <v>3183.9700000000003</v>
      </c>
      <c r="AX58" s="486" t="e">
        <f t="shared" si="19"/>
        <v>#DIV/0!</v>
      </c>
      <c r="AY58" s="486" t="e">
        <f t="shared" si="20"/>
        <v>#DIV/0!</v>
      </c>
      <c r="AZ58" s="486" t="e">
        <f t="shared" si="21"/>
        <v>#DIV/0!</v>
      </c>
      <c r="BA58" s="486">
        <f t="shared" si="7"/>
        <v>0</v>
      </c>
      <c r="BB58" s="494">
        <v>5155.41</v>
      </c>
      <c r="BC58" s="494">
        <v>2070.12</v>
      </c>
      <c r="BD58" s="494">
        <v>848.92</v>
      </c>
      <c r="BE58" s="494">
        <v>819.73</v>
      </c>
      <c r="BF58" s="494">
        <v>611.5</v>
      </c>
      <c r="BG58" s="494">
        <v>1080.04</v>
      </c>
      <c r="BH58" s="494">
        <v>2671800.0099999998</v>
      </c>
      <c r="BI58" s="494">
        <f t="shared" si="36"/>
        <v>4607.6000000000004</v>
      </c>
      <c r="BJ58" s="494">
        <v>14289.54</v>
      </c>
      <c r="BK58" s="494">
        <v>3389.61</v>
      </c>
      <c r="BL58" s="494">
        <v>5995.76</v>
      </c>
      <c r="BM58" s="494">
        <v>548.62</v>
      </c>
      <c r="BN58" s="495" t="e">
        <f t="shared" si="23"/>
        <v>#DIV/0!</v>
      </c>
      <c r="BO58" s="495" t="e">
        <f t="shared" si="24"/>
        <v>#DIV/0!</v>
      </c>
      <c r="BP58" s="495" t="e">
        <f t="shared" si="25"/>
        <v>#DIV/0!</v>
      </c>
      <c r="BQ58" s="495" t="e">
        <f t="shared" si="26"/>
        <v>#DIV/0!</v>
      </c>
      <c r="BR58" s="495" t="e">
        <f t="shared" si="27"/>
        <v>#DIV/0!</v>
      </c>
      <c r="BS58" s="495" t="e">
        <f t="shared" si="28"/>
        <v>#DIV/0!</v>
      </c>
      <c r="BT58" s="495" t="e">
        <f t="shared" si="29"/>
        <v>#DIV/0!</v>
      </c>
      <c r="BU58" s="495" t="str">
        <f t="shared" si="30"/>
        <v xml:space="preserve"> </v>
      </c>
      <c r="BV58" s="495" t="e">
        <f t="shared" si="31"/>
        <v>#DIV/0!</v>
      </c>
      <c r="BW58" s="495" t="e">
        <f t="shared" si="32"/>
        <v>#DIV/0!</v>
      </c>
      <c r="BX58" s="495" t="e">
        <f t="shared" si="33"/>
        <v>#DIV/0!</v>
      </c>
      <c r="BY58" s="495" t="str">
        <f t="shared" si="34"/>
        <v xml:space="preserve"> </v>
      </c>
    </row>
    <row r="59" spans="1:77" s="28" customFormat="1" ht="9" customHeight="1">
      <c r="A59" s="366">
        <v>43</v>
      </c>
      <c r="B59" s="200" t="s">
        <v>519</v>
      </c>
      <c r="C59" s="465">
        <v>581.4</v>
      </c>
      <c r="D59" s="308"/>
      <c r="E59" s="141" t="s">
        <v>1005</v>
      </c>
      <c r="F59" s="375">
        <f t="shared" si="37"/>
        <v>0</v>
      </c>
      <c r="G59" s="374">
        <v>2296125.7999999998</v>
      </c>
      <c r="H59" s="205">
        <v>2296125.7999999998</v>
      </c>
      <c r="I59" s="368">
        <f t="shared" si="11"/>
        <v>0</v>
      </c>
      <c r="J59" s="205">
        <v>0</v>
      </c>
      <c r="K59" s="465">
        <v>0</v>
      </c>
      <c r="L59" s="205">
        <v>0</v>
      </c>
      <c r="M59" s="465">
        <v>0</v>
      </c>
      <c r="N59" s="205">
        <v>0</v>
      </c>
      <c r="O59" s="249">
        <v>0</v>
      </c>
      <c r="P59" s="368">
        <v>0</v>
      </c>
      <c r="Q59" s="249">
        <v>0</v>
      </c>
      <c r="R59" s="368">
        <v>0</v>
      </c>
      <c r="S59" s="249">
        <v>0</v>
      </c>
      <c r="T59" s="368">
        <v>0</v>
      </c>
      <c r="U59" s="130">
        <v>0</v>
      </c>
      <c r="V59" s="368">
        <v>0</v>
      </c>
      <c r="W59" s="368">
        <v>688.7</v>
      </c>
      <c r="X59" s="368">
        <f t="shared" si="3"/>
        <v>2192800.14</v>
      </c>
      <c r="Y59" s="368">
        <v>0</v>
      </c>
      <c r="Z59" s="368">
        <v>0</v>
      </c>
      <c r="AA59" s="368">
        <v>0</v>
      </c>
      <c r="AB59" s="368">
        <v>0</v>
      </c>
      <c r="AC59" s="368">
        <v>0</v>
      </c>
      <c r="AD59" s="368">
        <v>0</v>
      </c>
      <c r="AE59" s="368">
        <v>0</v>
      </c>
      <c r="AF59" s="368">
        <v>0</v>
      </c>
      <c r="AG59" s="368">
        <v>0</v>
      </c>
      <c r="AH59" s="368">
        <v>0</v>
      </c>
      <c r="AI59" s="368">
        <v>0</v>
      </c>
      <c r="AJ59" s="370">
        <f t="shared" si="35"/>
        <v>68883.77</v>
      </c>
      <c r="AK59" s="370">
        <f t="shared" si="4"/>
        <v>34441.89</v>
      </c>
      <c r="AL59" s="370">
        <v>0</v>
      </c>
      <c r="AM59" s="447">
        <f t="shared" si="5"/>
        <v>3333.9999999999995</v>
      </c>
      <c r="AN59" s="227">
        <v>4814.95</v>
      </c>
      <c r="AP59" s="486" t="e">
        <f t="shared" si="6"/>
        <v>#DIV/0!</v>
      </c>
      <c r="AQ59" s="486" t="e">
        <f t="shared" si="12"/>
        <v>#DIV/0!</v>
      </c>
      <c r="AR59" s="486" t="e">
        <f t="shared" si="13"/>
        <v>#DIV/0!</v>
      </c>
      <c r="AS59" s="486" t="e">
        <f t="shared" si="14"/>
        <v>#DIV/0!</v>
      </c>
      <c r="AT59" s="486" t="e">
        <f t="shared" si="15"/>
        <v>#DIV/0!</v>
      </c>
      <c r="AU59" s="486" t="e">
        <f t="shared" si="16"/>
        <v>#DIV/0!</v>
      </c>
      <c r="AV59" s="486" t="e">
        <f t="shared" si="17"/>
        <v>#DIV/0!</v>
      </c>
      <c r="AW59" s="486">
        <f t="shared" si="18"/>
        <v>3183.9700014520108</v>
      </c>
      <c r="AX59" s="486" t="e">
        <f t="shared" si="19"/>
        <v>#DIV/0!</v>
      </c>
      <c r="AY59" s="486" t="e">
        <f t="shared" si="20"/>
        <v>#DIV/0!</v>
      </c>
      <c r="AZ59" s="486" t="e">
        <f t="shared" si="21"/>
        <v>#DIV/0!</v>
      </c>
      <c r="BA59" s="486">
        <f t="shared" si="7"/>
        <v>0</v>
      </c>
      <c r="BB59" s="494">
        <v>5155.41</v>
      </c>
      <c r="BC59" s="494">
        <v>2070.12</v>
      </c>
      <c r="BD59" s="494">
        <v>848.92</v>
      </c>
      <c r="BE59" s="494">
        <v>819.73</v>
      </c>
      <c r="BF59" s="494">
        <v>611.5</v>
      </c>
      <c r="BG59" s="494">
        <v>1080.04</v>
      </c>
      <c r="BH59" s="494">
        <v>2671800.0099999998</v>
      </c>
      <c r="BI59" s="494">
        <f t="shared" si="36"/>
        <v>4607.6000000000004</v>
      </c>
      <c r="BJ59" s="494">
        <v>14289.54</v>
      </c>
      <c r="BK59" s="494">
        <v>3389.61</v>
      </c>
      <c r="BL59" s="494">
        <v>5995.76</v>
      </c>
      <c r="BM59" s="494">
        <v>548.62</v>
      </c>
      <c r="BN59" s="495" t="e">
        <f t="shared" si="23"/>
        <v>#DIV/0!</v>
      </c>
      <c r="BO59" s="495" t="e">
        <f t="shared" si="24"/>
        <v>#DIV/0!</v>
      </c>
      <c r="BP59" s="495" t="e">
        <f t="shared" si="25"/>
        <v>#DIV/0!</v>
      </c>
      <c r="BQ59" s="495" t="e">
        <f t="shared" si="26"/>
        <v>#DIV/0!</v>
      </c>
      <c r="BR59" s="495" t="e">
        <f t="shared" si="27"/>
        <v>#DIV/0!</v>
      </c>
      <c r="BS59" s="495" t="e">
        <f t="shared" si="28"/>
        <v>#DIV/0!</v>
      </c>
      <c r="BT59" s="495" t="e">
        <f t="shared" si="29"/>
        <v>#DIV/0!</v>
      </c>
      <c r="BU59" s="495" t="str">
        <f t="shared" si="30"/>
        <v xml:space="preserve"> </v>
      </c>
      <c r="BV59" s="495" t="e">
        <f t="shared" si="31"/>
        <v>#DIV/0!</v>
      </c>
      <c r="BW59" s="495" t="e">
        <f t="shared" si="32"/>
        <v>#DIV/0!</v>
      </c>
      <c r="BX59" s="495" t="e">
        <f t="shared" si="33"/>
        <v>#DIV/0!</v>
      </c>
      <c r="BY59" s="495" t="str">
        <f t="shared" si="34"/>
        <v xml:space="preserve"> </v>
      </c>
    </row>
    <row r="60" spans="1:77" s="28" customFormat="1" ht="9" customHeight="1">
      <c r="A60" s="366">
        <v>44</v>
      </c>
      <c r="B60" s="200" t="s">
        <v>520</v>
      </c>
      <c r="C60" s="465">
        <v>2806</v>
      </c>
      <c r="D60" s="308"/>
      <c r="E60" s="141" t="s">
        <v>1005</v>
      </c>
      <c r="F60" s="375">
        <f t="shared" si="37"/>
        <v>0</v>
      </c>
      <c r="G60" s="374">
        <v>3200640</v>
      </c>
      <c r="H60" s="205">
        <v>3200640</v>
      </c>
      <c r="I60" s="368">
        <f t="shared" si="11"/>
        <v>0</v>
      </c>
      <c r="J60" s="205">
        <v>0</v>
      </c>
      <c r="K60" s="465">
        <v>0</v>
      </c>
      <c r="L60" s="205">
        <v>0</v>
      </c>
      <c r="M60" s="465">
        <v>0</v>
      </c>
      <c r="N60" s="205">
        <v>0</v>
      </c>
      <c r="O60" s="249">
        <v>0</v>
      </c>
      <c r="P60" s="368">
        <v>0</v>
      </c>
      <c r="Q60" s="249">
        <v>0</v>
      </c>
      <c r="R60" s="368">
        <v>0</v>
      </c>
      <c r="S60" s="249">
        <v>0</v>
      </c>
      <c r="T60" s="368">
        <v>0</v>
      </c>
      <c r="U60" s="130">
        <v>0</v>
      </c>
      <c r="V60" s="368">
        <v>0</v>
      </c>
      <c r="W60" s="368">
        <v>960</v>
      </c>
      <c r="X60" s="368">
        <f t="shared" si="3"/>
        <v>3056611.2</v>
      </c>
      <c r="Y60" s="368">
        <v>0</v>
      </c>
      <c r="Z60" s="368">
        <v>0</v>
      </c>
      <c r="AA60" s="368">
        <v>0</v>
      </c>
      <c r="AB60" s="368">
        <v>0</v>
      </c>
      <c r="AC60" s="368">
        <v>0</v>
      </c>
      <c r="AD60" s="368">
        <v>0</v>
      </c>
      <c r="AE60" s="368">
        <v>0</v>
      </c>
      <c r="AF60" s="368">
        <v>0</v>
      </c>
      <c r="AG60" s="368">
        <v>0</v>
      </c>
      <c r="AH60" s="368">
        <v>0</v>
      </c>
      <c r="AI60" s="368">
        <v>0</v>
      </c>
      <c r="AJ60" s="370">
        <f t="shared" si="35"/>
        <v>96019.199999999997</v>
      </c>
      <c r="AK60" s="370">
        <f t="shared" si="4"/>
        <v>48009.599999999999</v>
      </c>
      <c r="AL60" s="370">
        <v>0</v>
      </c>
      <c r="AM60" s="447">
        <f t="shared" si="5"/>
        <v>3334</v>
      </c>
      <c r="AN60" s="227">
        <v>4814.95</v>
      </c>
      <c r="AP60" s="486" t="e">
        <f t="shared" si="6"/>
        <v>#DIV/0!</v>
      </c>
      <c r="AQ60" s="486" t="e">
        <f t="shared" si="12"/>
        <v>#DIV/0!</v>
      </c>
      <c r="AR60" s="486" t="e">
        <f t="shared" si="13"/>
        <v>#DIV/0!</v>
      </c>
      <c r="AS60" s="486" t="e">
        <f t="shared" si="14"/>
        <v>#DIV/0!</v>
      </c>
      <c r="AT60" s="486" t="e">
        <f t="shared" si="15"/>
        <v>#DIV/0!</v>
      </c>
      <c r="AU60" s="486" t="e">
        <f t="shared" si="16"/>
        <v>#DIV/0!</v>
      </c>
      <c r="AV60" s="486" t="e">
        <f t="shared" si="17"/>
        <v>#DIV/0!</v>
      </c>
      <c r="AW60" s="486">
        <f t="shared" si="18"/>
        <v>3183.9700000000003</v>
      </c>
      <c r="AX60" s="486" t="e">
        <f t="shared" si="19"/>
        <v>#DIV/0!</v>
      </c>
      <c r="AY60" s="486" t="e">
        <f t="shared" si="20"/>
        <v>#DIV/0!</v>
      </c>
      <c r="AZ60" s="486" t="e">
        <f t="shared" si="21"/>
        <v>#DIV/0!</v>
      </c>
      <c r="BA60" s="486">
        <f t="shared" si="7"/>
        <v>0</v>
      </c>
      <c r="BB60" s="494">
        <v>5155.41</v>
      </c>
      <c r="BC60" s="494">
        <v>2070.12</v>
      </c>
      <c r="BD60" s="494">
        <v>848.92</v>
      </c>
      <c r="BE60" s="494">
        <v>819.73</v>
      </c>
      <c r="BF60" s="494">
        <v>611.5</v>
      </c>
      <c r="BG60" s="494">
        <v>1080.04</v>
      </c>
      <c r="BH60" s="494">
        <v>2671800.0099999998</v>
      </c>
      <c r="BI60" s="494">
        <f t="shared" si="36"/>
        <v>4607.6000000000004</v>
      </c>
      <c r="BJ60" s="494">
        <v>14289.54</v>
      </c>
      <c r="BK60" s="494">
        <v>3389.61</v>
      </c>
      <c r="BL60" s="494">
        <v>5995.76</v>
      </c>
      <c r="BM60" s="494">
        <v>548.62</v>
      </c>
      <c r="BN60" s="495" t="e">
        <f t="shared" si="23"/>
        <v>#DIV/0!</v>
      </c>
      <c r="BO60" s="495" t="e">
        <f t="shared" si="24"/>
        <v>#DIV/0!</v>
      </c>
      <c r="BP60" s="495" t="e">
        <f t="shared" si="25"/>
        <v>#DIV/0!</v>
      </c>
      <c r="BQ60" s="495" t="e">
        <f t="shared" si="26"/>
        <v>#DIV/0!</v>
      </c>
      <c r="BR60" s="495" t="e">
        <f t="shared" si="27"/>
        <v>#DIV/0!</v>
      </c>
      <c r="BS60" s="495" t="e">
        <f t="shared" si="28"/>
        <v>#DIV/0!</v>
      </c>
      <c r="BT60" s="495" t="e">
        <f t="shared" si="29"/>
        <v>#DIV/0!</v>
      </c>
      <c r="BU60" s="495" t="str">
        <f t="shared" si="30"/>
        <v xml:space="preserve"> </v>
      </c>
      <c r="BV60" s="495" t="e">
        <f t="shared" si="31"/>
        <v>#DIV/0!</v>
      </c>
      <c r="BW60" s="495" t="e">
        <f t="shared" si="32"/>
        <v>#DIV/0!</v>
      </c>
      <c r="BX60" s="495" t="e">
        <f t="shared" si="33"/>
        <v>#DIV/0!</v>
      </c>
      <c r="BY60" s="495" t="str">
        <f t="shared" si="34"/>
        <v xml:space="preserve"> </v>
      </c>
    </row>
    <row r="61" spans="1:77" s="28" customFormat="1" ht="9" customHeight="1">
      <c r="A61" s="366">
        <v>45</v>
      </c>
      <c r="B61" s="200" t="s">
        <v>521</v>
      </c>
      <c r="C61" s="465">
        <v>8152.1</v>
      </c>
      <c r="D61" s="308"/>
      <c r="E61" s="141" t="s">
        <v>1005</v>
      </c>
      <c r="F61" s="375">
        <f t="shared" si="37"/>
        <v>0</v>
      </c>
      <c r="G61" s="374">
        <v>12002400</v>
      </c>
      <c r="H61" s="205">
        <v>12002400</v>
      </c>
      <c r="I61" s="368">
        <f t="shared" si="11"/>
        <v>0</v>
      </c>
      <c r="J61" s="205">
        <v>0</v>
      </c>
      <c r="K61" s="465">
        <v>0</v>
      </c>
      <c r="L61" s="205">
        <v>0</v>
      </c>
      <c r="M61" s="465">
        <v>0</v>
      </c>
      <c r="N61" s="205">
        <v>0</v>
      </c>
      <c r="O61" s="249">
        <v>0</v>
      </c>
      <c r="P61" s="368">
        <v>0</v>
      </c>
      <c r="Q61" s="249">
        <v>0</v>
      </c>
      <c r="R61" s="368">
        <v>0</v>
      </c>
      <c r="S61" s="249">
        <v>0</v>
      </c>
      <c r="T61" s="368">
        <v>0</v>
      </c>
      <c r="U61" s="130">
        <v>0</v>
      </c>
      <c r="V61" s="368">
        <v>0</v>
      </c>
      <c r="W61" s="368">
        <v>3600</v>
      </c>
      <c r="X61" s="368">
        <f t="shared" si="3"/>
        <v>11462292</v>
      </c>
      <c r="Y61" s="368">
        <v>0</v>
      </c>
      <c r="Z61" s="368">
        <v>0</v>
      </c>
      <c r="AA61" s="368">
        <v>0</v>
      </c>
      <c r="AB61" s="368">
        <v>0</v>
      </c>
      <c r="AC61" s="368">
        <v>0</v>
      </c>
      <c r="AD61" s="368">
        <v>0</v>
      </c>
      <c r="AE61" s="368">
        <v>0</v>
      </c>
      <c r="AF61" s="368">
        <v>0</v>
      </c>
      <c r="AG61" s="368">
        <v>0</v>
      </c>
      <c r="AH61" s="368">
        <v>0</v>
      </c>
      <c r="AI61" s="368">
        <v>0</v>
      </c>
      <c r="AJ61" s="370">
        <f t="shared" si="35"/>
        <v>360072</v>
      </c>
      <c r="AK61" s="370">
        <f t="shared" si="4"/>
        <v>180036</v>
      </c>
      <c r="AL61" s="370">
        <v>0</v>
      </c>
      <c r="AM61" s="447">
        <f t="shared" si="5"/>
        <v>3334</v>
      </c>
      <c r="AN61" s="227">
        <v>4814.95</v>
      </c>
      <c r="AP61" s="486" t="e">
        <f t="shared" si="6"/>
        <v>#DIV/0!</v>
      </c>
      <c r="AQ61" s="486" t="e">
        <f t="shared" si="12"/>
        <v>#DIV/0!</v>
      </c>
      <c r="AR61" s="486" t="e">
        <f t="shared" si="13"/>
        <v>#DIV/0!</v>
      </c>
      <c r="AS61" s="486" t="e">
        <f t="shared" si="14"/>
        <v>#DIV/0!</v>
      </c>
      <c r="AT61" s="486" t="e">
        <f t="shared" si="15"/>
        <v>#DIV/0!</v>
      </c>
      <c r="AU61" s="486" t="e">
        <f t="shared" si="16"/>
        <v>#DIV/0!</v>
      </c>
      <c r="AV61" s="486" t="e">
        <f t="shared" si="17"/>
        <v>#DIV/0!</v>
      </c>
      <c r="AW61" s="486">
        <f t="shared" si="18"/>
        <v>3183.97</v>
      </c>
      <c r="AX61" s="486" t="e">
        <f t="shared" si="19"/>
        <v>#DIV/0!</v>
      </c>
      <c r="AY61" s="486" t="e">
        <f t="shared" si="20"/>
        <v>#DIV/0!</v>
      </c>
      <c r="AZ61" s="486" t="e">
        <f t="shared" si="21"/>
        <v>#DIV/0!</v>
      </c>
      <c r="BA61" s="486">
        <f t="shared" si="7"/>
        <v>0</v>
      </c>
      <c r="BB61" s="494">
        <v>5155.41</v>
      </c>
      <c r="BC61" s="494">
        <v>2070.12</v>
      </c>
      <c r="BD61" s="494">
        <v>848.92</v>
      </c>
      <c r="BE61" s="494">
        <v>819.73</v>
      </c>
      <c r="BF61" s="494">
        <v>611.5</v>
      </c>
      <c r="BG61" s="494">
        <v>1080.04</v>
      </c>
      <c r="BH61" s="494">
        <v>2671800.0099999998</v>
      </c>
      <c r="BI61" s="494">
        <f t="shared" si="36"/>
        <v>4607.6000000000004</v>
      </c>
      <c r="BJ61" s="494">
        <v>14289.54</v>
      </c>
      <c r="BK61" s="494">
        <v>3389.61</v>
      </c>
      <c r="BL61" s="494">
        <v>5995.76</v>
      </c>
      <c r="BM61" s="494">
        <v>548.62</v>
      </c>
      <c r="BN61" s="495" t="e">
        <f t="shared" si="23"/>
        <v>#DIV/0!</v>
      </c>
      <c r="BO61" s="495" t="e">
        <f t="shared" si="24"/>
        <v>#DIV/0!</v>
      </c>
      <c r="BP61" s="495" t="e">
        <f t="shared" si="25"/>
        <v>#DIV/0!</v>
      </c>
      <c r="BQ61" s="495" t="e">
        <f t="shared" si="26"/>
        <v>#DIV/0!</v>
      </c>
      <c r="BR61" s="495" t="e">
        <f t="shared" si="27"/>
        <v>#DIV/0!</v>
      </c>
      <c r="BS61" s="495" t="e">
        <f t="shared" si="28"/>
        <v>#DIV/0!</v>
      </c>
      <c r="BT61" s="495" t="e">
        <f t="shared" si="29"/>
        <v>#DIV/0!</v>
      </c>
      <c r="BU61" s="495" t="str">
        <f t="shared" si="30"/>
        <v xml:space="preserve"> </v>
      </c>
      <c r="BV61" s="495" t="e">
        <f t="shared" si="31"/>
        <v>#DIV/0!</v>
      </c>
      <c r="BW61" s="495" t="e">
        <f t="shared" si="32"/>
        <v>#DIV/0!</v>
      </c>
      <c r="BX61" s="495" t="e">
        <f t="shared" si="33"/>
        <v>#DIV/0!</v>
      </c>
      <c r="BY61" s="495" t="str">
        <f t="shared" si="34"/>
        <v xml:space="preserve"> </v>
      </c>
    </row>
    <row r="62" spans="1:77" s="28" customFormat="1" ht="9" customHeight="1">
      <c r="A62" s="366">
        <v>46</v>
      </c>
      <c r="B62" s="200" t="s">
        <v>522</v>
      </c>
      <c r="C62" s="465">
        <v>3508.6</v>
      </c>
      <c r="D62" s="308"/>
      <c r="E62" s="141" t="s">
        <v>1005</v>
      </c>
      <c r="F62" s="375">
        <f t="shared" si="37"/>
        <v>0</v>
      </c>
      <c r="G62" s="374">
        <v>2920584</v>
      </c>
      <c r="H62" s="205">
        <v>2920584</v>
      </c>
      <c r="I62" s="368">
        <f t="shared" si="11"/>
        <v>0</v>
      </c>
      <c r="J62" s="205">
        <v>0</v>
      </c>
      <c r="K62" s="465">
        <v>0</v>
      </c>
      <c r="L62" s="205">
        <v>0</v>
      </c>
      <c r="M62" s="465">
        <v>0</v>
      </c>
      <c r="N62" s="205">
        <v>0</v>
      </c>
      <c r="O62" s="249">
        <v>0</v>
      </c>
      <c r="P62" s="368">
        <v>0</v>
      </c>
      <c r="Q62" s="249">
        <v>0</v>
      </c>
      <c r="R62" s="368">
        <v>0</v>
      </c>
      <c r="S62" s="249">
        <v>0</v>
      </c>
      <c r="T62" s="368">
        <v>0</v>
      </c>
      <c r="U62" s="130">
        <v>0</v>
      </c>
      <c r="V62" s="368">
        <v>0</v>
      </c>
      <c r="W62" s="368">
        <v>876</v>
      </c>
      <c r="X62" s="368">
        <f t="shared" si="3"/>
        <v>2789157.72</v>
      </c>
      <c r="Y62" s="368">
        <v>0</v>
      </c>
      <c r="Z62" s="368">
        <v>0</v>
      </c>
      <c r="AA62" s="368">
        <v>0</v>
      </c>
      <c r="AB62" s="368">
        <v>0</v>
      </c>
      <c r="AC62" s="368">
        <v>0</v>
      </c>
      <c r="AD62" s="368">
        <v>0</v>
      </c>
      <c r="AE62" s="368">
        <v>0</v>
      </c>
      <c r="AF62" s="368">
        <v>0</v>
      </c>
      <c r="AG62" s="368">
        <v>0</v>
      </c>
      <c r="AH62" s="368">
        <v>0</v>
      </c>
      <c r="AI62" s="368">
        <v>0</v>
      </c>
      <c r="AJ62" s="370">
        <f t="shared" si="35"/>
        <v>87617.52</v>
      </c>
      <c r="AK62" s="370">
        <f t="shared" ref="AK62:AK79" si="38">ROUND(X62/95.5*1.5,2)</f>
        <v>43808.76</v>
      </c>
      <c r="AL62" s="370">
        <v>0</v>
      </c>
      <c r="AM62" s="447">
        <f t="shared" si="5"/>
        <v>3334</v>
      </c>
      <c r="AN62" s="227">
        <v>4814.95</v>
      </c>
      <c r="AP62" s="486" t="e">
        <f t="shared" si="6"/>
        <v>#DIV/0!</v>
      </c>
      <c r="AQ62" s="486" t="e">
        <f t="shared" si="12"/>
        <v>#DIV/0!</v>
      </c>
      <c r="AR62" s="486" t="e">
        <f t="shared" si="13"/>
        <v>#DIV/0!</v>
      </c>
      <c r="AS62" s="486" t="e">
        <f t="shared" si="14"/>
        <v>#DIV/0!</v>
      </c>
      <c r="AT62" s="486" t="e">
        <f t="shared" si="15"/>
        <v>#DIV/0!</v>
      </c>
      <c r="AU62" s="486" t="e">
        <f t="shared" si="16"/>
        <v>#DIV/0!</v>
      </c>
      <c r="AV62" s="486" t="e">
        <f t="shared" si="17"/>
        <v>#DIV/0!</v>
      </c>
      <c r="AW62" s="486">
        <f t="shared" si="18"/>
        <v>3183.9700000000003</v>
      </c>
      <c r="AX62" s="486" t="e">
        <f t="shared" si="19"/>
        <v>#DIV/0!</v>
      </c>
      <c r="AY62" s="486" t="e">
        <f t="shared" si="20"/>
        <v>#DIV/0!</v>
      </c>
      <c r="AZ62" s="486" t="e">
        <f t="shared" si="21"/>
        <v>#DIV/0!</v>
      </c>
      <c r="BA62" s="486">
        <f t="shared" si="7"/>
        <v>0</v>
      </c>
      <c r="BB62" s="494">
        <v>5155.41</v>
      </c>
      <c r="BC62" s="494">
        <v>2070.12</v>
      </c>
      <c r="BD62" s="494">
        <v>848.92</v>
      </c>
      <c r="BE62" s="494">
        <v>819.73</v>
      </c>
      <c r="BF62" s="494">
        <v>611.5</v>
      </c>
      <c r="BG62" s="494">
        <v>1080.04</v>
      </c>
      <c r="BH62" s="494">
        <v>2671800.0099999998</v>
      </c>
      <c r="BI62" s="494">
        <f t="shared" si="36"/>
        <v>4607.6000000000004</v>
      </c>
      <c r="BJ62" s="494">
        <v>14289.54</v>
      </c>
      <c r="BK62" s="494">
        <v>3389.61</v>
      </c>
      <c r="BL62" s="494">
        <v>5995.76</v>
      </c>
      <c r="BM62" s="494">
        <v>548.62</v>
      </c>
      <c r="BN62" s="495" t="e">
        <f t="shared" si="23"/>
        <v>#DIV/0!</v>
      </c>
      <c r="BO62" s="495" t="e">
        <f t="shared" si="24"/>
        <v>#DIV/0!</v>
      </c>
      <c r="BP62" s="495" t="e">
        <f t="shared" si="25"/>
        <v>#DIV/0!</v>
      </c>
      <c r="BQ62" s="495" t="e">
        <f t="shared" si="26"/>
        <v>#DIV/0!</v>
      </c>
      <c r="BR62" s="495" t="e">
        <f t="shared" si="27"/>
        <v>#DIV/0!</v>
      </c>
      <c r="BS62" s="495" t="e">
        <f t="shared" si="28"/>
        <v>#DIV/0!</v>
      </c>
      <c r="BT62" s="495" t="e">
        <f t="shared" si="29"/>
        <v>#DIV/0!</v>
      </c>
      <c r="BU62" s="495" t="str">
        <f t="shared" si="30"/>
        <v xml:space="preserve"> </v>
      </c>
      <c r="BV62" s="495" t="e">
        <f t="shared" si="31"/>
        <v>#DIV/0!</v>
      </c>
      <c r="BW62" s="495" t="e">
        <f t="shared" si="32"/>
        <v>#DIV/0!</v>
      </c>
      <c r="BX62" s="495" t="e">
        <f t="shared" si="33"/>
        <v>#DIV/0!</v>
      </c>
      <c r="BY62" s="495" t="str">
        <f t="shared" si="34"/>
        <v xml:space="preserve"> </v>
      </c>
    </row>
    <row r="63" spans="1:77" s="28" customFormat="1" ht="9" customHeight="1">
      <c r="A63" s="366">
        <v>47</v>
      </c>
      <c r="B63" s="200" t="s">
        <v>523</v>
      </c>
      <c r="C63" s="465">
        <v>3100.9</v>
      </c>
      <c r="D63" s="466"/>
      <c r="E63" s="201"/>
      <c r="F63" s="375">
        <f t="shared" si="37"/>
        <v>9.9999997764825821E-3</v>
      </c>
      <c r="G63" s="375">
        <v>2375289.4</v>
      </c>
      <c r="H63" s="205">
        <f>P63+R63+T63+AI63+AJ63+AK63</f>
        <v>2375289.4099999997</v>
      </c>
      <c r="I63" s="368">
        <f t="shared" si="11"/>
        <v>2072951.6599999997</v>
      </c>
      <c r="J63" s="205">
        <v>0</v>
      </c>
      <c r="K63" s="465">
        <v>0</v>
      </c>
      <c r="L63" s="205">
        <v>0</v>
      </c>
      <c r="M63" s="465">
        <v>0</v>
      </c>
      <c r="N63" s="205">
        <v>0</v>
      </c>
      <c r="O63" s="249">
        <v>0</v>
      </c>
      <c r="P63" s="368">
        <f>ROUND(0.955*(C63*210),2)</f>
        <v>621885.5</v>
      </c>
      <c r="Q63" s="249">
        <v>0</v>
      </c>
      <c r="R63" s="368">
        <f>ROUND(0.955*(C63*270),2)</f>
        <v>799567.07</v>
      </c>
      <c r="S63" s="249">
        <v>0</v>
      </c>
      <c r="T63" s="368">
        <f>ROUND(0.955*(C63*220),2)</f>
        <v>651499.09</v>
      </c>
      <c r="U63" s="130">
        <v>0</v>
      </c>
      <c r="V63" s="368">
        <v>0</v>
      </c>
      <c r="W63" s="368">
        <v>0</v>
      </c>
      <c r="X63" s="368">
        <v>0</v>
      </c>
      <c r="Y63" s="368">
        <v>0</v>
      </c>
      <c r="Z63" s="368">
        <v>0</v>
      </c>
      <c r="AA63" s="368">
        <v>0</v>
      </c>
      <c r="AB63" s="368">
        <v>0</v>
      </c>
      <c r="AC63" s="368">
        <v>0</v>
      </c>
      <c r="AD63" s="368">
        <v>0</v>
      </c>
      <c r="AE63" s="368">
        <v>0</v>
      </c>
      <c r="AF63" s="368">
        <v>0</v>
      </c>
      <c r="AG63" s="368">
        <v>0</v>
      </c>
      <c r="AH63" s="368">
        <v>0</v>
      </c>
      <c r="AI63" s="370">
        <f>ROUND(0.955*C63*(44+22),2)</f>
        <v>195449.73</v>
      </c>
      <c r="AJ63" s="370">
        <f>ROUND(0.03*(210+220+270+44+22)*C63,2)</f>
        <v>71258.679999999993</v>
      </c>
      <c r="AK63" s="370">
        <f>ROUND(0.015*(210+220+270+44+22)*C63,2)</f>
        <v>35629.339999999997</v>
      </c>
      <c r="AL63" s="370">
        <v>0</v>
      </c>
      <c r="AM63" s="227" t="e">
        <f>P63/O63+R63/Q63+T63/S63+AI63/C63</f>
        <v>#DIV/0!</v>
      </c>
      <c r="AN63" s="227">
        <f>856.62+639.02+1128.64+83.9+218.17</f>
        <v>2926.35</v>
      </c>
      <c r="AP63" s="486" t="e">
        <f t="shared" si="6"/>
        <v>#DIV/0!</v>
      </c>
      <c r="AQ63" s="486" t="e">
        <f t="shared" si="12"/>
        <v>#DIV/0!</v>
      </c>
      <c r="AR63" s="486" t="e">
        <f t="shared" si="13"/>
        <v>#DIV/0!</v>
      </c>
      <c r="AS63" s="486" t="e">
        <f t="shared" si="14"/>
        <v>#DIV/0!</v>
      </c>
      <c r="AT63" s="486" t="e">
        <f t="shared" si="15"/>
        <v>#DIV/0!</v>
      </c>
      <c r="AU63" s="486" t="e">
        <f t="shared" si="16"/>
        <v>#DIV/0!</v>
      </c>
      <c r="AV63" s="486" t="e">
        <f t="shared" si="17"/>
        <v>#DIV/0!</v>
      </c>
      <c r="AW63" s="486" t="e">
        <f t="shared" si="18"/>
        <v>#DIV/0!</v>
      </c>
      <c r="AX63" s="486" t="e">
        <f t="shared" si="19"/>
        <v>#DIV/0!</v>
      </c>
      <c r="AY63" s="486" t="e">
        <f t="shared" si="20"/>
        <v>#DIV/0!</v>
      </c>
      <c r="AZ63" s="486" t="e">
        <f t="shared" si="21"/>
        <v>#DIV/0!</v>
      </c>
      <c r="BA63" s="486">
        <f t="shared" si="7"/>
        <v>63.030000967461064</v>
      </c>
      <c r="BB63" s="494">
        <v>5155.41</v>
      </c>
      <c r="BC63" s="494">
        <v>2070.12</v>
      </c>
      <c r="BD63" s="494">
        <v>848.92</v>
      </c>
      <c r="BE63" s="494">
        <v>819.73</v>
      </c>
      <c r="BF63" s="494">
        <v>611.5</v>
      </c>
      <c r="BG63" s="494">
        <v>1080.04</v>
      </c>
      <c r="BH63" s="494">
        <v>2671800.0099999998</v>
      </c>
      <c r="BI63" s="494">
        <f t="shared" si="36"/>
        <v>4422.8500000000004</v>
      </c>
      <c r="BJ63" s="494">
        <v>14289.54</v>
      </c>
      <c r="BK63" s="494">
        <v>3389.61</v>
      </c>
      <c r="BL63" s="494">
        <v>5995.76</v>
      </c>
      <c r="BM63" s="494">
        <v>548.62</v>
      </c>
      <c r="BN63" s="495" t="e">
        <f t="shared" si="23"/>
        <v>#DIV/0!</v>
      </c>
      <c r="BO63" s="495" t="e">
        <f t="shared" si="24"/>
        <v>#DIV/0!</v>
      </c>
      <c r="BP63" s="495" t="e">
        <f t="shared" si="25"/>
        <v>#DIV/0!</v>
      </c>
      <c r="BQ63" s="495" t="e">
        <f t="shared" si="26"/>
        <v>#DIV/0!</v>
      </c>
      <c r="BR63" s="495" t="e">
        <f t="shared" si="27"/>
        <v>#DIV/0!</v>
      </c>
      <c r="BS63" s="495" t="e">
        <f t="shared" si="28"/>
        <v>#DIV/0!</v>
      </c>
      <c r="BT63" s="495" t="e">
        <f t="shared" si="29"/>
        <v>#DIV/0!</v>
      </c>
      <c r="BU63" s="495" t="e">
        <f t="shared" si="30"/>
        <v>#DIV/0!</v>
      </c>
      <c r="BV63" s="495" t="e">
        <f t="shared" si="31"/>
        <v>#DIV/0!</v>
      </c>
      <c r="BW63" s="495" t="e">
        <f t="shared" si="32"/>
        <v>#DIV/0!</v>
      </c>
      <c r="BX63" s="495" t="e">
        <f t="shared" si="33"/>
        <v>#DIV/0!</v>
      </c>
      <c r="BY63" s="495" t="str">
        <f t="shared" si="34"/>
        <v xml:space="preserve"> </v>
      </c>
    </row>
    <row r="64" spans="1:77" s="28" customFormat="1" ht="9" customHeight="1">
      <c r="A64" s="366">
        <v>48</v>
      </c>
      <c r="B64" s="200" t="s">
        <v>524</v>
      </c>
      <c r="C64" s="465">
        <v>3458.6</v>
      </c>
      <c r="D64" s="308"/>
      <c r="E64" s="141" t="s">
        <v>1005</v>
      </c>
      <c r="F64" s="375">
        <f t="shared" si="37"/>
        <v>0</v>
      </c>
      <c r="G64" s="374">
        <v>3050610</v>
      </c>
      <c r="H64" s="205">
        <v>3050610</v>
      </c>
      <c r="I64" s="368">
        <f t="shared" si="11"/>
        <v>0</v>
      </c>
      <c r="J64" s="205">
        <v>0</v>
      </c>
      <c r="K64" s="465">
        <v>0</v>
      </c>
      <c r="L64" s="205">
        <v>0</v>
      </c>
      <c r="M64" s="465">
        <v>0</v>
      </c>
      <c r="N64" s="205">
        <v>0</v>
      </c>
      <c r="O64" s="249">
        <v>0</v>
      </c>
      <c r="P64" s="368">
        <v>0</v>
      </c>
      <c r="Q64" s="249">
        <v>0</v>
      </c>
      <c r="R64" s="368">
        <v>0</v>
      </c>
      <c r="S64" s="249">
        <v>0</v>
      </c>
      <c r="T64" s="368">
        <v>0</v>
      </c>
      <c r="U64" s="130">
        <v>0</v>
      </c>
      <c r="V64" s="368">
        <v>0</v>
      </c>
      <c r="W64" s="368">
        <v>915</v>
      </c>
      <c r="X64" s="368">
        <f t="shared" si="3"/>
        <v>2913332.55</v>
      </c>
      <c r="Y64" s="368">
        <v>0</v>
      </c>
      <c r="Z64" s="368">
        <v>0</v>
      </c>
      <c r="AA64" s="368">
        <v>0</v>
      </c>
      <c r="AB64" s="368">
        <v>0</v>
      </c>
      <c r="AC64" s="368">
        <v>0</v>
      </c>
      <c r="AD64" s="368">
        <v>0</v>
      </c>
      <c r="AE64" s="368">
        <v>0</v>
      </c>
      <c r="AF64" s="368">
        <v>0</v>
      </c>
      <c r="AG64" s="368">
        <v>0</v>
      </c>
      <c r="AH64" s="368">
        <v>0</v>
      </c>
      <c r="AI64" s="368">
        <v>0</v>
      </c>
      <c r="AJ64" s="370">
        <f t="shared" si="35"/>
        <v>91518.3</v>
      </c>
      <c r="AK64" s="370">
        <f t="shared" si="38"/>
        <v>45759.15</v>
      </c>
      <c r="AL64" s="370">
        <v>0</v>
      </c>
      <c r="AM64" s="447">
        <f t="shared" ref="AM64:AM80" si="39">H64/W64</f>
        <v>3334</v>
      </c>
      <c r="AN64" s="227">
        <v>4814.95</v>
      </c>
      <c r="AP64" s="486" t="e">
        <f t="shared" si="6"/>
        <v>#DIV/0!</v>
      </c>
      <c r="AQ64" s="486" t="e">
        <f t="shared" si="12"/>
        <v>#DIV/0!</v>
      </c>
      <c r="AR64" s="486" t="e">
        <f t="shared" si="13"/>
        <v>#DIV/0!</v>
      </c>
      <c r="AS64" s="486" t="e">
        <f t="shared" si="14"/>
        <v>#DIV/0!</v>
      </c>
      <c r="AT64" s="486" t="e">
        <f t="shared" si="15"/>
        <v>#DIV/0!</v>
      </c>
      <c r="AU64" s="486" t="e">
        <f t="shared" si="16"/>
        <v>#DIV/0!</v>
      </c>
      <c r="AV64" s="486" t="e">
        <f t="shared" si="17"/>
        <v>#DIV/0!</v>
      </c>
      <c r="AW64" s="486">
        <f t="shared" si="18"/>
        <v>3183.97</v>
      </c>
      <c r="AX64" s="486" t="e">
        <f t="shared" si="19"/>
        <v>#DIV/0!</v>
      </c>
      <c r="AY64" s="486" t="e">
        <f t="shared" si="20"/>
        <v>#DIV/0!</v>
      </c>
      <c r="AZ64" s="486" t="e">
        <f t="shared" si="21"/>
        <v>#DIV/0!</v>
      </c>
      <c r="BA64" s="486">
        <f t="shared" si="7"/>
        <v>0</v>
      </c>
      <c r="BB64" s="494">
        <v>5155.41</v>
      </c>
      <c r="BC64" s="494">
        <v>2070.12</v>
      </c>
      <c r="BD64" s="494">
        <v>848.92</v>
      </c>
      <c r="BE64" s="494">
        <v>819.73</v>
      </c>
      <c r="BF64" s="494">
        <v>611.5</v>
      </c>
      <c r="BG64" s="494">
        <v>1080.04</v>
      </c>
      <c r="BH64" s="494">
        <v>2671800.0099999998</v>
      </c>
      <c r="BI64" s="494">
        <f t="shared" si="36"/>
        <v>4607.6000000000004</v>
      </c>
      <c r="BJ64" s="494">
        <v>14289.54</v>
      </c>
      <c r="BK64" s="494">
        <v>3389.61</v>
      </c>
      <c r="BL64" s="494">
        <v>5995.76</v>
      </c>
      <c r="BM64" s="494">
        <v>548.62</v>
      </c>
      <c r="BN64" s="495" t="e">
        <f t="shared" si="23"/>
        <v>#DIV/0!</v>
      </c>
      <c r="BO64" s="495" t="e">
        <f t="shared" si="24"/>
        <v>#DIV/0!</v>
      </c>
      <c r="BP64" s="495" t="e">
        <f t="shared" si="25"/>
        <v>#DIV/0!</v>
      </c>
      <c r="BQ64" s="495" t="e">
        <f t="shared" si="26"/>
        <v>#DIV/0!</v>
      </c>
      <c r="BR64" s="495" t="e">
        <f t="shared" si="27"/>
        <v>#DIV/0!</v>
      </c>
      <c r="BS64" s="495" t="e">
        <f t="shared" si="28"/>
        <v>#DIV/0!</v>
      </c>
      <c r="BT64" s="495" t="e">
        <f t="shared" si="29"/>
        <v>#DIV/0!</v>
      </c>
      <c r="BU64" s="495" t="str">
        <f t="shared" si="30"/>
        <v xml:space="preserve"> </v>
      </c>
      <c r="BV64" s="495" t="e">
        <f t="shared" si="31"/>
        <v>#DIV/0!</v>
      </c>
      <c r="BW64" s="495" t="e">
        <f t="shared" si="32"/>
        <v>#DIV/0!</v>
      </c>
      <c r="BX64" s="495" t="e">
        <f t="shared" si="33"/>
        <v>#DIV/0!</v>
      </c>
      <c r="BY64" s="495" t="str">
        <f t="shared" si="34"/>
        <v xml:space="preserve"> </v>
      </c>
    </row>
    <row r="65" spans="1:77" s="28" customFormat="1" ht="9" customHeight="1">
      <c r="A65" s="366">
        <v>49</v>
      </c>
      <c r="B65" s="200" t="s">
        <v>525</v>
      </c>
      <c r="C65" s="465">
        <v>1329</v>
      </c>
      <c r="D65" s="466"/>
      <c r="E65" s="201" t="s">
        <v>1006</v>
      </c>
      <c r="F65" s="375">
        <f t="shared" si="37"/>
        <v>0</v>
      </c>
      <c r="G65" s="375">
        <v>2170014</v>
      </c>
      <c r="H65" s="205">
        <v>2170014</v>
      </c>
      <c r="I65" s="368">
        <f t="shared" si="11"/>
        <v>0</v>
      </c>
      <c r="J65" s="205">
        <v>0</v>
      </c>
      <c r="K65" s="465">
        <v>0</v>
      </c>
      <c r="L65" s="205">
        <v>0</v>
      </c>
      <c r="M65" s="465">
        <v>0</v>
      </c>
      <c r="N65" s="205">
        <v>0</v>
      </c>
      <c r="O65" s="249">
        <v>0</v>
      </c>
      <c r="P65" s="368">
        <v>0</v>
      </c>
      <c r="Q65" s="249">
        <v>0</v>
      </c>
      <c r="R65" s="368">
        <v>0</v>
      </c>
      <c r="S65" s="249">
        <v>0</v>
      </c>
      <c r="T65" s="368">
        <v>0</v>
      </c>
      <c r="U65" s="130">
        <v>0</v>
      </c>
      <c r="V65" s="368">
        <v>0</v>
      </c>
      <c r="W65" s="368">
        <v>671</v>
      </c>
      <c r="X65" s="368">
        <f t="shared" si="3"/>
        <v>2072363.37</v>
      </c>
      <c r="Y65" s="368">
        <v>0</v>
      </c>
      <c r="Z65" s="368">
        <v>0</v>
      </c>
      <c r="AA65" s="368">
        <v>0</v>
      </c>
      <c r="AB65" s="368">
        <v>0</v>
      </c>
      <c r="AC65" s="368">
        <v>0</v>
      </c>
      <c r="AD65" s="368">
        <v>0</v>
      </c>
      <c r="AE65" s="368">
        <v>0</v>
      </c>
      <c r="AF65" s="368">
        <v>0</v>
      </c>
      <c r="AG65" s="368">
        <v>0</v>
      </c>
      <c r="AH65" s="368">
        <v>0</v>
      </c>
      <c r="AI65" s="368">
        <v>0</v>
      </c>
      <c r="AJ65" s="370">
        <f t="shared" si="35"/>
        <v>65100.42</v>
      </c>
      <c r="AK65" s="370">
        <f t="shared" si="38"/>
        <v>32550.21</v>
      </c>
      <c r="AL65" s="370">
        <v>0</v>
      </c>
      <c r="AM65" s="447">
        <f t="shared" si="39"/>
        <v>3234</v>
      </c>
      <c r="AN65" s="227">
        <v>4621.88</v>
      </c>
      <c r="AP65" s="486" t="e">
        <f t="shared" si="6"/>
        <v>#DIV/0!</v>
      </c>
      <c r="AQ65" s="486" t="e">
        <f t="shared" si="12"/>
        <v>#DIV/0!</v>
      </c>
      <c r="AR65" s="486" t="e">
        <f t="shared" si="13"/>
        <v>#DIV/0!</v>
      </c>
      <c r="AS65" s="486" t="e">
        <f t="shared" si="14"/>
        <v>#DIV/0!</v>
      </c>
      <c r="AT65" s="486" t="e">
        <f t="shared" si="15"/>
        <v>#DIV/0!</v>
      </c>
      <c r="AU65" s="486" t="e">
        <f t="shared" si="16"/>
        <v>#DIV/0!</v>
      </c>
      <c r="AV65" s="486" t="e">
        <f t="shared" si="17"/>
        <v>#DIV/0!</v>
      </c>
      <c r="AW65" s="486">
        <f t="shared" si="18"/>
        <v>3088.4700000000003</v>
      </c>
      <c r="AX65" s="486" t="e">
        <f t="shared" si="19"/>
        <v>#DIV/0!</v>
      </c>
      <c r="AY65" s="486" t="e">
        <f t="shared" si="20"/>
        <v>#DIV/0!</v>
      </c>
      <c r="AZ65" s="486" t="e">
        <f t="shared" si="21"/>
        <v>#DIV/0!</v>
      </c>
      <c r="BA65" s="486">
        <f t="shared" si="7"/>
        <v>0</v>
      </c>
      <c r="BB65" s="494">
        <v>5155.41</v>
      </c>
      <c r="BC65" s="494">
        <v>2070.12</v>
      </c>
      <c r="BD65" s="494">
        <v>848.92</v>
      </c>
      <c r="BE65" s="494">
        <v>819.73</v>
      </c>
      <c r="BF65" s="494">
        <v>611.5</v>
      </c>
      <c r="BG65" s="494">
        <v>1080.04</v>
      </c>
      <c r="BH65" s="494">
        <v>2671800.0099999998</v>
      </c>
      <c r="BI65" s="494">
        <f t="shared" si="36"/>
        <v>4422.8500000000004</v>
      </c>
      <c r="BJ65" s="494">
        <v>14289.54</v>
      </c>
      <c r="BK65" s="494">
        <v>3389.61</v>
      </c>
      <c r="BL65" s="494">
        <v>5995.76</v>
      </c>
      <c r="BM65" s="494">
        <v>548.62</v>
      </c>
      <c r="BN65" s="495" t="e">
        <f t="shared" si="23"/>
        <v>#DIV/0!</v>
      </c>
      <c r="BO65" s="495" t="e">
        <f t="shared" si="24"/>
        <v>#DIV/0!</v>
      </c>
      <c r="BP65" s="495" t="e">
        <f t="shared" si="25"/>
        <v>#DIV/0!</v>
      </c>
      <c r="BQ65" s="495" t="e">
        <f t="shared" si="26"/>
        <v>#DIV/0!</v>
      </c>
      <c r="BR65" s="495" t="e">
        <f t="shared" si="27"/>
        <v>#DIV/0!</v>
      </c>
      <c r="BS65" s="495" t="e">
        <f t="shared" si="28"/>
        <v>#DIV/0!</v>
      </c>
      <c r="BT65" s="495" t="e">
        <f t="shared" si="29"/>
        <v>#DIV/0!</v>
      </c>
      <c r="BU65" s="495" t="str">
        <f t="shared" si="30"/>
        <v xml:space="preserve"> </v>
      </c>
      <c r="BV65" s="495" t="e">
        <f t="shared" si="31"/>
        <v>#DIV/0!</v>
      </c>
      <c r="BW65" s="495" t="e">
        <f t="shared" si="32"/>
        <v>#DIV/0!</v>
      </c>
      <c r="BX65" s="495" t="e">
        <f t="shared" si="33"/>
        <v>#DIV/0!</v>
      </c>
      <c r="BY65" s="495" t="str">
        <f t="shared" si="34"/>
        <v xml:space="preserve"> </v>
      </c>
    </row>
    <row r="66" spans="1:77" s="28" customFormat="1" ht="9" customHeight="1">
      <c r="A66" s="366">
        <v>50</v>
      </c>
      <c r="B66" s="200" t="s">
        <v>526</v>
      </c>
      <c r="C66" s="465">
        <v>2510.5</v>
      </c>
      <c r="D66" s="466"/>
      <c r="E66" s="201" t="s">
        <v>1006</v>
      </c>
      <c r="F66" s="375">
        <f t="shared" si="37"/>
        <v>0</v>
      </c>
      <c r="G66" s="375">
        <v>2179716</v>
      </c>
      <c r="H66" s="205">
        <v>2179716</v>
      </c>
      <c r="I66" s="368">
        <f t="shared" si="11"/>
        <v>0</v>
      </c>
      <c r="J66" s="205">
        <v>0</v>
      </c>
      <c r="K66" s="465">
        <v>0</v>
      </c>
      <c r="L66" s="205">
        <v>0</v>
      </c>
      <c r="M66" s="465">
        <v>0</v>
      </c>
      <c r="N66" s="205">
        <v>0</v>
      </c>
      <c r="O66" s="249">
        <v>0</v>
      </c>
      <c r="P66" s="368">
        <v>0</v>
      </c>
      <c r="Q66" s="249">
        <v>0</v>
      </c>
      <c r="R66" s="368">
        <v>0</v>
      </c>
      <c r="S66" s="249">
        <v>0</v>
      </c>
      <c r="T66" s="368">
        <v>0</v>
      </c>
      <c r="U66" s="130">
        <v>0</v>
      </c>
      <c r="V66" s="368">
        <v>0</v>
      </c>
      <c r="W66" s="368">
        <v>674</v>
      </c>
      <c r="X66" s="368">
        <f t="shared" si="3"/>
        <v>2081628.78</v>
      </c>
      <c r="Y66" s="368">
        <v>0</v>
      </c>
      <c r="Z66" s="368">
        <v>0</v>
      </c>
      <c r="AA66" s="368">
        <v>0</v>
      </c>
      <c r="AB66" s="368">
        <v>0</v>
      </c>
      <c r="AC66" s="368">
        <v>0</v>
      </c>
      <c r="AD66" s="368">
        <v>0</v>
      </c>
      <c r="AE66" s="368">
        <v>0</v>
      </c>
      <c r="AF66" s="368">
        <v>0</v>
      </c>
      <c r="AG66" s="368">
        <v>0</v>
      </c>
      <c r="AH66" s="368">
        <v>0</v>
      </c>
      <c r="AI66" s="368">
        <v>0</v>
      </c>
      <c r="AJ66" s="370">
        <f t="shared" si="35"/>
        <v>65391.48</v>
      </c>
      <c r="AK66" s="370">
        <f t="shared" si="38"/>
        <v>32695.74</v>
      </c>
      <c r="AL66" s="370">
        <v>0</v>
      </c>
      <c r="AM66" s="447">
        <f t="shared" si="39"/>
        <v>3234</v>
      </c>
      <c r="AN66" s="227">
        <v>4621.88</v>
      </c>
      <c r="AP66" s="486" t="e">
        <f t="shared" si="6"/>
        <v>#DIV/0!</v>
      </c>
      <c r="AQ66" s="486" t="e">
        <f t="shared" si="12"/>
        <v>#DIV/0!</v>
      </c>
      <c r="AR66" s="486" t="e">
        <f t="shared" si="13"/>
        <v>#DIV/0!</v>
      </c>
      <c r="AS66" s="486" t="e">
        <f t="shared" si="14"/>
        <v>#DIV/0!</v>
      </c>
      <c r="AT66" s="486" t="e">
        <f t="shared" si="15"/>
        <v>#DIV/0!</v>
      </c>
      <c r="AU66" s="486" t="e">
        <f t="shared" si="16"/>
        <v>#DIV/0!</v>
      </c>
      <c r="AV66" s="486" t="e">
        <f t="shared" si="17"/>
        <v>#DIV/0!</v>
      </c>
      <c r="AW66" s="486">
        <f t="shared" si="18"/>
        <v>3088.4700000000003</v>
      </c>
      <c r="AX66" s="486" t="e">
        <f t="shared" si="19"/>
        <v>#DIV/0!</v>
      </c>
      <c r="AY66" s="486" t="e">
        <f t="shared" si="20"/>
        <v>#DIV/0!</v>
      </c>
      <c r="AZ66" s="486" t="e">
        <f t="shared" si="21"/>
        <v>#DIV/0!</v>
      </c>
      <c r="BA66" s="486">
        <f t="shared" si="7"/>
        <v>0</v>
      </c>
      <c r="BB66" s="494">
        <v>5155.41</v>
      </c>
      <c r="BC66" s="494">
        <v>2070.12</v>
      </c>
      <c r="BD66" s="494">
        <v>848.92</v>
      </c>
      <c r="BE66" s="494">
        <v>819.73</v>
      </c>
      <c r="BF66" s="494">
        <v>611.5</v>
      </c>
      <c r="BG66" s="494">
        <v>1080.04</v>
      </c>
      <c r="BH66" s="494">
        <v>2671800.0099999998</v>
      </c>
      <c r="BI66" s="494">
        <f t="shared" si="36"/>
        <v>4422.8500000000004</v>
      </c>
      <c r="BJ66" s="494">
        <v>14289.54</v>
      </c>
      <c r="BK66" s="494">
        <v>3389.61</v>
      </c>
      <c r="BL66" s="494">
        <v>5995.76</v>
      </c>
      <c r="BM66" s="494">
        <v>548.62</v>
      </c>
      <c r="BN66" s="495" t="e">
        <f t="shared" si="23"/>
        <v>#DIV/0!</v>
      </c>
      <c r="BO66" s="495" t="e">
        <f t="shared" si="24"/>
        <v>#DIV/0!</v>
      </c>
      <c r="BP66" s="495" t="e">
        <f t="shared" si="25"/>
        <v>#DIV/0!</v>
      </c>
      <c r="BQ66" s="495" t="e">
        <f t="shared" si="26"/>
        <v>#DIV/0!</v>
      </c>
      <c r="BR66" s="495" t="e">
        <f t="shared" si="27"/>
        <v>#DIV/0!</v>
      </c>
      <c r="BS66" s="495" t="e">
        <f t="shared" si="28"/>
        <v>#DIV/0!</v>
      </c>
      <c r="BT66" s="495" t="e">
        <f t="shared" si="29"/>
        <v>#DIV/0!</v>
      </c>
      <c r="BU66" s="495" t="str">
        <f t="shared" si="30"/>
        <v xml:space="preserve"> </v>
      </c>
      <c r="BV66" s="495" t="e">
        <f t="shared" si="31"/>
        <v>#DIV/0!</v>
      </c>
      <c r="BW66" s="495" t="e">
        <f t="shared" si="32"/>
        <v>#DIV/0!</v>
      </c>
      <c r="BX66" s="495" t="e">
        <f t="shared" si="33"/>
        <v>#DIV/0!</v>
      </c>
      <c r="BY66" s="495" t="str">
        <f t="shared" si="34"/>
        <v xml:space="preserve"> </v>
      </c>
    </row>
    <row r="67" spans="1:77" s="28" customFormat="1" ht="9" customHeight="1">
      <c r="A67" s="366">
        <v>51</v>
      </c>
      <c r="B67" s="200" t="s">
        <v>527</v>
      </c>
      <c r="C67" s="465">
        <v>1289.3</v>
      </c>
      <c r="D67" s="466"/>
      <c r="E67" s="201" t="s">
        <v>1006</v>
      </c>
      <c r="F67" s="375">
        <f t="shared" si="37"/>
        <v>0</v>
      </c>
      <c r="G67" s="375">
        <v>1853082</v>
      </c>
      <c r="H67" s="205">
        <v>1853082</v>
      </c>
      <c r="I67" s="368">
        <f t="shared" si="11"/>
        <v>0</v>
      </c>
      <c r="J67" s="205">
        <v>0</v>
      </c>
      <c r="K67" s="465">
        <v>0</v>
      </c>
      <c r="L67" s="205">
        <v>0</v>
      </c>
      <c r="M67" s="465">
        <v>0</v>
      </c>
      <c r="N67" s="205">
        <v>0</v>
      </c>
      <c r="O67" s="249">
        <v>0</v>
      </c>
      <c r="P67" s="368">
        <v>0</v>
      </c>
      <c r="Q67" s="249">
        <v>0</v>
      </c>
      <c r="R67" s="368">
        <v>0</v>
      </c>
      <c r="S67" s="249">
        <v>0</v>
      </c>
      <c r="T67" s="368">
        <v>0</v>
      </c>
      <c r="U67" s="130">
        <v>0</v>
      </c>
      <c r="V67" s="368">
        <v>0</v>
      </c>
      <c r="W67" s="368">
        <v>573</v>
      </c>
      <c r="X67" s="368">
        <f t="shared" si="3"/>
        <v>1769693.31</v>
      </c>
      <c r="Y67" s="368">
        <v>0</v>
      </c>
      <c r="Z67" s="368">
        <v>0</v>
      </c>
      <c r="AA67" s="368">
        <v>0</v>
      </c>
      <c r="AB67" s="368">
        <v>0</v>
      </c>
      <c r="AC67" s="368">
        <v>0</v>
      </c>
      <c r="AD67" s="368">
        <v>0</v>
      </c>
      <c r="AE67" s="368">
        <v>0</v>
      </c>
      <c r="AF67" s="368">
        <v>0</v>
      </c>
      <c r="AG67" s="368">
        <v>0</v>
      </c>
      <c r="AH67" s="368">
        <v>0</v>
      </c>
      <c r="AI67" s="368">
        <v>0</v>
      </c>
      <c r="AJ67" s="370">
        <f t="shared" si="35"/>
        <v>55592.46</v>
      </c>
      <c r="AK67" s="370">
        <f t="shared" si="38"/>
        <v>27796.23</v>
      </c>
      <c r="AL67" s="370">
        <v>0</v>
      </c>
      <c r="AM67" s="447">
        <f t="shared" si="39"/>
        <v>3234</v>
      </c>
      <c r="AN67" s="227">
        <v>4621.88</v>
      </c>
      <c r="AP67" s="486" t="e">
        <f t="shared" si="6"/>
        <v>#DIV/0!</v>
      </c>
      <c r="AQ67" s="486" t="e">
        <f t="shared" si="12"/>
        <v>#DIV/0!</v>
      </c>
      <c r="AR67" s="486" t="e">
        <f t="shared" si="13"/>
        <v>#DIV/0!</v>
      </c>
      <c r="AS67" s="486" t="e">
        <f t="shared" si="14"/>
        <v>#DIV/0!</v>
      </c>
      <c r="AT67" s="486" t="e">
        <f t="shared" si="15"/>
        <v>#DIV/0!</v>
      </c>
      <c r="AU67" s="486" t="e">
        <f t="shared" si="16"/>
        <v>#DIV/0!</v>
      </c>
      <c r="AV67" s="486" t="e">
        <f t="shared" si="17"/>
        <v>#DIV/0!</v>
      </c>
      <c r="AW67" s="486">
        <f t="shared" si="18"/>
        <v>3088.4700000000003</v>
      </c>
      <c r="AX67" s="486" t="e">
        <f t="shared" si="19"/>
        <v>#DIV/0!</v>
      </c>
      <c r="AY67" s="486" t="e">
        <f t="shared" si="20"/>
        <v>#DIV/0!</v>
      </c>
      <c r="AZ67" s="486" t="e">
        <f t="shared" si="21"/>
        <v>#DIV/0!</v>
      </c>
      <c r="BA67" s="486">
        <f t="shared" si="7"/>
        <v>0</v>
      </c>
      <c r="BB67" s="494">
        <v>5155.41</v>
      </c>
      <c r="BC67" s="494">
        <v>2070.12</v>
      </c>
      <c r="BD67" s="494">
        <v>848.92</v>
      </c>
      <c r="BE67" s="494">
        <v>819.73</v>
      </c>
      <c r="BF67" s="494">
        <v>611.5</v>
      </c>
      <c r="BG67" s="494">
        <v>1080.04</v>
      </c>
      <c r="BH67" s="494">
        <v>2671800.0099999998</v>
      </c>
      <c r="BI67" s="494">
        <f t="shared" si="36"/>
        <v>4422.8500000000004</v>
      </c>
      <c r="BJ67" s="494">
        <v>14289.54</v>
      </c>
      <c r="BK67" s="494">
        <v>3389.61</v>
      </c>
      <c r="BL67" s="494">
        <v>5995.76</v>
      </c>
      <c r="BM67" s="494">
        <v>548.62</v>
      </c>
      <c r="BN67" s="495" t="e">
        <f t="shared" si="23"/>
        <v>#DIV/0!</v>
      </c>
      <c r="BO67" s="495" t="e">
        <f t="shared" si="24"/>
        <v>#DIV/0!</v>
      </c>
      <c r="BP67" s="495" t="e">
        <f t="shared" si="25"/>
        <v>#DIV/0!</v>
      </c>
      <c r="BQ67" s="495" t="e">
        <f t="shared" si="26"/>
        <v>#DIV/0!</v>
      </c>
      <c r="BR67" s="495" t="e">
        <f t="shared" si="27"/>
        <v>#DIV/0!</v>
      </c>
      <c r="BS67" s="495" t="e">
        <f t="shared" si="28"/>
        <v>#DIV/0!</v>
      </c>
      <c r="BT67" s="495" t="e">
        <f t="shared" si="29"/>
        <v>#DIV/0!</v>
      </c>
      <c r="BU67" s="495" t="str">
        <f t="shared" si="30"/>
        <v xml:space="preserve"> </v>
      </c>
      <c r="BV67" s="495" t="e">
        <f t="shared" si="31"/>
        <v>#DIV/0!</v>
      </c>
      <c r="BW67" s="495" t="e">
        <f t="shared" si="32"/>
        <v>#DIV/0!</v>
      </c>
      <c r="BX67" s="495" t="e">
        <f t="shared" si="33"/>
        <v>#DIV/0!</v>
      </c>
      <c r="BY67" s="495" t="str">
        <f t="shared" si="34"/>
        <v xml:space="preserve"> </v>
      </c>
    </row>
    <row r="68" spans="1:77" s="28" customFormat="1" ht="9" customHeight="1">
      <c r="A68" s="366">
        <v>52</v>
      </c>
      <c r="B68" s="200" t="s">
        <v>528</v>
      </c>
      <c r="C68" s="465">
        <v>3491</v>
      </c>
      <c r="D68" s="308"/>
      <c r="E68" s="141" t="s">
        <v>1005</v>
      </c>
      <c r="F68" s="375">
        <f t="shared" si="37"/>
        <v>0</v>
      </c>
      <c r="G68" s="374">
        <v>3660732</v>
      </c>
      <c r="H68" s="205">
        <v>3660732</v>
      </c>
      <c r="I68" s="368">
        <f t="shared" si="11"/>
        <v>0</v>
      </c>
      <c r="J68" s="205">
        <v>0</v>
      </c>
      <c r="K68" s="465">
        <v>0</v>
      </c>
      <c r="L68" s="205">
        <v>0</v>
      </c>
      <c r="M68" s="465">
        <v>0</v>
      </c>
      <c r="N68" s="205">
        <v>0</v>
      </c>
      <c r="O68" s="249">
        <v>0</v>
      </c>
      <c r="P68" s="368">
        <v>0</v>
      </c>
      <c r="Q68" s="249">
        <v>0</v>
      </c>
      <c r="R68" s="368">
        <v>0</v>
      </c>
      <c r="S68" s="249">
        <v>0</v>
      </c>
      <c r="T68" s="368">
        <v>0</v>
      </c>
      <c r="U68" s="130">
        <v>0</v>
      </c>
      <c r="V68" s="368">
        <v>0</v>
      </c>
      <c r="W68" s="368">
        <v>1098</v>
      </c>
      <c r="X68" s="368">
        <f t="shared" si="3"/>
        <v>3495999.06</v>
      </c>
      <c r="Y68" s="368">
        <v>0</v>
      </c>
      <c r="Z68" s="368">
        <v>0</v>
      </c>
      <c r="AA68" s="368">
        <v>0</v>
      </c>
      <c r="AB68" s="368">
        <v>0</v>
      </c>
      <c r="AC68" s="368">
        <v>0</v>
      </c>
      <c r="AD68" s="368">
        <v>0</v>
      </c>
      <c r="AE68" s="368">
        <v>0</v>
      </c>
      <c r="AF68" s="368">
        <v>0</v>
      </c>
      <c r="AG68" s="368">
        <v>0</v>
      </c>
      <c r="AH68" s="368">
        <v>0</v>
      </c>
      <c r="AI68" s="368">
        <v>0</v>
      </c>
      <c r="AJ68" s="370">
        <f t="shared" si="35"/>
        <v>109821.96</v>
      </c>
      <c r="AK68" s="370">
        <f t="shared" si="38"/>
        <v>54910.98</v>
      </c>
      <c r="AL68" s="370">
        <v>0</v>
      </c>
      <c r="AM68" s="447">
        <f t="shared" si="39"/>
        <v>3334</v>
      </c>
      <c r="AN68" s="227">
        <v>4814.95</v>
      </c>
      <c r="AP68" s="486" t="e">
        <f t="shared" si="6"/>
        <v>#DIV/0!</v>
      </c>
      <c r="AQ68" s="486" t="e">
        <f t="shared" si="12"/>
        <v>#DIV/0!</v>
      </c>
      <c r="AR68" s="486" t="e">
        <f t="shared" si="13"/>
        <v>#DIV/0!</v>
      </c>
      <c r="AS68" s="486" t="e">
        <f t="shared" si="14"/>
        <v>#DIV/0!</v>
      </c>
      <c r="AT68" s="486" t="e">
        <f t="shared" si="15"/>
        <v>#DIV/0!</v>
      </c>
      <c r="AU68" s="486" t="e">
        <f t="shared" si="16"/>
        <v>#DIV/0!</v>
      </c>
      <c r="AV68" s="486" t="e">
        <f t="shared" si="17"/>
        <v>#DIV/0!</v>
      </c>
      <c r="AW68" s="486">
        <f t="shared" si="18"/>
        <v>3183.9700000000003</v>
      </c>
      <c r="AX68" s="486" t="e">
        <f t="shared" si="19"/>
        <v>#DIV/0!</v>
      </c>
      <c r="AY68" s="486" t="e">
        <f t="shared" si="20"/>
        <v>#DIV/0!</v>
      </c>
      <c r="AZ68" s="486" t="e">
        <f t="shared" si="21"/>
        <v>#DIV/0!</v>
      </c>
      <c r="BA68" s="486">
        <f t="shared" si="7"/>
        <v>0</v>
      </c>
      <c r="BB68" s="494">
        <v>5155.41</v>
      </c>
      <c r="BC68" s="494">
        <v>2070.12</v>
      </c>
      <c r="BD68" s="494">
        <v>848.92</v>
      </c>
      <c r="BE68" s="494">
        <v>819.73</v>
      </c>
      <c r="BF68" s="494">
        <v>611.5</v>
      </c>
      <c r="BG68" s="494">
        <v>1080.04</v>
      </c>
      <c r="BH68" s="494">
        <v>2671800.0099999998</v>
      </c>
      <c r="BI68" s="494">
        <f t="shared" si="36"/>
        <v>4607.6000000000004</v>
      </c>
      <c r="BJ68" s="494">
        <v>14289.54</v>
      </c>
      <c r="BK68" s="494">
        <v>3389.61</v>
      </c>
      <c r="BL68" s="494">
        <v>5995.76</v>
      </c>
      <c r="BM68" s="494">
        <v>548.62</v>
      </c>
      <c r="BN68" s="495" t="e">
        <f t="shared" si="23"/>
        <v>#DIV/0!</v>
      </c>
      <c r="BO68" s="495" t="e">
        <f t="shared" si="24"/>
        <v>#DIV/0!</v>
      </c>
      <c r="BP68" s="495" t="e">
        <f t="shared" si="25"/>
        <v>#DIV/0!</v>
      </c>
      <c r="BQ68" s="495" t="e">
        <f t="shared" si="26"/>
        <v>#DIV/0!</v>
      </c>
      <c r="BR68" s="495" t="e">
        <f t="shared" si="27"/>
        <v>#DIV/0!</v>
      </c>
      <c r="BS68" s="495" t="e">
        <f t="shared" si="28"/>
        <v>#DIV/0!</v>
      </c>
      <c r="BT68" s="495" t="e">
        <f t="shared" si="29"/>
        <v>#DIV/0!</v>
      </c>
      <c r="BU68" s="495" t="str">
        <f t="shared" si="30"/>
        <v xml:space="preserve"> </v>
      </c>
      <c r="BV68" s="495" t="e">
        <f t="shared" si="31"/>
        <v>#DIV/0!</v>
      </c>
      <c r="BW68" s="495" t="e">
        <f t="shared" si="32"/>
        <v>#DIV/0!</v>
      </c>
      <c r="BX68" s="495" t="e">
        <f t="shared" si="33"/>
        <v>#DIV/0!</v>
      </c>
      <c r="BY68" s="495" t="str">
        <f t="shared" si="34"/>
        <v xml:space="preserve"> </v>
      </c>
    </row>
    <row r="69" spans="1:77" s="28" customFormat="1" ht="9" customHeight="1">
      <c r="A69" s="366">
        <v>53</v>
      </c>
      <c r="B69" s="200" t="s">
        <v>529</v>
      </c>
      <c r="C69" s="465">
        <v>5053</v>
      </c>
      <c r="D69" s="308"/>
      <c r="E69" s="141" t="s">
        <v>1005</v>
      </c>
      <c r="F69" s="375">
        <f t="shared" si="37"/>
        <v>0</v>
      </c>
      <c r="G69" s="374">
        <v>4790958</v>
      </c>
      <c r="H69" s="205">
        <v>4790958</v>
      </c>
      <c r="I69" s="368">
        <f t="shared" si="11"/>
        <v>0</v>
      </c>
      <c r="J69" s="205">
        <v>0</v>
      </c>
      <c r="K69" s="465">
        <v>0</v>
      </c>
      <c r="L69" s="205">
        <v>0</v>
      </c>
      <c r="M69" s="465">
        <v>0</v>
      </c>
      <c r="N69" s="205">
        <v>0</v>
      </c>
      <c r="O69" s="249">
        <v>0</v>
      </c>
      <c r="P69" s="368">
        <v>0</v>
      </c>
      <c r="Q69" s="249">
        <v>0</v>
      </c>
      <c r="R69" s="368">
        <v>0</v>
      </c>
      <c r="S69" s="249">
        <v>0</v>
      </c>
      <c r="T69" s="368">
        <v>0</v>
      </c>
      <c r="U69" s="130">
        <v>0</v>
      </c>
      <c r="V69" s="368">
        <v>0</v>
      </c>
      <c r="W69" s="368">
        <v>1437</v>
      </c>
      <c r="X69" s="368">
        <f t="shared" si="3"/>
        <v>4575364.8899999997</v>
      </c>
      <c r="Y69" s="368">
        <v>0</v>
      </c>
      <c r="Z69" s="368">
        <v>0</v>
      </c>
      <c r="AA69" s="368">
        <v>0</v>
      </c>
      <c r="AB69" s="368">
        <v>0</v>
      </c>
      <c r="AC69" s="368">
        <v>0</v>
      </c>
      <c r="AD69" s="368">
        <v>0</v>
      </c>
      <c r="AE69" s="368">
        <v>0</v>
      </c>
      <c r="AF69" s="368">
        <v>0</v>
      </c>
      <c r="AG69" s="368">
        <v>0</v>
      </c>
      <c r="AH69" s="368">
        <v>0</v>
      </c>
      <c r="AI69" s="368">
        <v>0</v>
      </c>
      <c r="AJ69" s="370">
        <f t="shared" si="35"/>
        <v>143728.74</v>
      </c>
      <c r="AK69" s="370">
        <f t="shared" si="38"/>
        <v>71864.37</v>
      </c>
      <c r="AL69" s="370">
        <v>0</v>
      </c>
      <c r="AM69" s="447">
        <f t="shared" si="39"/>
        <v>3334</v>
      </c>
      <c r="AN69" s="227">
        <v>4814.95</v>
      </c>
      <c r="AP69" s="486" t="e">
        <f t="shared" si="6"/>
        <v>#DIV/0!</v>
      </c>
      <c r="AQ69" s="486" t="e">
        <f t="shared" si="12"/>
        <v>#DIV/0!</v>
      </c>
      <c r="AR69" s="486" t="e">
        <f t="shared" si="13"/>
        <v>#DIV/0!</v>
      </c>
      <c r="AS69" s="486" t="e">
        <f t="shared" si="14"/>
        <v>#DIV/0!</v>
      </c>
      <c r="AT69" s="486" t="e">
        <f t="shared" si="15"/>
        <v>#DIV/0!</v>
      </c>
      <c r="AU69" s="486" t="e">
        <f t="shared" si="16"/>
        <v>#DIV/0!</v>
      </c>
      <c r="AV69" s="486" t="e">
        <f t="shared" si="17"/>
        <v>#DIV/0!</v>
      </c>
      <c r="AW69" s="486">
        <f t="shared" si="18"/>
        <v>3183.97</v>
      </c>
      <c r="AX69" s="486" t="e">
        <f t="shared" si="19"/>
        <v>#DIV/0!</v>
      </c>
      <c r="AY69" s="486" t="e">
        <f t="shared" si="20"/>
        <v>#DIV/0!</v>
      </c>
      <c r="AZ69" s="486" t="e">
        <f t="shared" si="21"/>
        <v>#DIV/0!</v>
      </c>
      <c r="BA69" s="486">
        <f t="shared" si="7"/>
        <v>0</v>
      </c>
      <c r="BB69" s="494">
        <v>5155.41</v>
      </c>
      <c r="BC69" s="494">
        <v>2070.12</v>
      </c>
      <c r="BD69" s="494">
        <v>848.92</v>
      </c>
      <c r="BE69" s="494">
        <v>819.73</v>
      </c>
      <c r="BF69" s="494">
        <v>611.5</v>
      </c>
      <c r="BG69" s="494">
        <v>1080.04</v>
      </c>
      <c r="BH69" s="494">
        <v>2671800.0099999998</v>
      </c>
      <c r="BI69" s="494">
        <f t="shared" si="36"/>
        <v>4607.6000000000004</v>
      </c>
      <c r="BJ69" s="494">
        <v>14289.54</v>
      </c>
      <c r="BK69" s="494">
        <v>3389.61</v>
      </c>
      <c r="BL69" s="494">
        <v>5995.76</v>
      </c>
      <c r="BM69" s="494">
        <v>548.62</v>
      </c>
      <c r="BN69" s="495" t="e">
        <f t="shared" si="23"/>
        <v>#DIV/0!</v>
      </c>
      <c r="BO69" s="495" t="e">
        <f t="shared" si="24"/>
        <v>#DIV/0!</v>
      </c>
      <c r="BP69" s="495" t="e">
        <f t="shared" si="25"/>
        <v>#DIV/0!</v>
      </c>
      <c r="BQ69" s="495" t="e">
        <f t="shared" si="26"/>
        <v>#DIV/0!</v>
      </c>
      <c r="BR69" s="495" t="e">
        <f t="shared" si="27"/>
        <v>#DIV/0!</v>
      </c>
      <c r="BS69" s="495" t="e">
        <f t="shared" si="28"/>
        <v>#DIV/0!</v>
      </c>
      <c r="BT69" s="495" t="e">
        <f t="shared" si="29"/>
        <v>#DIV/0!</v>
      </c>
      <c r="BU69" s="495" t="str">
        <f t="shared" si="30"/>
        <v xml:space="preserve"> </v>
      </c>
      <c r="BV69" s="495" t="e">
        <f t="shared" si="31"/>
        <v>#DIV/0!</v>
      </c>
      <c r="BW69" s="495" t="e">
        <f t="shared" si="32"/>
        <v>#DIV/0!</v>
      </c>
      <c r="BX69" s="495" t="e">
        <f t="shared" si="33"/>
        <v>#DIV/0!</v>
      </c>
      <c r="BY69" s="495" t="str">
        <f t="shared" si="34"/>
        <v xml:space="preserve"> </v>
      </c>
    </row>
    <row r="70" spans="1:77" s="28" customFormat="1" ht="9" customHeight="1">
      <c r="A70" s="366">
        <v>54</v>
      </c>
      <c r="B70" s="200" t="s">
        <v>530</v>
      </c>
      <c r="C70" s="465">
        <v>2528.1000000000004</v>
      </c>
      <c r="D70" s="308"/>
      <c r="E70" s="141" t="s">
        <v>1005</v>
      </c>
      <c r="F70" s="375">
        <f t="shared" si="37"/>
        <v>0</v>
      </c>
      <c r="G70" s="374">
        <v>2371474.2000000002</v>
      </c>
      <c r="H70" s="205">
        <v>2371474.2000000002</v>
      </c>
      <c r="I70" s="368">
        <f t="shared" si="11"/>
        <v>0</v>
      </c>
      <c r="J70" s="205">
        <v>0</v>
      </c>
      <c r="K70" s="465">
        <v>0</v>
      </c>
      <c r="L70" s="205">
        <v>0</v>
      </c>
      <c r="M70" s="465">
        <v>0</v>
      </c>
      <c r="N70" s="205">
        <v>0</v>
      </c>
      <c r="O70" s="249">
        <v>0</v>
      </c>
      <c r="P70" s="368">
        <v>0</v>
      </c>
      <c r="Q70" s="249">
        <v>0</v>
      </c>
      <c r="R70" s="368">
        <v>0</v>
      </c>
      <c r="S70" s="249">
        <v>0</v>
      </c>
      <c r="T70" s="368">
        <v>0</v>
      </c>
      <c r="U70" s="130">
        <v>0</v>
      </c>
      <c r="V70" s="368">
        <v>0</v>
      </c>
      <c r="W70" s="368">
        <v>711.3</v>
      </c>
      <c r="X70" s="368">
        <f t="shared" si="3"/>
        <v>2264757.86</v>
      </c>
      <c r="Y70" s="368">
        <v>0</v>
      </c>
      <c r="Z70" s="368">
        <v>0</v>
      </c>
      <c r="AA70" s="368">
        <v>0</v>
      </c>
      <c r="AB70" s="368">
        <v>0</v>
      </c>
      <c r="AC70" s="368">
        <v>0</v>
      </c>
      <c r="AD70" s="368">
        <v>0</v>
      </c>
      <c r="AE70" s="368">
        <v>0</v>
      </c>
      <c r="AF70" s="368">
        <v>0</v>
      </c>
      <c r="AG70" s="368">
        <v>0</v>
      </c>
      <c r="AH70" s="368">
        <v>0</v>
      </c>
      <c r="AI70" s="368">
        <v>0</v>
      </c>
      <c r="AJ70" s="370">
        <f t="shared" si="35"/>
        <v>71144.23</v>
      </c>
      <c r="AK70" s="370">
        <f t="shared" si="38"/>
        <v>35572.11</v>
      </c>
      <c r="AL70" s="370">
        <v>0</v>
      </c>
      <c r="AM70" s="447">
        <f t="shared" si="39"/>
        <v>3334.0000000000005</v>
      </c>
      <c r="AN70" s="227">
        <v>4814.95</v>
      </c>
      <c r="AP70" s="486" t="e">
        <f t="shared" si="6"/>
        <v>#DIV/0!</v>
      </c>
      <c r="AQ70" s="486" t="e">
        <f t="shared" si="12"/>
        <v>#DIV/0!</v>
      </c>
      <c r="AR70" s="486" t="e">
        <f t="shared" si="13"/>
        <v>#DIV/0!</v>
      </c>
      <c r="AS70" s="486" t="e">
        <f t="shared" si="14"/>
        <v>#DIV/0!</v>
      </c>
      <c r="AT70" s="486" t="e">
        <f t="shared" si="15"/>
        <v>#DIV/0!</v>
      </c>
      <c r="AU70" s="486" t="e">
        <f t="shared" si="16"/>
        <v>#DIV/0!</v>
      </c>
      <c r="AV70" s="486" t="e">
        <f t="shared" si="17"/>
        <v>#DIV/0!</v>
      </c>
      <c r="AW70" s="486">
        <f t="shared" si="18"/>
        <v>3183.9699985941234</v>
      </c>
      <c r="AX70" s="486" t="e">
        <f t="shared" si="19"/>
        <v>#DIV/0!</v>
      </c>
      <c r="AY70" s="486" t="e">
        <f t="shared" si="20"/>
        <v>#DIV/0!</v>
      </c>
      <c r="AZ70" s="486" t="e">
        <f t="shared" si="21"/>
        <v>#DIV/0!</v>
      </c>
      <c r="BA70" s="486">
        <f t="shared" si="7"/>
        <v>0</v>
      </c>
      <c r="BB70" s="494">
        <v>5155.41</v>
      </c>
      <c r="BC70" s="494">
        <v>2070.12</v>
      </c>
      <c r="BD70" s="494">
        <v>848.92</v>
      </c>
      <c r="BE70" s="494">
        <v>819.73</v>
      </c>
      <c r="BF70" s="494">
        <v>611.5</v>
      </c>
      <c r="BG70" s="494">
        <v>1080.04</v>
      </c>
      <c r="BH70" s="494">
        <v>2671800.0099999998</v>
      </c>
      <c r="BI70" s="494">
        <f t="shared" si="36"/>
        <v>4607.6000000000004</v>
      </c>
      <c r="BJ70" s="494">
        <v>14289.54</v>
      </c>
      <c r="BK70" s="494">
        <v>3389.61</v>
      </c>
      <c r="BL70" s="494">
        <v>5995.76</v>
      </c>
      <c r="BM70" s="494">
        <v>548.62</v>
      </c>
      <c r="BN70" s="495" t="e">
        <f t="shared" si="23"/>
        <v>#DIV/0!</v>
      </c>
      <c r="BO70" s="495" t="e">
        <f t="shared" si="24"/>
        <v>#DIV/0!</v>
      </c>
      <c r="BP70" s="495" t="e">
        <f t="shared" si="25"/>
        <v>#DIV/0!</v>
      </c>
      <c r="BQ70" s="495" t="e">
        <f t="shared" si="26"/>
        <v>#DIV/0!</v>
      </c>
      <c r="BR70" s="495" t="e">
        <f t="shared" si="27"/>
        <v>#DIV/0!</v>
      </c>
      <c r="BS70" s="495" t="e">
        <f t="shared" si="28"/>
        <v>#DIV/0!</v>
      </c>
      <c r="BT70" s="495" t="e">
        <f t="shared" si="29"/>
        <v>#DIV/0!</v>
      </c>
      <c r="BU70" s="495" t="str">
        <f t="shared" si="30"/>
        <v xml:space="preserve"> </v>
      </c>
      <c r="BV70" s="495" t="e">
        <f t="shared" si="31"/>
        <v>#DIV/0!</v>
      </c>
      <c r="BW70" s="495" t="e">
        <f t="shared" si="32"/>
        <v>#DIV/0!</v>
      </c>
      <c r="BX70" s="495" t="e">
        <f t="shared" si="33"/>
        <v>#DIV/0!</v>
      </c>
      <c r="BY70" s="495" t="str">
        <f t="shared" si="34"/>
        <v xml:space="preserve"> </v>
      </c>
    </row>
    <row r="71" spans="1:77" s="28" customFormat="1" ht="9" customHeight="1">
      <c r="A71" s="366">
        <v>55</v>
      </c>
      <c r="B71" s="200" t="s">
        <v>531</v>
      </c>
      <c r="C71" s="465">
        <v>4736.3</v>
      </c>
      <c r="D71" s="308"/>
      <c r="E71" s="141" t="s">
        <v>1005</v>
      </c>
      <c r="F71" s="375">
        <f t="shared" si="37"/>
        <v>0</v>
      </c>
      <c r="G71" s="374">
        <v>4380876</v>
      </c>
      <c r="H71" s="205">
        <v>4380876</v>
      </c>
      <c r="I71" s="368">
        <f t="shared" si="11"/>
        <v>0</v>
      </c>
      <c r="J71" s="205">
        <v>0</v>
      </c>
      <c r="K71" s="465">
        <v>0</v>
      </c>
      <c r="L71" s="205">
        <v>0</v>
      </c>
      <c r="M71" s="465">
        <v>0</v>
      </c>
      <c r="N71" s="205">
        <v>0</v>
      </c>
      <c r="O71" s="249">
        <v>0</v>
      </c>
      <c r="P71" s="368">
        <v>0</v>
      </c>
      <c r="Q71" s="249">
        <v>0</v>
      </c>
      <c r="R71" s="368">
        <v>0</v>
      </c>
      <c r="S71" s="249">
        <v>0</v>
      </c>
      <c r="T71" s="368">
        <v>0</v>
      </c>
      <c r="U71" s="130">
        <v>0</v>
      </c>
      <c r="V71" s="368">
        <v>0</v>
      </c>
      <c r="W71" s="368">
        <v>1314</v>
      </c>
      <c r="X71" s="368">
        <f t="shared" si="3"/>
        <v>4183736.58</v>
      </c>
      <c r="Y71" s="368">
        <v>0</v>
      </c>
      <c r="Z71" s="368">
        <v>0</v>
      </c>
      <c r="AA71" s="368">
        <v>0</v>
      </c>
      <c r="AB71" s="368">
        <v>0</v>
      </c>
      <c r="AC71" s="368">
        <v>0</v>
      </c>
      <c r="AD71" s="368">
        <v>0</v>
      </c>
      <c r="AE71" s="368">
        <v>0</v>
      </c>
      <c r="AF71" s="368">
        <v>0</v>
      </c>
      <c r="AG71" s="368">
        <v>0</v>
      </c>
      <c r="AH71" s="368">
        <v>0</v>
      </c>
      <c r="AI71" s="368">
        <v>0</v>
      </c>
      <c r="AJ71" s="370">
        <f t="shared" si="35"/>
        <v>131426.28</v>
      </c>
      <c r="AK71" s="370">
        <f t="shared" si="38"/>
        <v>65713.14</v>
      </c>
      <c r="AL71" s="370">
        <v>0</v>
      </c>
      <c r="AM71" s="447">
        <f t="shared" si="39"/>
        <v>3334</v>
      </c>
      <c r="AN71" s="227">
        <v>4814.95</v>
      </c>
      <c r="AP71" s="486" t="e">
        <f t="shared" si="6"/>
        <v>#DIV/0!</v>
      </c>
      <c r="AQ71" s="486" t="e">
        <f t="shared" si="12"/>
        <v>#DIV/0!</v>
      </c>
      <c r="AR71" s="486" t="e">
        <f t="shared" si="13"/>
        <v>#DIV/0!</v>
      </c>
      <c r="AS71" s="486" t="e">
        <f t="shared" si="14"/>
        <v>#DIV/0!</v>
      </c>
      <c r="AT71" s="486" t="e">
        <f t="shared" si="15"/>
        <v>#DIV/0!</v>
      </c>
      <c r="AU71" s="486" t="e">
        <f t="shared" si="16"/>
        <v>#DIV/0!</v>
      </c>
      <c r="AV71" s="486" t="e">
        <f t="shared" si="17"/>
        <v>#DIV/0!</v>
      </c>
      <c r="AW71" s="486">
        <f t="shared" si="18"/>
        <v>3183.9700000000003</v>
      </c>
      <c r="AX71" s="486" t="e">
        <f t="shared" si="19"/>
        <v>#DIV/0!</v>
      </c>
      <c r="AY71" s="486" t="e">
        <f t="shared" si="20"/>
        <v>#DIV/0!</v>
      </c>
      <c r="AZ71" s="486" t="e">
        <f t="shared" si="21"/>
        <v>#DIV/0!</v>
      </c>
      <c r="BA71" s="486">
        <f t="shared" si="7"/>
        <v>0</v>
      </c>
      <c r="BB71" s="494">
        <v>5155.41</v>
      </c>
      <c r="BC71" s="494">
        <v>2070.12</v>
      </c>
      <c r="BD71" s="494">
        <v>848.92</v>
      </c>
      <c r="BE71" s="494">
        <v>819.73</v>
      </c>
      <c r="BF71" s="494">
        <v>611.5</v>
      </c>
      <c r="BG71" s="494">
        <v>1080.04</v>
      </c>
      <c r="BH71" s="494">
        <v>2671800.0099999998</v>
      </c>
      <c r="BI71" s="494">
        <f t="shared" si="36"/>
        <v>4607.6000000000004</v>
      </c>
      <c r="BJ71" s="494">
        <v>14289.54</v>
      </c>
      <c r="BK71" s="494">
        <v>3389.61</v>
      </c>
      <c r="BL71" s="494">
        <v>5995.76</v>
      </c>
      <c r="BM71" s="494">
        <v>548.62</v>
      </c>
      <c r="BN71" s="495" t="e">
        <f t="shared" si="23"/>
        <v>#DIV/0!</v>
      </c>
      <c r="BO71" s="495" t="e">
        <f t="shared" si="24"/>
        <v>#DIV/0!</v>
      </c>
      <c r="BP71" s="495" t="e">
        <f t="shared" si="25"/>
        <v>#DIV/0!</v>
      </c>
      <c r="BQ71" s="495" t="e">
        <f t="shared" si="26"/>
        <v>#DIV/0!</v>
      </c>
      <c r="BR71" s="495" t="e">
        <f t="shared" si="27"/>
        <v>#DIV/0!</v>
      </c>
      <c r="BS71" s="495" t="e">
        <f t="shared" si="28"/>
        <v>#DIV/0!</v>
      </c>
      <c r="BT71" s="495" t="e">
        <f t="shared" si="29"/>
        <v>#DIV/0!</v>
      </c>
      <c r="BU71" s="495" t="str">
        <f t="shared" si="30"/>
        <v xml:space="preserve"> </v>
      </c>
      <c r="BV71" s="495" t="e">
        <f t="shared" si="31"/>
        <v>#DIV/0!</v>
      </c>
      <c r="BW71" s="495" t="e">
        <f t="shared" si="32"/>
        <v>#DIV/0!</v>
      </c>
      <c r="BX71" s="495" t="e">
        <f t="shared" si="33"/>
        <v>#DIV/0!</v>
      </c>
      <c r="BY71" s="495" t="str">
        <f t="shared" si="34"/>
        <v xml:space="preserve"> </v>
      </c>
    </row>
    <row r="72" spans="1:77" s="28" customFormat="1" ht="9" customHeight="1">
      <c r="A72" s="366">
        <v>56</v>
      </c>
      <c r="B72" s="200" t="s">
        <v>532</v>
      </c>
      <c r="C72" s="465">
        <v>1897.7</v>
      </c>
      <c r="D72" s="466"/>
      <c r="E72" s="201" t="s">
        <v>1006</v>
      </c>
      <c r="F72" s="375">
        <f t="shared" si="37"/>
        <v>0</v>
      </c>
      <c r="G72" s="375">
        <v>5303760</v>
      </c>
      <c r="H72" s="205">
        <v>5303760</v>
      </c>
      <c r="I72" s="368">
        <f t="shared" si="11"/>
        <v>0</v>
      </c>
      <c r="J72" s="205">
        <v>0</v>
      </c>
      <c r="K72" s="465">
        <v>0</v>
      </c>
      <c r="L72" s="205">
        <v>0</v>
      </c>
      <c r="M72" s="465">
        <v>0</v>
      </c>
      <c r="N72" s="205">
        <v>0</v>
      </c>
      <c r="O72" s="249">
        <v>0</v>
      </c>
      <c r="P72" s="368">
        <v>0</v>
      </c>
      <c r="Q72" s="249">
        <v>0</v>
      </c>
      <c r="R72" s="368">
        <v>0</v>
      </c>
      <c r="S72" s="249">
        <v>0</v>
      </c>
      <c r="T72" s="368">
        <v>0</v>
      </c>
      <c r="U72" s="130">
        <v>0</v>
      </c>
      <c r="V72" s="368">
        <v>0</v>
      </c>
      <c r="W72" s="368">
        <v>1640</v>
      </c>
      <c r="X72" s="368">
        <f t="shared" si="3"/>
        <v>5065090.8</v>
      </c>
      <c r="Y72" s="368">
        <v>0</v>
      </c>
      <c r="Z72" s="368">
        <v>0</v>
      </c>
      <c r="AA72" s="368">
        <v>0</v>
      </c>
      <c r="AB72" s="368">
        <v>0</v>
      </c>
      <c r="AC72" s="368">
        <v>0</v>
      </c>
      <c r="AD72" s="368">
        <v>0</v>
      </c>
      <c r="AE72" s="368">
        <v>0</v>
      </c>
      <c r="AF72" s="368">
        <v>0</v>
      </c>
      <c r="AG72" s="368">
        <v>0</v>
      </c>
      <c r="AH72" s="368">
        <v>0</v>
      </c>
      <c r="AI72" s="368">
        <v>0</v>
      </c>
      <c r="AJ72" s="370">
        <f t="shared" si="35"/>
        <v>159112.79999999999</v>
      </c>
      <c r="AK72" s="370">
        <f t="shared" si="38"/>
        <v>79556.399999999994</v>
      </c>
      <c r="AL72" s="370">
        <v>0</v>
      </c>
      <c r="AM72" s="447">
        <f t="shared" si="39"/>
        <v>3234</v>
      </c>
      <c r="AN72" s="227">
        <v>4621.88</v>
      </c>
      <c r="AP72" s="486" t="e">
        <f t="shared" si="6"/>
        <v>#DIV/0!</v>
      </c>
      <c r="AQ72" s="486" t="e">
        <f t="shared" si="12"/>
        <v>#DIV/0!</v>
      </c>
      <c r="AR72" s="486" t="e">
        <f t="shared" si="13"/>
        <v>#DIV/0!</v>
      </c>
      <c r="AS72" s="486" t="e">
        <f t="shared" si="14"/>
        <v>#DIV/0!</v>
      </c>
      <c r="AT72" s="486" t="e">
        <f t="shared" si="15"/>
        <v>#DIV/0!</v>
      </c>
      <c r="AU72" s="486" t="e">
        <f t="shared" si="16"/>
        <v>#DIV/0!</v>
      </c>
      <c r="AV72" s="486" t="e">
        <f t="shared" si="17"/>
        <v>#DIV/0!</v>
      </c>
      <c r="AW72" s="486">
        <f t="shared" si="18"/>
        <v>3088.47</v>
      </c>
      <c r="AX72" s="486" t="e">
        <f t="shared" si="19"/>
        <v>#DIV/0!</v>
      </c>
      <c r="AY72" s="486" t="e">
        <f t="shared" si="20"/>
        <v>#DIV/0!</v>
      </c>
      <c r="AZ72" s="486" t="e">
        <f t="shared" si="21"/>
        <v>#DIV/0!</v>
      </c>
      <c r="BA72" s="486">
        <f t="shared" si="7"/>
        <v>0</v>
      </c>
      <c r="BB72" s="494">
        <v>5155.41</v>
      </c>
      <c r="BC72" s="494">
        <v>2070.12</v>
      </c>
      <c r="BD72" s="494">
        <v>848.92</v>
      </c>
      <c r="BE72" s="494">
        <v>819.73</v>
      </c>
      <c r="BF72" s="494">
        <v>611.5</v>
      </c>
      <c r="BG72" s="494">
        <v>1080.04</v>
      </c>
      <c r="BH72" s="494">
        <v>2671800.0099999998</v>
      </c>
      <c r="BI72" s="494">
        <f t="shared" si="36"/>
        <v>4422.8500000000004</v>
      </c>
      <c r="BJ72" s="494">
        <v>14289.54</v>
      </c>
      <c r="BK72" s="494">
        <v>3389.61</v>
      </c>
      <c r="BL72" s="494">
        <v>5995.76</v>
      </c>
      <c r="BM72" s="494">
        <v>548.62</v>
      </c>
      <c r="BN72" s="495" t="e">
        <f t="shared" si="23"/>
        <v>#DIV/0!</v>
      </c>
      <c r="BO72" s="495" t="e">
        <f t="shared" si="24"/>
        <v>#DIV/0!</v>
      </c>
      <c r="BP72" s="495" t="e">
        <f t="shared" si="25"/>
        <v>#DIV/0!</v>
      </c>
      <c r="BQ72" s="495" t="e">
        <f t="shared" si="26"/>
        <v>#DIV/0!</v>
      </c>
      <c r="BR72" s="495" t="e">
        <f t="shared" si="27"/>
        <v>#DIV/0!</v>
      </c>
      <c r="BS72" s="495" t="e">
        <f t="shared" si="28"/>
        <v>#DIV/0!</v>
      </c>
      <c r="BT72" s="495" t="e">
        <f t="shared" si="29"/>
        <v>#DIV/0!</v>
      </c>
      <c r="BU72" s="495" t="str">
        <f t="shared" si="30"/>
        <v xml:space="preserve"> </v>
      </c>
      <c r="BV72" s="495" t="e">
        <f t="shared" si="31"/>
        <v>#DIV/0!</v>
      </c>
      <c r="BW72" s="495" t="e">
        <f t="shared" si="32"/>
        <v>#DIV/0!</v>
      </c>
      <c r="BX72" s="495" t="e">
        <f t="shared" si="33"/>
        <v>#DIV/0!</v>
      </c>
      <c r="BY72" s="495" t="str">
        <f t="shared" si="34"/>
        <v xml:space="preserve"> </v>
      </c>
    </row>
    <row r="73" spans="1:77" s="28" customFormat="1" ht="9" customHeight="1">
      <c r="A73" s="366">
        <v>57</v>
      </c>
      <c r="B73" s="200" t="s">
        <v>533</v>
      </c>
      <c r="C73" s="465">
        <v>27311.7</v>
      </c>
      <c r="D73" s="308"/>
      <c r="E73" s="141" t="s">
        <v>1005</v>
      </c>
      <c r="F73" s="375">
        <f t="shared" si="37"/>
        <v>0</v>
      </c>
      <c r="G73" s="374">
        <v>15546442</v>
      </c>
      <c r="H73" s="205">
        <v>15546442</v>
      </c>
      <c r="I73" s="368">
        <f t="shared" si="11"/>
        <v>0</v>
      </c>
      <c r="J73" s="205">
        <v>0</v>
      </c>
      <c r="K73" s="465">
        <v>0</v>
      </c>
      <c r="L73" s="205">
        <v>0</v>
      </c>
      <c r="M73" s="465">
        <v>0</v>
      </c>
      <c r="N73" s="205">
        <v>0</v>
      </c>
      <c r="O73" s="249">
        <v>0</v>
      </c>
      <c r="P73" s="368">
        <v>0</v>
      </c>
      <c r="Q73" s="249">
        <v>0</v>
      </c>
      <c r="R73" s="368">
        <v>0</v>
      </c>
      <c r="S73" s="249">
        <v>0</v>
      </c>
      <c r="T73" s="368">
        <v>0</v>
      </c>
      <c r="U73" s="130">
        <v>0</v>
      </c>
      <c r="V73" s="368">
        <v>0</v>
      </c>
      <c r="W73" s="368">
        <v>4663</v>
      </c>
      <c r="X73" s="368">
        <f t="shared" si="3"/>
        <v>14846852.109999999</v>
      </c>
      <c r="Y73" s="368">
        <v>0</v>
      </c>
      <c r="Z73" s="368">
        <v>0</v>
      </c>
      <c r="AA73" s="368">
        <v>0</v>
      </c>
      <c r="AB73" s="368">
        <v>0</v>
      </c>
      <c r="AC73" s="368">
        <v>0</v>
      </c>
      <c r="AD73" s="368">
        <v>0</v>
      </c>
      <c r="AE73" s="368">
        <v>0</v>
      </c>
      <c r="AF73" s="368">
        <v>0</v>
      </c>
      <c r="AG73" s="368">
        <v>0</v>
      </c>
      <c r="AH73" s="368">
        <v>0</v>
      </c>
      <c r="AI73" s="368">
        <v>0</v>
      </c>
      <c r="AJ73" s="370">
        <f t="shared" si="35"/>
        <v>466393.26</v>
      </c>
      <c r="AK73" s="370">
        <f t="shared" si="38"/>
        <v>233196.63</v>
      </c>
      <c r="AL73" s="370">
        <v>0</v>
      </c>
      <c r="AM73" s="447">
        <f t="shared" si="39"/>
        <v>3334</v>
      </c>
      <c r="AN73" s="227">
        <v>4814.95</v>
      </c>
      <c r="AP73" s="486" t="e">
        <f t="shared" si="6"/>
        <v>#DIV/0!</v>
      </c>
      <c r="AQ73" s="486" t="e">
        <f t="shared" si="12"/>
        <v>#DIV/0!</v>
      </c>
      <c r="AR73" s="486" t="e">
        <f t="shared" si="13"/>
        <v>#DIV/0!</v>
      </c>
      <c r="AS73" s="486" t="e">
        <f t="shared" si="14"/>
        <v>#DIV/0!</v>
      </c>
      <c r="AT73" s="486" t="e">
        <f t="shared" si="15"/>
        <v>#DIV/0!</v>
      </c>
      <c r="AU73" s="486" t="e">
        <f t="shared" si="16"/>
        <v>#DIV/0!</v>
      </c>
      <c r="AV73" s="486" t="e">
        <f t="shared" si="17"/>
        <v>#DIV/0!</v>
      </c>
      <c r="AW73" s="486">
        <f t="shared" si="18"/>
        <v>3183.97</v>
      </c>
      <c r="AX73" s="486" t="e">
        <f t="shared" si="19"/>
        <v>#DIV/0!</v>
      </c>
      <c r="AY73" s="486" t="e">
        <f t="shared" si="20"/>
        <v>#DIV/0!</v>
      </c>
      <c r="AZ73" s="486" t="e">
        <f t="shared" si="21"/>
        <v>#DIV/0!</v>
      </c>
      <c r="BA73" s="486">
        <f t="shared" si="7"/>
        <v>0</v>
      </c>
      <c r="BB73" s="494">
        <v>5155.41</v>
      </c>
      <c r="BC73" s="494">
        <v>2070.12</v>
      </c>
      <c r="BD73" s="494">
        <v>848.92</v>
      </c>
      <c r="BE73" s="494">
        <v>819.73</v>
      </c>
      <c r="BF73" s="494">
        <v>611.5</v>
      </c>
      <c r="BG73" s="494">
        <v>1080.04</v>
      </c>
      <c r="BH73" s="494">
        <v>2671800.0099999998</v>
      </c>
      <c r="BI73" s="494">
        <f t="shared" si="36"/>
        <v>4607.6000000000004</v>
      </c>
      <c r="BJ73" s="494">
        <v>14289.54</v>
      </c>
      <c r="BK73" s="494">
        <v>3389.61</v>
      </c>
      <c r="BL73" s="494">
        <v>5995.76</v>
      </c>
      <c r="BM73" s="494">
        <v>548.62</v>
      </c>
      <c r="BN73" s="495" t="e">
        <f t="shared" si="23"/>
        <v>#DIV/0!</v>
      </c>
      <c r="BO73" s="495" t="e">
        <f t="shared" si="24"/>
        <v>#DIV/0!</v>
      </c>
      <c r="BP73" s="495" t="e">
        <f t="shared" si="25"/>
        <v>#DIV/0!</v>
      </c>
      <c r="BQ73" s="495" t="e">
        <f t="shared" si="26"/>
        <v>#DIV/0!</v>
      </c>
      <c r="BR73" s="495" t="e">
        <f t="shared" si="27"/>
        <v>#DIV/0!</v>
      </c>
      <c r="BS73" s="495" t="e">
        <f t="shared" si="28"/>
        <v>#DIV/0!</v>
      </c>
      <c r="BT73" s="495" t="e">
        <f t="shared" si="29"/>
        <v>#DIV/0!</v>
      </c>
      <c r="BU73" s="495" t="str">
        <f t="shared" si="30"/>
        <v xml:space="preserve"> </v>
      </c>
      <c r="BV73" s="495" t="e">
        <f t="shared" si="31"/>
        <v>#DIV/0!</v>
      </c>
      <c r="BW73" s="495" t="e">
        <f t="shared" si="32"/>
        <v>#DIV/0!</v>
      </c>
      <c r="BX73" s="495" t="e">
        <f t="shared" si="33"/>
        <v>#DIV/0!</v>
      </c>
      <c r="BY73" s="495" t="str">
        <f t="shared" si="34"/>
        <v xml:space="preserve"> </v>
      </c>
    </row>
    <row r="74" spans="1:77" s="28" customFormat="1" ht="9" customHeight="1">
      <c r="A74" s="366">
        <v>58</v>
      </c>
      <c r="B74" s="200" t="s">
        <v>534</v>
      </c>
      <c r="C74" s="465">
        <v>2768.4</v>
      </c>
      <c r="D74" s="308"/>
      <c r="E74" s="141" t="s">
        <v>1005</v>
      </c>
      <c r="F74" s="375">
        <f t="shared" si="37"/>
        <v>0</v>
      </c>
      <c r="G74" s="374">
        <v>3040608</v>
      </c>
      <c r="H74" s="205">
        <v>3040608</v>
      </c>
      <c r="I74" s="368">
        <f t="shared" si="11"/>
        <v>0</v>
      </c>
      <c r="J74" s="205">
        <v>0</v>
      </c>
      <c r="K74" s="465">
        <v>0</v>
      </c>
      <c r="L74" s="205">
        <v>0</v>
      </c>
      <c r="M74" s="465">
        <v>0</v>
      </c>
      <c r="N74" s="205">
        <v>0</v>
      </c>
      <c r="O74" s="249">
        <v>0</v>
      </c>
      <c r="P74" s="368">
        <v>0</v>
      </c>
      <c r="Q74" s="249">
        <v>0</v>
      </c>
      <c r="R74" s="368">
        <v>0</v>
      </c>
      <c r="S74" s="249">
        <v>0</v>
      </c>
      <c r="T74" s="368">
        <v>0</v>
      </c>
      <c r="U74" s="130">
        <v>0</v>
      </c>
      <c r="V74" s="368">
        <v>0</v>
      </c>
      <c r="W74" s="368">
        <v>912</v>
      </c>
      <c r="X74" s="368">
        <f t="shared" si="3"/>
        <v>2903780.64</v>
      </c>
      <c r="Y74" s="368">
        <v>0</v>
      </c>
      <c r="Z74" s="368">
        <v>0</v>
      </c>
      <c r="AA74" s="368">
        <v>0</v>
      </c>
      <c r="AB74" s="368">
        <v>0</v>
      </c>
      <c r="AC74" s="368">
        <v>0</v>
      </c>
      <c r="AD74" s="368">
        <v>0</v>
      </c>
      <c r="AE74" s="368">
        <v>0</v>
      </c>
      <c r="AF74" s="368">
        <v>0</v>
      </c>
      <c r="AG74" s="368">
        <v>0</v>
      </c>
      <c r="AH74" s="368">
        <v>0</v>
      </c>
      <c r="AI74" s="368">
        <v>0</v>
      </c>
      <c r="AJ74" s="370">
        <f t="shared" si="35"/>
        <v>91218.240000000005</v>
      </c>
      <c r="AK74" s="370">
        <f t="shared" si="38"/>
        <v>45609.120000000003</v>
      </c>
      <c r="AL74" s="370">
        <v>0</v>
      </c>
      <c r="AM74" s="447">
        <f t="shared" si="39"/>
        <v>3334</v>
      </c>
      <c r="AN74" s="227">
        <v>4814.95</v>
      </c>
      <c r="AP74" s="486" t="e">
        <f t="shared" si="6"/>
        <v>#DIV/0!</v>
      </c>
      <c r="AQ74" s="486" t="e">
        <f t="shared" si="12"/>
        <v>#DIV/0!</v>
      </c>
      <c r="AR74" s="486" t="e">
        <f t="shared" si="13"/>
        <v>#DIV/0!</v>
      </c>
      <c r="AS74" s="486" t="e">
        <f t="shared" si="14"/>
        <v>#DIV/0!</v>
      </c>
      <c r="AT74" s="486" t="e">
        <f t="shared" si="15"/>
        <v>#DIV/0!</v>
      </c>
      <c r="AU74" s="486" t="e">
        <f t="shared" si="16"/>
        <v>#DIV/0!</v>
      </c>
      <c r="AV74" s="486" t="e">
        <f t="shared" si="17"/>
        <v>#DIV/0!</v>
      </c>
      <c r="AW74" s="486">
        <f t="shared" si="18"/>
        <v>3183.9700000000003</v>
      </c>
      <c r="AX74" s="486" t="e">
        <f t="shared" si="19"/>
        <v>#DIV/0!</v>
      </c>
      <c r="AY74" s="486" t="e">
        <f t="shared" si="20"/>
        <v>#DIV/0!</v>
      </c>
      <c r="AZ74" s="486" t="e">
        <f t="shared" si="21"/>
        <v>#DIV/0!</v>
      </c>
      <c r="BA74" s="486">
        <f t="shared" si="7"/>
        <v>0</v>
      </c>
      <c r="BB74" s="494">
        <v>5155.41</v>
      </c>
      <c r="BC74" s="494">
        <v>2070.12</v>
      </c>
      <c r="BD74" s="494">
        <v>848.92</v>
      </c>
      <c r="BE74" s="494">
        <v>819.73</v>
      </c>
      <c r="BF74" s="494">
        <v>611.5</v>
      </c>
      <c r="BG74" s="494">
        <v>1080.04</v>
      </c>
      <c r="BH74" s="494">
        <v>2671800.0099999998</v>
      </c>
      <c r="BI74" s="494">
        <f t="shared" si="36"/>
        <v>4607.6000000000004</v>
      </c>
      <c r="BJ74" s="494">
        <v>14289.54</v>
      </c>
      <c r="BK74" s="494">
        <v>3389.61</v>
      </c>
      <c r="BL74" s="494">
        <v>5995.76</v>
      </c>
      <c r="BM74" s="494">
        <v>548.62</v>
      </c>
      <c r="BN74" s="495" t="e">
        <f t="shared" si="23"/>
        <v>#DIV/0!</v>
      </c>
      <c r="BO74" s="495" t="e">
        <f t="shared" si="24"/>
        <v>#DIV/0!</v>
      </c>
      <c r="BP74" s="495" t="e">
        <f t="shared" si="25"/>
        <v>#DIV/0!</v>
      </c>
      <c r="BQ74" s="495" t="e">
        <f t="shared" si="26"/>
        <v>#DIV/0!</v>
      </c>
      <c r="BR74" s="495" t="e">
        <f t="shared" si="27"/>
        <v>#DIV/0!</v>
      </c>
      <c r="BS74" s="495" t="e">
        <f t="shared" si="28"/>
        <v>#DIV/0!</v>
      </c>
      <c r="BT74" s="495" t="e">
        <f t="shared" si="29"/>
        <v>#DIV/0!</v>
      </c>
      <c r="BU74" s="495" t="str">
        <f t="shared" si="30"/>
        <v xml:space="preserve"> </v>
      </c>
      <c r="BV74" s="495" t="e">
        <f t="shared" si="31"/>
        <v>#DIV/0!</v>
      </c>
      <c r="BW74" s="495" t="e">
        <f t="shared" si="32"/>
        <v>#DIV/0!</v>
      </c>
      <c r="BX74" s="495" t="e">
        <f t="shared" si="33"/>
        <v>#DIV/0!</v>
      </c>
      <c r="BY74" s="495" t="str">
        <f t="shared" si="34"/>
        <v xml:space="preserve"> </v>
      </c>
    </row>
    <row r="75" spans="1:77" s="28" customFormat="1" ht="9" customHeight="1">
      <c r="A75" s="366">
        <v>59</v>
      </c>
      <c r="B75" s="200" t="s">
        <v>535</v>
      </c>
      <c r="C75" s="465">
        <v>2680.2</v>
      </c>
      <c r="D75" s="308"/>
      <c r="E75" s="141" t="s">
        <v>1005</v>
      </c>
      <c r="F75" s="375">
        <f t="shared" si="37"/>
        <v>0</v>
      </c>
      <c r="G75" s="374">
        <v>3764086</v>
      </c>
      <c r="H75" s="205">
        <v>3764086</v>
      </c>
      <c r="I75" s="368">
        <f t="shared" si="11"/>
        <v>0</v>
      </c>
      <c r="J75" s="205">
        <v>0</v>
      </c>
      <c r="K75" s="465">
        <v>0</v>
      </c>
      <c r="L75" s="205">
        <v>0</v>
      </c>
      <c r="M75" s="465">
        <v>0</v>
      </c>
      <c r="N75" s="205">
        <v>0</v>
      </c>
      <c r="O75" s="249">
        <v>0</v>
      </c>
      <c r="P75" s="368">
        <v>0</v>
      </c>
      <c r="Q75" s="249">
        <v>0</v>
      </c>
      <c r="R75" s="368">
        <v>0</v>
      </c>
      <c r="S75" s="249">
        <v>0</v>
      </c>
      <c r="T75" s="368">
        <v>0</v>
      </c>
      <c r="U75" s="130">
        <v>0</v>
      </c>
      <c r="V75" s="368">
        <v>0</v>
      </c>
      <c r="W75" s="368">
        <v>1129</v>
      </c>
      <c r="X75" s="368">
        <f t="shared" si="3"/>
        <v>3594702.13</v>
      </c>
      <c r="Y75" s="368">
        <v>0</v>
      </c>
      <c r="Z75" s="368">
        <v>0</v>
      </c>
      <c r="AA75" s="368">
        <v>0</v>
      </c>
      <c r="AB75" s="368">
        <v>0</v>
      </c>
      <c r="AC75" s="368">
        <v>0</v>
      </c>
      <c r="AD75" s="368">
        <v>0</v>
      </c>
      <c r="AE75" s="368">
        <v>0</v>
      </c>
      <c r="AF75" s="368">
        <v>0</v>
      </c>
      <c r="AG75" s="368">
        <v>0</v>
      </c>
      <c r="AH75" s="368">
        <v>0</v>
      </c>
      <c r="AI75" s="368">
        <v>0</v>
      </c>
      <c r="AJ75" s="370">
        <f t="shared" si="35"/>
        <v>112922.58</v>
      </c>
      <c r="AK75" s="370">
        <f t="shared" si="38"/>
        <v>56461.29</v>
      </c>
      <c r="AL75" s="370">
        <v>0</v>
      </c>
      <c r="AM75" s="447">
        <f t="shared" si="39"/>
        <v>3334</v>
      </c>
      <c r="AN75" s="227">
        <v>4814.95</v>
      </c>
      <c r="AP75" s="486" t="e">
        <f t="shared" si="6"/>
        <v>#DIV/0!</v>
      </c>
      <c r="AQ75" s="486" t="e">
        <f t="shared" si="12"/>
        <v>#DIV/0!</v>
      </c>
      <c r="AR75" s="486" t="e">
        <f t="shared" si="13"/>
        <v>#DIV/0!</v>
      </c>
      <c r="AS75" s="486" t="e">
        <f t="shared" si="14"/>
        <v>#DIV/0!</v>
      </c>
      <c r="AT75" s="486" t="e">
        <f t="shared" si="15"/>
        <v>#DIV/0!</v>
      </c>
      <c r="AU75" s="486" t="e">
        <f t="shared" si="16"/>
        <v>#DIV/0!</v>
      </c>
      <c r="AV75" s="486" t="e">
        <f t="shared" si="17"/>
        <v>#DIV/0!</v>
      </c>
      <c r="AW75" s="486">
        <f t="shared" si="18"/>
        <v>3183.97</v>
      </c>
      <c r="AX75" s="486" t="e">
        <f t="shared" si="19"/>
        <v>#DIV/0!</v>
      </c>
      <c r="AY75" s="486" t="e">
        <f t="shared" si="20"/>
        <v>#DIV/0!</v>
      </c>
      <c r="AZ75" s="486" t="e">
        <f t="shared" si="21"/>
        <v>#DIV/0!</v>
      </c>
      <c r="BA75" s="486">
        <f t="shared" si="7"/>
        <v>0</v>
      </c>
      <c r="BB75" s="494">
        <v>5155.41</v>
      </c>
      <c r="BC75" s="494">
        <v>2070.12</v>
      </c>
      <c r="BD75" s="494">
        <v>848.92</v>
      </c>
      <c r="BE75" s="494">
        <v>819.73</v>
      </c>
      <c r="BF75" s="494">
        <v>611.5</v>
      </c>
      <c r="BG75" s="494">
        <v>1080.04</v>
      </c>
      <c r="BH75" s="494">
        <v>2671800.0099999998</v>
      </c>
      <c r="BI75" s="494">
        <f t="shared" si="36"/>
        <v>4607.6000000000004</v>
      </c>
      <c r="BJ75" s="494">
        <v>14289.54</v>
      </c>
      <c r="BK75" s="494">
        <v>3389.61</v>
      </c>
      <c r="BL75" s="494">
        <v>5995.76</v>
      </c>
      <c r="BM75" s="494">
        <v>548.62</v>
      </c>
      <c r="BN75" s="495" t="e">
        <f t="shared" si="23"/>
        <v>#DIV/0!</v>
      </c>
      <c r="BO75" s="495" t="e">
        <f t="shared" si="24"/>
        <v>#DIV/0!</v>
      </c>
      <c r="BP75" s="495" t="e">
        <f t="shared" si="25"/>
        <v>#DIV/0!</v>
      </c>
      <c r="BQ75" s="495" t="e">
        <f t="shared" si="26"/>
        <v>#DIV/0!</v>
      </c>
      <c r="BR75" s="495" t="e">
        <f t="shared" si="27"/>
        <v>#DIV/0!</v>
      </c>
      <c r="BS75" s="495" t="e">
        <f t="shared" si="28"/>
        <v>#DIV/0!</v>
      </c>
      <c r="BT75" s="495" t="e">
        <f t="shared" si="29"/>
        <v>#DIV/0!</v>
      </c>
      <c r="BU75" s="495" t="str">
        <f t="shared" si="30"/>
        <v xml:space="preserve"> </v>
      </c>
      <c r="BV75" s="495" t="e">
        <f t="shared" si="31"/>
        <v>#DIV/0!</v>
      </c>
      <c r="BW75" s="495" t="e">
        <f t="shared" si="32"/>
        <v>#DIV/0!</v>
      </c>
      <c r="BX75" s="495" t="e">
        <f t="shared" si="33"/>
        <v>#DIV/0!</v>
      </c>
      <c r="BY75" s="495" t="str">
        <f t="shared" si="34"/>
        <v xml:space="preserve"> </v>
      </c>
    </row>
    <row r="76" spans="1:77" s="28" customFormat="1" ht="9" customHeight="1">
      <c r="A76" s="366">
        <v>60</v>
      </c>
      <c r="B76" s="200" t="s">
        <v>536</v>
      </c>
      <c r="C76" s="465">
        <v>1751.2</v>
      </c>
      <c r="D76" s="466"/>
      <c r="E76" s="201" t="s">
        <v>1006</v>
      </c>
      <c r="F76" s="375">
        <f t="shared" si="37"/>
        <v>0</v>
      </c>
      <c r="G76" s="375">
        <v>2102100</v>
      </c>
      <c r="H76" s="205">
        <v>2102100</v>
      </c>
      <c r="I76" s="368">
        <f t="shared" si="11"/>
        <v>0</v>
      </c>
      <c r="J76" s="205">
        <v>0</v>
      </c>
      <c r="K76" s="465">
        <v>0</v>
      </c>
      <c r="L76" s="205">
        <v>0</v>
      </c>
      <c r="M76" s="465">
        <v>0</v>
      </c>
      <c r="N76" s="205">
        <v>0</v>
      </c>
      <c r="O76" s="249">
        <v>0</v>
      </c>
      <c r="P76" s="368">
        <v>0</v>
      </c>
      <c r="Q76" s="249">
        <v>0</v>
      </c>
      <c r="R76" s="368">
        <v>0</v>
      </c>
      <c r="S76" s="249">
        <v>0</v>
      </c>
      <c r="T76" s="368">
        <v>0</v>
      </c>
      <c r="U76" s="130">
        <v>0</v>
      </c>
      <c r="V76" s="368">
        <v>0</v>
      </c>
      <c r="W76" s="368">
        <v>650</v>
      </c>
      <c r="X76" s="368">
        <f t="shared" si="3"/>
        <v>2007505.5</v>
      </c>
      <c r="Y76" s="368">
        <v>0</v>
      </c>
      <c r="Z76" s="368">
        <v>0</v>
      </c>
      <c r="AA76" s="368">
        <v>0</v>
      </c>
      <c r="AB76" s="368">
        <v>0</v>
      </c>
      <c r="AC76" s="368">
        <v>0</v>
      </c>
      <c r="AD76" s="368">
        <v>0</v>
      </c>
      <c r="AE76" s="368">
        <v>0</v>
      </c>
      <c r="AF76" s="368">
        <v>0</v>
      </c>
      <c r="AG76" s="368">
        <v>0</v>
      </c>
      <c r="AH76" s="368">
        <v>0</v>
      </c>
      <c r="AI76" s="368">
        <v>0</v>
      </c>
      <c r="AJ76" s="370">
        <f t="shared" si="35"/>
        <v>63063</v>
      </c>
      <c r="AK76" s="370">
        <f t="shared" si="38"/>
        <v>31531.5</v>
      </c>
      <c r="AL76" s="370">
        <v>0</v>
      </c>
      <c r="AM76" s="447">
        <f t="shared" si="39"/>
        <v>3234</v>
      </c>
      <c r="AN76" s="227">
        <v>4621.88</v>
      </c>
      <c r="AP76" s="486" t="e">
        <f t="shared" si="6"/>
        <v>#DIV/0!</v>
      </c>
      <c r="AQ76" s="486" t="e">
        <f t="shared" si="12"/>
        <v>#DIV/0!</v>
      </c>
      <c r="AR76" s="486" t="e">
        <f t="shared" si="13"/>
        <v>#DIV/0!</v>
      </c>
      <c r="AS76" s="486" t="e">
        <f t="shared" si="14"/>
        <v>#DIV/0!</v>
      </c>
      <c r="AT76" s="486" t="e">
        <f t="shared" si="15"/>
        <v>#DIV/0!</v>
      </c>
      <c r="AU76" s="486" t="e">
        <f t="shared" si="16"/>
        <v>#DIV/0!</v>
      </c>
      <c r="AV76" s="486" t="e">
        <f t="shared" si="17"/>
        <v>#DIV/0!</v>
      </c>
      <c r="AW76" s="486">
        <f t="shared" si="18"/>
        <v>3088.47</v>
      </c>
      <c r="AX76" s="486" t="e">
        <f t="shared" si="19"/>
        <v>#DIV/0!</v>
      </c>
      <c r="AY76" s="486" t="e">
        <f t="shared" si="20"/>
        <v>#DIV/0!</v>
      </c>
      <c r="AZ76" s="486" t="e">
        <f t="shared" si="21"/>
        <v>#DIV/0!</v>
      </c>
      <c r="BA76" s="486">
        <f t="shared" si="7"/>
        <v>0</v>
      </c>
      <c r="BB76" s="494">
        <v>5155.41</v>
      </c>
      <c r="BC76" s="494">
        <v>2070.12</v>
      </c>
      <c r="BD76" s="494">
        <v>848.92</v>
      </c>
      <c r="BE76" s="494">
        <v>819.73</v>
      </c>
      <c r="BF76" s="494">
        <v>611.5</v>
      </c>
      <c r="BG76" s="494">
        <v>1080.04</v>
      </c>
      <c r="BH76" s="494">
        <v>2671800.0099999998</v>
      </c>
      <c r="BI76" s="494">
        <f t="shared" si="36"/>
        <v>4422.8500000000004</v>
      </c>
      <c r="BJ76" s="494">
        <v>14289.54</v>
      </c>
      <c r="BK76" s="494">
        <v>3389.61</v>
      </c>
      <c r="BL76" s="494">
        <v>5995.76</v>
      </c>
      <c r="BM76" s="494">
        <v>548.62</v>
      </c>
      <c r="BN76" s="495" t="e">
        <f t="shared" si="23"/>
        <v>#DIV/0!</v>
      </c>
      <c r="BO76" s="495" t="e">
        <f t="shared" si="24"/>
        <v>#DIV/0!</v>
      </c>
      <c r="BP76" s="495" t="e">
        <f t="shared" si="25"/>
        <v>#DIV/0!</v>
      </c>
      <c r="BQ76" s="495" t="e">
        <f t="shared" si="26"/>
        <v>#DIV/0!</v>
      </c>
      <c r="BR76" s="495" t="e">
        <f t="shared" si="27"/>
        <v>#DIV/0!</v>
      </c>
      <c r="BS76" s="495" t="e">
        <f t="shared" si="28"/>
        <v>#DIV/0!</v>
      </c>
      <c r="BT76" s="495" t="e">
        <f t="shared" si="29"/>
        <v>#DIV/0!</v>
      </c>
      <c r="BU76" s="495" t="str">
        <f t="shared" si="30"/>
        <v xml:space="preserve"> </v>
      </c>
      <c r="BV76" s="495" t="e">
        <f t="shared" si="31"/>
        <v>#DIV/0!</v>
      </c>
      <c r="BW76" s="495" t="e">
        <f t="shared" si="32"/>
        <v>#DIV/0!</v>
      </c>
      <c r="BX76" s="495" t="e">
        <f t="shared" si="33"/>
        <v>#DIV/0!</v>
      </c>
      <c r="BY76" s="495" t="str">
        <f t="shared" si="34"/>
        <v xml:space="preserve"> </v>
      </c>
    </row>
    <row r="77" spans="1:77" s="28" customFormat="1" ht="9" customHeight="1">
      <c r="A77" s="366">
        <v>61</v>
      </c>
      <c r="B77" s="200" t="s">
        <v>537</v>
      </c>
      <c r="C77" s="465">
        <v>1207.5999999999999</v>
      </c>
      <c r="D77" s="466"/>
      <c r="E77" s="201" t="s">
        <v>1006</v>
      </c>
      <c r="F77" s="375">
        <f t="shared" si="37"/>
        <v>0</v>
      </c>
      <c r="G77" s="375">
        <v>1862784</v>
      </c>
      <c r="H77" s="205">
        <v>1862784</v>
      </c>
      <c r="I77" s="368">
        <f t="shared" si="11"/>
        <v>0</v>
      </c>
      <c r="J77" s="205">
        <v>0</v>
      </c>
      <c r="K77" s="465">
        <v>0</v>
      </c>
      <c r="L77" s="205">
        <v>0</v>
      </c>
      <c r="M77" s="465">
        <v>0</v>
      </c>
      <c r="N77" s="205">
        <v>0</v>
      </c>
      <c r="O77" s="249">
        <v>0</v>
      </c>
      <c r="P77" s="368">
        <v>0</v>
      </c>
      <c r="Q77" s="249">
        <v>0</v>
      </c>
      <c r="R77" s="368">
        <v>0</v>
      </c>
      <c r="S77" s="249">
        <v>0</v>
      </c>
      <c r="T77" s="368">
        <v>0</v>
      </c>
      <c r="U77" s="130">
        <v>0</v>
      </c>
      <c r="V77" s="368">
        <v>0</v>
      </c>
      <c r="W77" s="368">
        <v>576</v>
      </c>
      <c r="X77" s="368">
        <f t="shared" si="3"/>
        <v>1778958.72</v>
      </c>
      <c r="Y77" s="368">
        <v>0</v>
      </c>
      <c r="Z77" s="368">
        <v>0</v>
      </c>
      <c r="AA77" s="368">
        <v>0</v>
      </c>
      <c r="AB77" s="368">
        <v>0</v>
      </c>
      <c r="AC77" s="368">
        <v>0</v>
      </c>
      <c r="AD77" s="368">
        <v>0</v>
      </c>
      <c r="AE77" s="368">
        <v>0</v>
      </c>
      <c r="AF77" s="368">
        <v>0</v>
      </c>
      <c r="AG77" s="368">
        <v>0</v>
      </c>
      <c r="AH77" s="368">
        <v>0</v>
      </c>
      <c r="AI77" s="368">
        <v>0</v>
      </c>
      <c r="AJ77" s="370">
        <f t="shared" si="35"/>
        <v>55883.519999999997</v>
      </c>
      <c r="AK77" s="370">
        <f t="shared" si="38"/>
        <v>27941.759999999998</v>
      </c>
      <c r="AL77" s="370">
        <v>0</v>
      </c>
      <c r="AM77" s="447">
        <f t="shared" si="39"/>
        <v>3234</v>
      </c>
      <c r="AN77" s="227">
        <v>4621.88</v>
      </c>
      <c r="AP77" s="486" t="e">
        <f t="shared" si="6"/>
        <v>#DIV/0!</v>
      </c>
      <c r="AQ77" s="486" t="e">
        <f t="shared" si="12"/>
        <v>#DIV/0!</v>
      </c>
      <c r="AR77" s="486" t="e">
        <f t="shared" si="13"/>
        <v>#DIV/0!</v>
      </c>
      <c r="AS77" s="486" t="e">
        <f t="shared" si="14"/>
        <v>#DIV/0!</v>
      </c>
      <c r="AT77" s="486" t="e">
        <f t="shared" si="15"/>
        <v>#DIV/0!</v>
      </c>
      <c r="AU77" s="486" t="e">
        <f t="shared" si="16"/>
        <v>#DIV/0!</v>
      </c>
      <c r="AV77" s="486" t="e">
        <f t="shared" si="17"/>
        <v>#DIV/0!</v>
      </c>
      <c r="AW77" s="486">
        <f t="shared" si="18"/>
        <v>3088.47</v>
      </c>
      <c r="AX77" s="486" t="e">
        <f t="shared" si="19"/>
        <v>#DIV/0!</v>
      </c>
      <c r="AY77" s="486" t="e">
        <f t="shared" si="20"/>
        <v>#DIV/0!</v>
      </c>
      <c r="AZ77" s="486" t="e">
        <f t="shared" si="21"/>
        <v>#DIV/0!</v>
      </c>
      <c r="BA77" s="486">
        <f t="shared" si="7"/>
        <v>0</v>
      </c>
      <c r="BB77" s="494">
        <v>5155.41</v>
      </c>
      <c r="BC77" s="494">
        <v>2070.12</v>
      </c>
      <c r="BD77" s="494">
        <v>848.92</v>
      </c>
      <c r="BE77" s="494">
        <v>819.73</v>
      </c>
      <c r="BF77" s="494">
        <v>611.5</v>
      </c>
      <c r="BG77" s="494">
        <v>1080.04</v>
      </c>
      <c r="BH77" s="494">
        <v>2671800.0099999998</v>
      </c>
      <c r="BI77" s="494">
        <f t="shared" si="36"/>
        <v>4422.8500000000004</v>
      </c>
      <c r="BJ77" s="494">
        <v>14289.54</v>
      </c>
      <c r="BK77" s="494">
        <v>3389.61</v>
      </c>
      <c r="BL77" s="494">
        <v>5995.76</v>
      </c>
      <c r="BM77" s="494">
        <v>548.62</v>
      </c>
      <c r="BN77" s="495" t="e">
        <f t="shared" si="23"/>
        <v>#DIV/0!</v>
      </c>
      <c r="BO77" s="495" t="e">
        <f t="shared" si="24"/>
        <v>#DIV/0!</v>
      </c>
      <c r="BP77" s="495" t="e">
        <f t="shared" si="25"/>
        <v>#DIV/0!</v>
      </c>
      <c r="BQ77" s="495" t="e">
        <f t="shared" si="26"/>
        <v>#DIV/0!</v>
      </c>
      <c r="BR77" s="495" t="e">
        <f t="shared" si="27"/>
        <v>#DIV/0!</v>
      </c>
      <c r="BS77" s="495" t="e">
        <f t="shared" si="28"/>
        <v>#DIV/0!</v>
      </c>
      <c r="BT77" s="495" t="e">
        <f t="shared" si="29"/>
        <v>#DIV/0!</v>
      </c>
      <c r="BU77" s="495" t="str">
        <f t="shared" si="30"/>
        <v xml:space="preserve"> </v>
      </c>
      <c r="BV77" s="495" t="e">
        <f t="shared" si="31"/>
        <v>#DIV/0!</v>
      </c>
      <c r="BW77" s="495" t="e">
        <f t="shared" si="32"/>
        <v>#DIV/0!</v>
      </c>
      <c r="BX77" s="495" t="e">
        <f t="shared" si="33"/>
        <v>#DIV/0!</v>
      </c>
      <c r="BY77" s="495" t="str">
        <f t="shared" si="34"/>
        <v xml:space="preserve"> </v>
      </c>
    </row>
    <row r="78" spans="1:77" s="28" customFormat="1" ht="9" customHeight="1">
      <c r="A78" s="366">
        <v>62</v>
      </c>
      <c r="B78" s="200" t="s">
        <v>538</v>
      </c>
      <c r="C78" s="465">
        <v>3071.7</v>
      </c>
      <c r="D78" s="308"/>
      <c r="E78" s="141" t="s">
        <v>1005</v>
      </c>
      <c r="F78" s="375">
        <f t="shared" si="37"/>
        <v>0</v>
      </c>
      <c r="G78" s="374">
        <v>2850570</v>
      </c>
      <c r="H78" s="205">
        <v>2850570</v>
      </c>
      <c r="I78" s="368">
        <f t="shared" si="11"/>
        <v>0</v>
      </c>
      <c r="J78" s="205">
        <v>0</v>
      </c>
      <c r="K78" s="465">
        <v>0</v>
      </c>
      <c r="L78" s="205">
        <v>0</v>
      </c>
      <c r="M78" s="465">
        <v>0</v>
      </c>
      <c r="N78" s="205">
        <v>0</v>
      </c>
      <c r="O78" s="249">
        <v>0</v>
      </c>
      <c r="P78" s="368">
        <v>0</v>
      </c>
      <c r="Q78" s="249">
        <v>0</v>
      </c>
      <c r="R78" s="368">
        <v>0</v>
      </c>
      <c r="S78" s="249">
        <v>0</v>
      </c>
      <c r="T78" s="368">
        <v>0</v>
      </c>
      <c r="U78" s="130">
        <v>0</v>
      </c>
      <c r="V78" s="368">
        <v>0</v>
      </c>
      <c r="W78" s="368">
        <v>855</v>
      </c>
      <c r="X78" s="368">
        <f t="shared" si="3"/>
        <v>2722294.35</v>
      </c>
      <c r="Y78" s="368">
        <v>0</v>
      </c>
      <c r="Z78" s="368">
        <v>0</v>
      </c>
      <c r="AA78" s="368">
        <v>0</v>
      </c>
      <c r="AB78" s="368">
        <v>0</v>
      </c>
      <c r="AC78" s="368">
        <v>0</v>
      </c>
      <c r="AD78" s="368">
        <v>0</v>
      </c>
      <c r="AE78" s="368">
        <v>0</v>
      </c>
      <c r="AF78" s="368">
        <v>0</v>
      </c>
      <c r="AG78" s="368">
        <v>0</v>
      </c>
      <c r="AH78" s="368">
        <v>0</v>
      </c>
      <c r="AI78" s="368">
        <v>0</v>
      </c>
      <c r="AJ78" s="370">
        <f t="shared" si="35"/>
        <v>85517.1</v>
      </c>
      <c r="AK78" s="370">
        <f t="shared" si="38"/>
        <v>42758.55</v>
      </c>
      <c r="AL78" s="370">
        <v>0</v>
      </c>
      <c r="AM78" s="447">
        <f t="shared" si="39"/>
        <v>3334</v>
      </c>
      <c r="AN78" s="227">
        <v>4814.95</v>
      </c>
      <c r="AP78" s="486" t="e">
        <f t="shared" si="6"/>
        <v>#DIV/0!</v>
      </c>
      <c r="AQ78" s="486" t="e">
        <f t="shared" si="12"/>
        <v>#DIV/0!</v>
      </c>
      <c r="AR78" s="486" t="e">
        <f t="shared" si="13"/>
        <v>#DIV/0!</v>
      </c>
      <c r="AS78" s="486" t="e">
        <f t="shared" si="14"/>
        <v>#DIV/0!</v>
      </c>
      <c r="AT78" s="486" t="e">
        <f t="shared" si="15"/>
        <v>#DIV/0!</v>
      </c>
      <c r="AU78" s="486" t="e">
        <f t="shared" si="16"/>
        <v>#DIV/0!</v>
      </c>
      <c r="AV78" s="486" t="e">
        <f t="shared" si="17"/>
        <v>#DIV/0!</v>
      </c>
      <c r="AW78" s="486">
        <f t="shared" si="18"/>
        <v>3183.9700000000003</v>
      </c>
      <c r="AX78" s="486" t="e">
        <f t="shared" si="19"/>
        <v>#DIV/0!</v>
      </c>
      <c r="AY78" s="486" t="e">
        <f t="shared" si="20"/>
        <v>#DIV/0!</v>
      </c>
      <c r="AZ78" s="486" t="e">
        <f t="shared" si="21"/>
        <v>#DIV/0!</v>
      </c>
      <c r="BA78" s="486">
        <f t="shared" si="7"/>
        <v>0</v>
      </c>
      <c r="BB78" s="494">
        <v>5155.41</v>
      </c>
      <c r="BC78" s="494">
        <v>2070.12</v>
      </c>
      <c r="BD78" s="494">
        <v>848.92</v>
      </c>
      <c r="BE78" s="494">
        <v>819.73</v>
      </c>
      <c r="BF78" s="494">
        <v>611.5</v>
      </c>
      <c r="BG78" s="494">
        <v>1080.04</v>
      </c>
      <c r="BH78" s="494">
        <v>2671800.0099999998</v>
      </c>
      <c r="BI78" s="494">
        <f t="shared" si="36"/>
        <v>4607.6000000000004</v>
      </c>
      <c r="BJ78" s="494">
        <v>14289.54</v>
      </c>
      <c r="BK78" s="494">
        <v>3389.61</v>
      </c>
      <c r="BL78" s="494">
        <v>5995.76</v>
      </c>
      <c r="BM78" s="494">
        <v>548.62</v>
      </c>
      <c r="BN78" s="495" t="e">
        <f t="shared" si="23"/>
        <v>#DIV/0!</v>
      </c>
      <c r="BO78" s="495" t="e">
        <f t="shared" si="24"/>
        <v>#DIV/0!</v>
      </c>
      <c r="BP78" s="495" t="e">
        <f t="shared" si="25"/>
        <v>#DIV/0!</v>
      </c>
      <c r="BQ78" s="495" t="e">
        <f t="shared" si="26"/>
        <v>#DIV/0!</v>
      </c>
      <c r="BR78" s="495" t="e">
        <f t="shared" si="27"/>
        <v>#DIV/0!</v>
      </c>
      <c r="BS78" s="495" t="e">
        <f t="shared" si="28"/>
        <v>#DIV/0!</v>
      </c>
      <c r="BT78" s="495" t="e">
        <f t="shared" si="29"/>
        <v>#DIV/0!</v>
      </c>
      <c r="BU78" s="495" t="str">
        <f t="shared" si="30"/>
        <v xml:space="preserve"> </v>
      </c>
      <c r="BV78" s="495" t="e">
        <f t="shared" si="31"/>
        <v>#DIV/0!</v>
      </c>
      <c r="BW78" s="495" t="e">
        <f t="shared" si="32"/>
        <v>#DIV/0!</v>
      </c>
      <c r="BX78" s="495" t="e">
        <f t="shared" si="33"/>
        <v>#DIV/0!</v>
      </c>
      <c r="BY78" s="495" t="str">
        <f t="shared" si="34"/>
        <v xml:space="preserve"> </v>
      </c>
    </row>
    <row r="79" spans="1:77" s="28" customFormat="1" ht="9" customHeight="1">
      <c r="A79" s="366">
        <v>63</v>
      </c>
      <c r="B79" s="200" t="s">
        <v>539</v>
      </c>
      <c r="C79" s="465">
        <v>5535.8</v>
      </c>
      <c r="D79" s="308"/>
      <c r="E79" s="141" t="s">
        <v>1005</v>
      </c>
      <c r="F79" s="375">
        <f t="shared" si="37"/>
        <v>0</v>
      </c>
      <c r="G79" s="374">
        <v>4634260</v>
      </c>
      <c r="H79" s="205">
        <v>4634260</v>
      </c>
      <c r="I79" s="368">
        <f t="shared" si="11"/>
        <v>0</v>
      </c>
      <c r="J79" s="205">
        <v>0</v>
      </c>
      <c r="K79" s="465">
        <v>0</v>
      </c>
      <c r="L79" s="205">
        <v>0</v>
      </c>
      <c r="M79" s="465">
        <v>0</v>
      </c>
      <c r="N79" s="205">
        <v>0</v>
      </c>
      <c r="O79" s="249">
        <v>0</v>
      </c>
      <c r="P79" s="368">
        <v>0</v>
      </c>
      <c r="Q79" s="249">
        <v>0</v>
      </c>
      <c r="R79" s="368">
        <v>0</v>
      </c>
      <c r="S79" s="249">
        <v>0</v>
      </c>
      <c r="T79" s="368">
        <v>0</v>
      </c>
      <c r="U79" s="130">
        <v>0</v>
      </c>
      <c r="V79" s="368">
        <v>0</v>
      </c>
      <c r="W79" s="368">
        <v>1390</v>
      </c>
      <c r="X79" s="368">
        <f t="shared" si="3"/>
        <v>4425718.3</v>
      </c>
      <c r="Y79" s="368">
        <v>0</v>
      </c>
      <c r="Z79" s="368">
        <v>0</v>
      </c>
      <c r="AA79" s="368">
        <v>0</v>
      </c>
      <c r="AB79" s="368">
        <v>0</v>
      </c>
      <c r="AC79" s="368">
        <v>0</v>
      </c>
      <c r="AD79" s="368">
        <v>0</v>
      </c>
      <c r="AE79" s="368">
        <v>0</v>
      </c>
      <c r="AF79" s="368">
        <v>0</v>
      </c>
      <c r="AG79" s="368">
        <v>0</v>
      </c>
      <c r="AH79" s="368">
        <v>0</v>
      </c>
      <c r="AI79" s="368">
        <v>0</v>
      </c>
      <c r="AJ79" s="370">
        <f t="shared" si="35"/>
        <v>139027.79999999999</v>
      </c>
      <c r="AK79" s="370">
        <f t="shared" si="38"/>
        <v>69513.899999999994</v>
      </c>
      <c r="AL79" s="370">
        <v>0</v>
      </c>
      <c r="AM79" s="447">
        <f t="shared" si="39"/>
        <v>3334</v>
      </c>
      <c r="AN79" s="227">
        <v>4814.95</v>
      </c>
      <c r="AP79" s="486" t="e">
        <f t="shared" si="6"/>
        <v>#DIV/0!</v>
      </c>
      <c r="AQ79" s="486" t="e">
        <f t="shared" si="12"/>
        <v>#DIV/0!</v>
      </c>
      <c r="AR79" s="486" t="e">
        <f t="shared" si="13"/>
        <v>#DIV/0!</v>
      </c>
      <c r="AS79" s="486" t="e">
        <f t="shared" si="14"/>
        <v>#DIV/0!</v>
      </c>
      <c r="AT79" s="486" t="e">
        <f t="shared" si="15"/>
        <v>#DIV/0!</v>
      </c>
      <c r="AU79" s="486" t="e">
        <f t="shared" si="16"/>
        <v>#DIV/0!</v>
      </c>
      <c r="AV79" s="486" t="e">
        <f t="shared" si="17"/>
        <v>#DIV/0!</v>
      </c>
      <c r="AW79" s="486">
        <f t="shared" si="18"/>
        <v>3183.97</v>
      </c>
      <c r="AX79" s="486" t="e">
        <f t="shared" si="19"/>
        <v>#DIV/0!</v>
      </c>
      <c r="AY79" s="486" t="e">
        <f t="shared" si="20"/>
        <v>#DIV/0!</v>
      </c>
      <c r="AZ79" s="486" t="e">
        <f t="shared" si="21"/>
        <v>#DIV/0!</v>
      </c>
      <c r="BA79" s="486">
        <f t="shared" si="7"/>
        <v>0</v>
      </c>
      <c r="BB79" s="494">
        <v>5155.41</v>
      </c>
      <c r="BC79" s="494">
        <v>2070.12</v>
      </c>
      <c r="BD79" s="494">
        <v>848.92</v>
      </c>
      <c r="BE79" s="494">
        <v>819.73</v>
      </c>
      <c r="BF79" s="494">
        <v>611.5</v>
      </c>
      <c r="BG79" s="494">
        <v>1080.04</v>
      </c>
      <c r="BH79" s="494">
        <v>2671800.0099999998</v>
      </c>
      <c r="BI79" s="494">
        <f t="shared" si="36"/>
        <v>4607.6000000000004</v>
      </c>
      <c r="BJ79" s="494">
        <v>14289.54</v>
      </c>
      <c r="BK79" s="494">
        <v>3389.61</v>
      </c>
      <c r="BL79" s="494">
        <v>5995.76</v>
      </c>
      <c r="BM79" s="494">
        <v>548.62</v>
      </c>
      <c r="BN79" s="495" t="e">
        <f t="shared" si="23"/>
        <v>#DIV/0!</v>
      </c>
      <c r="BO79" s="495" t="e">
        <f t="shared" si="24"/>
        <v>#DIV/0!</v>
      </c>
      <c r="BP79" s="495" t="e">
        <f t="shared" si="25"/>
        <v>#DIV/0!</v>
      </c>
      <c r="BQ79" s="495" t="e">
        <f t="shared" si="26"/>
        <v>#DIV/0!</v>
      </c>
      <c r="BR79" s="495" t="e">
        <f t="shared" si="27"/>
        <v>#DIV/0!</v>
      </c>
      <c r="BS79" s="495" t="e">
        <f t="shared" si="28"/>
        <v>#DIV/0!</v>
      </c>
      <c r="BT79" s="495" t="e">
        <f t="shared" si="29"/>
        <v>#DIV/0!</v>
      </c>
      <c r="BU79" s="495" t="str">
        <f t="shared" si="30"/>
        <v xml:space="preserve"> </v>
      </c>
      <c r="BV79" s="495" t="e">
        <f t="shared" si="31"/>
        <v>#DIV/0!</v>
      </c>
      <c r="BW79" s="495" t="e">
        <f t="shared" si="32"/>
        <v>#DIV/0!</v>
      </c>
      <c r="BX79" s="495" t="e">
        <f t="shared" si="33"/>
        <v>#DIV/0!</v>
      </c>
      <c r="BY79" s="495" t="str">
        <f t="shared" si="34"/>
        <v xml:space="preserve"> </v>
      </c>
    </row>
    <row r="80" spans="1:77" s="28" customFormat="1" ht="9" customHeight="1">
      <c r="A80" s="366">
        <v>64</v>
      </c>
      <c r="B80" s="200" t="s">
        <v>540</v>
      </c>
      <c r="C80" s="465">
        <v>3791</v>
      </c>
      <c r="D80" s="308"/>
      <c r="E80" s="141" t="s">
        <v>1005</v>
      </c>
      <c r="F80" s="375">
        <f t="shared" si="37"/>
        <v>0</v>
      </c>
      <c r="G80" s="374">
        <v>3173968</v>
      </c>
      <c r="H80" s="205">
        <v>3173968</v>
      </c>
      <c r="I80" s="368">
        <f t="shared" si="11"/>
        <v>0</v>
      </c>
      <c r="J80" s="205">
        <v>0</v>
      </c>
      <c r="K80" s="465">
        <v>0</v>
      </c>
      <c r="L80" s="205">
        <v>0</v>
      </c>
      <c r="M80" s="465">
        <v>0</v>
      </c>
      <c r="N80" s="205">
        <v>0</v>
      </c>
      <c r="O80" s="249">
        <v>0</v>
      </c>
      <c r="P80" s="368">
        <v>0</v>
      </c>
      <c r="Q80" s="249">
        <v>0</v>
      </c>
      <c r="R80" s="368">
        <v>0</v>
      </c>
      <c r="S80" s="249">
        <v>0</v>
      </c>
      <c r="T80" s="368">
        <v>0</v>
      </c>
      <c r="U80" s="130">
        <v>0</v>
      </c>
      <c r="V80" s="368">
        <v>0</v>
      </c>
      <c r="W80" s="368">
        <v>952</v>
      </c>
      <c r="X80" s="368">
        <f t="shared" si="3"/>
        <v>3031139.44</v>
      </c>
      <c r="Y80" s="368">
        <v>0</v>
      </c>
      <c r="Z80" s="368">
        <v>0</v>
      </c>
      <c r="AA80" s="368">
        <v>0</v>
      </c>
      <c r="AB80" s="368">
        <v>0</v>
      </c>
      <c r="AC80" s="368">
        <v>0</v>
      </c>
      <c r="AD80" s="368">
        <v>0</v>
      </c>
      <c r="AE80" s="368">
        <v>0</v>
      </c>
      <c r="AF80" s="368">
        <v>0</v>
      </c>
      <c r="AG80" s="368">
        <v>0</v>
      </c>
      <c r="AH80" s="368">
        <v>0</v>
      </c>
      <c r="AI80" s="368">
        <v>0</v>
      </c>
      <c r="AJ80" s="370">
        <f t="shared" si="35"/>
        <v>95219.04</v>
      </c>
      <c r="AK80" s="370">
        <f t="shared" ref="AK80:AK106" si="40">ROUND(X80/95.5*1.5,2)</f>
        <v>47609.52</v>
      </c>
      <c r="AL80" s="370">
        <v>0</v>
      </c>
      <c r="AM80" s="447">
        <f t="shared" si="39"/>
        <v>3334</v>
      </c>
      <c r="AN80" s="227">
        <v>4814.95</v>
      </c>
      <c r="AP80" s="486" t="e">
        <f t="shared" si="6"/>
        <v>#DIV/0!</v>
      </c>
      <c r="AQ80" s="486" t="e">
        <f t="shared" si="12"/>
        <v>#DIV/0!</v>
      </c>
      <c r="AR80" s="486" t="e">
        <f t="shared" si="13"/>
        <v>#DIV/0!</v>
      </c>
      <c r="AS80" s="486" t="e">
        <f t="shared" si="14"/>
        <v>#DIV/0!</v>
      </c>
      <c r="AT80" s="486" t="e">
        <f t="shared" si="15"/>
        <v>#DIV/0!</v>
      </c>
      <c r="AU80" s="486" t="e">
        <f t="shared" si="16"/>
        <v>#DIV/0!</v>
      </c>
      <c r="AV80" s="486" t="e">
        <f t="shared" si="17"/>
        <v>#DIV/0!</v>
      </c>
      <c r="AW80" s="486">
        <f t="shared" si="18"/>
        <v>3183.97</v>
      </c>
      <c r="AX80" s="486" t="e">
        <f t="shared" si="19"/>
        <v>#DIV/0!</v>
      </c>
      <c r="AY80" s="486" t="e">
        <f t="shared" si="20"/>
        <v>#DIV/0!</v>
      </c>
      <c r="AZ80" s="486" t="e">
        <f t="shared" si="21"/>
        <v>#DIV/0!</v>
      </c>
      <c r="BA80" s="486">
        <f t="shared" si="7"/>
        <v>0</v>
      </c>
      <c r="BB80" s="494">
        <v>5155.41</v>
      </c>
      <c r="BC80" s="494">
        <v>2070.12</v>
      </c>
      <c r="BD80" s="494">
        <v>848.92</v>
      </c>
      <c r="BE80" s="494">
        <v>819.73</v>
      </c>
      <c r="BF80" s="494">
        <v>611.5</v>
      </c>
      <c r="BG80" s="494">
        <v>1080.04</v>
      </c>
      <c r="BH80" s="494">
        <v>2671800.0099999998</v>
      </c>
      <c r="BI80" s="494">
        <f t="shared" si="36"/>
        <v>4607.6000000000004</v>
      </c>
      <c r="BJ80" s="494">
        <v>14289.54</v>
      </c>
      <c r="BK80" s="494">
        <v>3389.61</v>
      </c>
      <c r="BL80" s="494">
        <v>5995.76</v>
      </c>
      <c r="BM80" s="494">
        <v>548.62</v>
      </c>
      <c r="BN80" s="495" t="e">
        <f t="shared" si="23"/>
        <v>#DIV/0!</v>
      </c>
      <c r="BO80" s="495" t="e">
        <f t="shared" si="24"/>
        <v>#DIV/0!</v>
      </c>
      <c r="BP80" s="495" t="e">
        <f t="shared" si="25"/>
        <v>#DIV/0!</v>
      </c>
      <c r="BQ80" s="495" t="e">
        <f t="shared" si="26"/>
        <v>#DIV/0!</v>
      </c>
      <c r="BR80" s="495" t="e">
        <f t="shared" si="27"/>
        <v>#DIV/0!</v>
      </c>
      <c r="BS80" s="495" t="e">
        <f t="shared" si="28"/>
        <v>#DIV/0!</v>
      </c>
      <c r="BT80" s="495" t="e">
        <f t="shared" si="29"/>
        <v>#DIV/0!</v>
      </c>
      <c r="BU80" s="495" t="str">
        <f t="shared" si="30"/>
        <v xml:space="preserve"> </v>
      </c>
      <c r="BV80" s="495" t="e">
        <f t="shared" si="31"/>
        <v>#DIV/0!</v>
      </c>
      <c r="BW80" s="495" t="e">
        <f t="shared" si="32"/>
        <v>#DIV/0!</v>
      </c>
      <c r="BX80" s="495" t="e">
        <f t="shared" si="33"/>
        <v>#DIV/0!</v>
      </c>
      <c r="BY80" s="495" t="str">
        <f t="shared" si="34"/>
        <v xml:space="preserve"> </v>
      </c>
    </row>
    <row r="81" spans="1:77" s="28" customFormat="1" ht="9" customHeight="1">
      <c r="A81" s="366">
        <v>65</v>
      </c>
      <c r="B81" s="200" t="s">
        <v>541</v>
      </c>
      <c r="C81" s="465">
        <v>3980.7</v>
      </c>
      <c r="D81" s="466"/>
      <c r="E81" s="201"/>
      <c r="F81" s="375">
        <f t="shared" ref="F81:F112" si="41">H81-G81</f>
        <v>0</v>
      </c>
      <c r="G81" s="375">
        <v>7292642.4000000004</v>
      </c>
      <c r="H81" s="205">
        <f>I81+AI81+AJ81+AK81</f>
        <v>7292642.3999999994</v>
      </c>
      <c r="I81" s="368">
        <f t="shared" si="11"/>
        <v>6196556.6500000004</v>
      </c>
      <c r="J81" s="205">
        <v>0</v>
      </c>
      <c r="K81" s="465">
        <v>0</v>
      </c>
      <c r="L81" s="205">
        <f>ROUND(0.955*(C81*1200)-0.01,2)</f>
        <v>4561882.1900000004</v>
      </c>
      <c r="M81" s="465">
        <v>0</v>
      </c>
      <c r="N81" s="205">
        <v>0</v>
      </c>
      <c r="O81" s="249"/>
      <c r="P81" s="368">
        <f>ROUND(0.955*(C81*210),2)</f>
        <v>798329.39</v>
      </c>
      <c r="Q81" s="249">
        <v>0</v>
      </c>
      <c r="R81" s="368">
        <v>0</v>
      </c>
      <c r="S81" s="249">
        <v>0</v>
      </c>
      <c r="T81" s="368">
        <f>ROUND(0.955*(C81*220),2)</f>
        <v>836345.07</v>
      </c>
      <c r="U81" s="130">
        <v>0</v>
      </c>
      <c r="V81" s="368">
        <v>0</v>
      </c>
      <c r="W81" s="368" t="s">
        <v>1159</v>
      </c>
      <c r="X81" s="368">
        <v>0</v>
      </c>
      <c r="Y81" s="368">
        <v>0</v>
      </c>
      <c r="Z81" s="368">
        <v>0</v>
      </c>
      <c r="AA81" s="368">
        <v>0</v>
      </c>
      <c r="AB81" s="368">
        <v>0</v>
      </c>
      <c r="AC81" s="368">
        <v>0</v>
      </c>
      <c r="AD81" s="368">
        <v>0</v>
      </c>
      <c r="AE81" s="368">
        <v>0</v>
      </c>
      <c r="AF81" s="368">
        <v>0</v>
      </c>
      <c r="AG81" s="368">
        <v>0</v>
      </c>
      <c r="AH81" s="368">
        <v>0</v>
      </c>
      <c r="AI81" s="370">
        <f>ROUND(0.955*C81*(180+22),2)</f>
        <v>767916.84</v>
      </c>
      <c r="AJ81" s="370">
        <f>ROUND(0.03*(210+220+1200+180+22)*C81,2)</f>
        <v>218779.27</v>
      </c>
      <c r="AK81" s="370">
        <f>ROUND(0.015*(210+220+1200+180+22)*C81,2)</f>
        <v>109389.64</v>
      </c>
      <c r="AL81" s="370">
        <v>0</v>
      </c>
      <c r="AM81" s="227"/>
      <c r="AN81" s="227"/>
      <c r="AP81" s="486" t="e">
        <f t="shared" ref="AP81:AP144" si="42">J81/D81</f>
        <v>#DIV/0!</v>
      </c>
      <c r="AQ81" s="486" t="e">
        <f t="shared" si="12"/>
        <v>#DIV/0!</v>
      </c>
      <c r="AR81" s="486" t="e">
        <f t="shared" si="13"/>
        <v>#DIV/0!</v>
      </c>
      <c r="AS81" s="486" t="e">
        <f t="shared" si="14"/>
        <v>#DIV/0!</v>
      </c>
      <c r="AT81" s="486" t="e">
        <f t="shared" si="15"/>
        <v>#DIV/0!</v>
      </c>
      <c r="AU81" s="486" t="e">
        <f t="shared" si="16"/>
        <v>#DIV/0!</v>
      </c>
      <c r="AV81" s="486" t="e">
        <f t="shared" si="17"/>
        <v>#DIV/0!</v>
      </c>
      <c r="AW81" s="486" t="e">
        <f t="shared" si="18"/>
        <v>#DIV/0!</v>
      </c>
      <c r="AX81" s="486" t="e">
        <f t="shared" si="19"/>
        <v>#DIV/0!</v>
      </c>
      <c r="AY81" s="486" t="e">
        <f t="shared" si="20"/>
        <v>#DIV/0!</v>
      </c>
      <c r="AZ81" s="486" t="e">
        <f t="shared" si="21"/>
        <v>#DIV/0!</v>
      </c>
      <c r="BA81" s="486">
        <f t="shared" ref="BA81:BA144" si="43">AI81/C81</f>
        <v>192.9100007536363</v>
      </c>
      <c r="BB81" s="494">
        <v>5155.41</v>
      </c>
      <c r="BC81" s="494">
        <v>2070.12</v>
      </c>
      <c r="BD81" s="494">
        <v>848.92</v>
      </c>
      <c r="BE81" s="494">
        <v>819.73</v>
      </c>
      <c r="BF81" s="494">
        <v>611.5</v>
      </c>
      <c r="BG81" s="494">
        <v>1080.04</v>
      </c>
      <c r="BH81" s="494">
        <v>2671800.0099999998</v>
      </c>
      <c r="BI81" s="494">
        <f t="shared" si="36"/>
        <v>4422.8500000000004</v>
      </c>
      <c r="BJ81" s="494">
        <v>14289.54</v>
      </c>
      <c r="BK81" s="494">
        <v>3389.61</v>
      </c>
      <c r="BL81" s="494">
        <v>5995.76</v>
      </c>
      <c r="BM81" s="494">
        <v>548.62</v>
      </c>
      <c r="BN81" s="495" t="e">
        <f t="shared" si="23"/>
        <v>#DIV/0!</v>
      </c>
      <c r="BO81" s="495" t="e">
        <f t="shared" si="24"/>
        <v>#DIV/0!</v>
      </c>
      <c r="BP81" s="495" t="e">
        <f t="shared" si="25"/>
        <v>#DIV/0!</v>
      </c>
      <c r="BQ81" s="495" t="e">
        <f t="shared" si="26"/>
        <v>#DIV/0!</v>
      </c>
      <c r="BR81" s="495" t="e">
        <f t="shared" si="27"/>
        <v>#DIV/0!</v>
      </c>
      <c r="BS81" s="495" t="e">
        <f t="shared" si="28"/>
        <v>#DIV/0!</v>
      </c>
      <c r="BT81" s="495" t="e">
        <f t="shared" si="29"/>
        <v>#DIV/0!</v>
      </c>
      <c r="BU81" s="495" t="e">
        <f t="shared" si="30"/>
        <v>#DIV/0!</v>
      </c>
      <c r="BV81" s="495" t="e">
        <f t="shared" si="31"/>
        <v>#DIV/0!</v>
      </c>
      <c r="BW81" s="495" t="e">
        <f t="shared" si="32"/>
        <v>#DIV/0!</v>
      </c>
      <c r="BX81" s="495" t="e">
        <f t="shared" si="33"/>
        <v>#DIV/0!</v>
      </c>
      <c r="BY81" s="495" t="str">
        <f t="shared" si="34"/>
        <v xml:space="preserve"> </v>
      </c>
    </row>
    <row r="82" spans="1:77" s="28" customFormat="1" ht="9" customHeight="1">
      <c r="A82" s="366">
        <v>66</v>
      </c>
      <c r="B82" s="200" t="s">
        <v>542</v>
      </c>
      <c r="C82" s="465">
        <v>1781.2</v>
      </c>
      <c r="D82" s="466"/>
      <c r="E82" s="201" t="s">
        <v>1006</v>
      </c>
      <c r="F82" s="375">
        <f t="shared" si="41"/>
        <v>0</v>
      </c>
      <c r="G82" s="375">
        <v>2037420</v>
      </c>
      <c r="H82" s="205">
        <v>2037420</v>
      </c>
      <c r="I82" s="368">
        <f t="shared" ref="I82:I145" si="44">J82+L82+N82+P82+R82+T82</f>
        <v>0</v>
      </c>
      <c r="J82" s="205">
        <v>0</v>
      </c>
      <c r="K82" s="465">
        <v>0</v>
      </c>
      <c r="L82" s="205">
        <v>0</v>
      </c>
      <c r="M82" s="465">
        <v>0</v>
      </c>
      <c r="N82" s="205">
        <v>0</v>
      </c>
      <c r="O82" s="249">
        <v>0</v>
      </c>
      <c r="P82" s="368">
        <v>0</v>
      </c>
      <c r="Q82" s="249">
        <v>0</v>
      </c>
      <c r="R82" s="368">
        <v>0</v>
      </c>
      <c r="S82" s="249">
        <v>0</v>
      </c>
      <c r="T82" s="368">
        <v>0</v>
      </c>
      <c r="U82" s="130">
        <v>0</v>
      </c>
      <c r="V82" s="368">
        <v>0</v>
      </c>
      <c r="W82" s="368">
        <v>630</v>
      </c>
      <c r="X82" s="368">
        <f>ROUND(H82/100*95.5,2)</f>
        <v>1945736.1</v>
      </c>
      <c r="Y82" s="368">
        <v>0</v>
      </c>
      <c r="Z82" s="368">
        <v>0</v>
      </c>
      <c r="AA82" s="368">
        <v>0</v>
      </c>
      <c r="AB82" s="368">
        <v>0</v>
      </c>
      <c r="AC82" s="368">
        <v>0</v>
      </c>
      <c r="AD82" s="368">
        <v>0</v>
      </c>
      <c r="AE82" s="368">
        <v>0</v>
      </c>
      <c r="AF82" s="368">
        <v>0</v>
      </c>
      <c r="AG82" s="368">
        <v>0</v>
      </c>
      <c r="AH82" s="368">
        <v>0</v>
      </c>
      <c r="AI82" s="368">
        <v>0</v>
      </c>
      <c r="AJ82" s="370">
        <f t="shared" si="35"/>
        <v>61122.6</v>
      </c>
      <c r="AK82" s="370">
        <f t="shared" si="40"/>
        <v>30561.3</v>
      </c>
      <c r="AL82" s="370">
        <v>0</v>
      </c>
      <c r="AM82" s="447">
        <f t="shared" ref="AM82:AM87" si="45">H82/W82</f>
        <v>3234</v>
      </c>
      <c r="AN82" s="227">
        <v>4621.88</v>
      </c>
      <c r="AP82" s="486" t="e">
        <f t="shared" si="42"/>
        <v>#DIV/0!</v>
      </c>
      <c r="AQ82" s="486" t="e">
        <f t="shared" ref="AQ82:AQ145" si="46">L82/K82</f>
        <v>#DIV/0!</v>
      </c>
      <c r="AR82" s="486" t="e">
        <f t="shared" ref="AR82:AR145" si="47">N82/M82</f>
        <v>#DIV/0!</v>
      </c>
      <c r="AS82" s="486" t="e">
        <f t="shared" ref="AS82:AS145" si="48">P82/O82</f>
        <v>#DIV/0!</v>
      </c>
      <c r="AT82" s="486" t="e">
        <f t="shared" ref="AT82:AT145" si="49">R82/Q82</f>
        <v>#DIV/0!</v>
      </c>
      <c r="AU82" s="486" t="e">
        <f t="shared" ref="AU82:AU145" si="50">T82/S82</f>
        <v>#DIV/0!</v>
      </c>
      <c r="AV82" s="486" t="e">
        <f t="shared" ref="AV82:AV145" si="51">V82/U82</f>
        <v>#DIV/0!</v>
      </c>
      <c r="AW82" s="486">
        <f t="shared" ref="AW82:AW145" si="52">X82/W82</f>
        <v>3088.4700000000003</v>
      </c>
      <c r="AX82" s="486" t="e">
        <f t="shared" ref="AX82:AX145" si="53">Z82/Y82</f>
        <v>#DIV/0!</v>
      </c>
      <c r="AY82" s="486" t="e">
        <f t="shared" ref="AY82:AY145" si="54">AB82/AA82</f>
        <v>#DIV/0!</v>
      </c>
      <c r="AZ82" s="486" t="e">
        <f t="shared" ref="AZ82:AZ145" si="55">AH82/AG82</f>
        <v>#DIV/0!</v>
      </c>
      <c r="BA82" s="486">
        <f t="shared" si="43"/>
        <v>0</v>
      </c>
      <c r="BB82" s="494">
        <v>5155.41</v>
      </c>
      <c r="BC82" s="494">
        <v>2070.12</v>
      </c>
      <c r="BD82" s="494">
        <v>848.92</v>
      </c>
      <c r="BE82" s="494">
        <v>819.73</v>
      </c>
      <c r="BF82" s="494">
        <v>611.5</v>
      </c>
      <c r="BG82" s="494">
        <v>1080.04</v>
      </c>
      <c r="BH82" s="494">
        <v>2671800.0099999998</v>
      </c>
      <c r="BI82" s="494">
        <f t="shared" si="36"/>
        <v>4422.8500000000004</v>
      </c>
      <c r="BJ82" s="494">
        <v>14289.54</v>
      </c>
      <c r="BK82" s="494">
        <v>3389.61</v>
      </c>
      <c r="BL82" s="494">
        <v>5995.76</v>
      </c>
      <c r="BM82" s="494">
        <v>548.62</v>
      </c>
      <c r="BN82" s="495" t="e">
        <f t="shared" ref="BN82:BN145" si="56">IF(AP82&gt;BB82, "+", " ")</f>
        <v>#DIV/0!</v>
      </c>
      <c r="BO82" s="495" t="e">
        <f t="shared" ref="BO82:BO145" si="57">IF(AQ82&gt;BC82, "+", " ")</f>
        <v>#DIV/0!</v>
      </c>
      <c r="BP82" s="495" t="e">
        <f t="shared" ref="BP82:BP145" si="58">IF(AR82&gt;BD82, "+", " ")</f>
        <v>#DIV/0!</v>
      </c>
      <c r="BQ82" s="495" t="e">
        <f t="shared" ref="BQ82:BQ145" si="59">IF(AS82&gt;BE82, "+", " ")</f>
        <v>#DIV/0!</v>
      </c>
      <c r="BR82" s="495" t="e">
        <f t="shared" ref="BR82:BR145" si="60">IF(AT82&gt;BF82, "+", " ")</f>
        <v>#DIV/0!</v>
      </c>
      <c r="BS82" s="495" t="e">
        <f t="shared" ref="BS82:BS145" si="61">IF(AU82&gt;BG82, "+", " ")</f>
        <v>#DIV/0!</v>
      </c>
      <c r="BT82" s="495" t="e">
        <f t="shared" ref="BT82:BT145" si="62">IF(AV82&gt;BH82, "+", " ")</f>
        <v>#DIV/0!</v>
      </c>
      <c r="BU82" s="495" t="str">
        <f t="shared" ref="BU82:BU145" si="63">IF(AW82&gt;BI82, "+", " ")</f>
        <v xml:space="preserve"> </v>
      </c>
      <c r="BV82" s="495" t="e">
        <f t="shared" ref="BV82:BV145" si="64">IF(AX82&gt;BJ82, "+", " ")</f>
        <v>#DIV/0!</v>
      </c>
      <c r="BW82" s="495" t="e">
        <f t="shared" ref="BW82:BW145" si="65">IF(AY82&gt;BK82, "+", " ")</f>
        <v>#DIV/0!</v>
      </c>
      <c r="BX82" s="495" t="e">
        <f t="shared" ref="BX82:BX145" si="66">IF(AZ82&gt;BL82, "+", " ")</f>
        <v>#DIV/0!</v>
      </c>
      <c r="BY82" s="495" t="str">
        <f t="shared" ref="BY82:BY145" si="67">IF(BA82&gt;BM82, "+", " ")</f>
        <v xml:space="preserve"> </v>
      </c>
    </row>
    <row r="83" spans="1:77" s="28" customFormat="1" ht="9" customHeight="1">
      <c r="A83" s="366">
        <v>67</v>
      </c>
      <c r="B83" s="200" t="s">
        <v>543</v>
      </c>
      <c r="C83" s="465">
        <v>1653.8</v>
      </c>
      <c r="D83" s="308"/>
      <c r="E83" s="141" t="s">
        <v>1005</v>
      </c>
      <c r="F83" s="375">
        <f t="shared" si="41"/>
        <v>0</v>
      </c>
      <c r="G83" s="374">
        <v>5099686.4000000004</v>
      </c>
      <c r="H83" s="205">
        <v>5099686.4000000004</v>
      </c>
      <c r="I83" s="368">
        <f t="shared" si="44"/>
        <v>0</v>
      </c>
      <c r="J83" s="205">
        <v>0</v>
      </c>
      <c r="K83" s="465">
        <v>0</v>
      </c>
      <c r="L83" s="205">
        <v>0</v>
      </c>
      <c r="M83" s="465">
        <v>0</v>
      </c>
      <c r="N83" s="205">
        <v>0</v>
      </c>
      <c r="O83" s="249">
        <v>0</v>
      </c>
      <c r="P83" s="368">
        <v>0</v>
      </c>
      <c r="Q83" s="249">
        <v>0</v>
      </c>
      <c r="R83" s="368">
        <v>0</v>
      </c>
      <c r="S83" s="249">
        <v>0</v>
      </c>
      <c r="T83" s="368">
        <v>0</v>
      </c>
      <c r="U83" s="130">
        <v>0</v>
      </c>
      <c r="V83" s="368">
        <v>0</v>
      </c>
      <c r="W83" s="368">
        <v>1529.6</v>
      </c>
      <c r="X83" s="368">
        <f>ROUND(H83/100*95.5,2)</f>
        <v>4870200.51</v>
      </c>
      <c r="Y83" s="368">
        <v>0</v>
      </c>
      <c r="Z83" s="368">
        <v>0</v>
      </c>
      <c r="AA83" s="368">
        <v>0</v>
      </c>
      <c r="AB83" s="368">
        <v>0</v>
      </c>
      <c r="AC83" s="368">
        <v>0</v>
      </c>
      <c r="AD83" s="368">
        <v>0</v>
      </c>
      <c r="AE83" s="368">
        <v>0</v>
      </c>
      <c r="AF83" s="368">
        <v>0</v>
      </c>
      <c r="AG83" s="368">
        <v>0</v>
      </c>
      <c r="AH83" s="368">
        <v>0</v>
      </c>
      <c r="AI83" s="368">
        <v>0</v>
      </c>
      <c r="AJ83" s="370">
        <f t="shared" si="35"/>
        <v>152990.59</v>
      </c>
      <c r="AK83" s="370">
        <f t="shared" si="40"/>
        <v>76495.3</v>
      </c>
      <c r="AL83" s="370">
        <v>0</v>
      </c>
      <c r="AM83" s="447">
        <f t="shared" si="45"/>
        <v>3334.0000000000005</v>
      </c>
      <c r="AN83" s="227">
        <v>4814.95</v>
      </c>
      <c r="AP83" s="486" t="e">
        <f t="shared" si="42"/>
        <v>#DIV/0!</v>
      </c>
      <c r="AQ83" s="486" t="e">
        <f t="shared" si="46"/>
        <v>#DIV/0!</v>
      </c>
      <c r="AR83" s="486" t="e">
        <f t="shared" si="47"/>
        <v>#DIV/0!</v>
      </c>
      <c r="AS83" s="486" t="e">
        <f t="shared" si="48"/>
        <v>#DIV/0!</v>
      </c>
      <c r="AT83" s="486" t="e">
        <f t="shared" si="49"/>
        <v>#DIV/0!</v>
      </c>
      <c r="AU83" s="486" t="e">
        <f t="shared" si="50"/>
        <v>#DIV/0!</v>
      </c>
      <c r="AV83" s="486" t="e">
        <f t="shared" si="51"/>
        <v>#DIV/0!</v>
      </c>
      <c r="AW83" s="486">
        <f t="shared" si="52"/>
        <v>3183.9699986924688</v>
      </c>
      <c r="AX83" s="486" t="e">
        <f t="shared" si="53"/>
        <v>#DIV/0!</v>
      </c>
      <c r="AY83" s="486" t="e">
        <f t="shared" si="54"/>
        <v>#DIV/0!</v>
      </c>
      <c r="AZ83" s="486" t="e">
        <f t="shared" si="55"/>
        <v>#DIV/0!</v>
      </c>
      <c r="BA83" s="486">
        <f t="shared" si="43"/>
        <v>0</v>
      </c>
      <c r="BB83" s="494">
        <v>5155.41</v>
      </c>
      <c r="BC83" s="494">
        <v>2070.12</v>
      </c>
      <c r="BD83" s="494">
        <v>848.92</v>
      </c>
      <c r="BE83" s="494">
        <v>819.73</v>
      </c>
      <c r="BF83" s="494">
        <v>611.5</v>
      </c>
      <c r="BG83" s="494">
        <v>1080.04</v>
      </c>
      <c r="BH83" s="494">
        <v>2671800.0099999998</v>
      </c>
      <c r="BI83" s="494">
        <f t="shared" si="36"/>
        <v>4607.6000000000004</v>
      </c>
      <c r="BJ83" s="494">
        <v>14289.54</v>
      </c>
      <c r="BK83" s="494">
        <v>3389.61</v>
      </c>
      <c r="BL83" s="494">
        <v>5995.76</v>
      </c>
      <c r="BM83" s="494">
        <v>548.62</v>
      </c>
      <c r="BN83" s="495" t="e">
        <f t="shared" si="56"/>
        <v>#DIV/0!</v>
      </c>
      <c r="BO83" s="495" t="e">
        <f t="shared" si="57"/>
        <v>#DIV/0!</v>
      </c>
      <c r="BP83" s="495" t="e">
        <f t="shared" si="58"/>
        <v>#DIV/0!</v>
      </c>
      <c r="BQ83" s="495" t="e">
        <f t="shared" si="59"/>
        <v>#DIV/0!</v>
      </c>
      <c r="BR83" s="495" t="e">
        <f t="shared" si="60"/>
        <v>#DIV/0!</v>
      </c>
      <c r="BS83" s="495" t="e">
        <f t="shared" si="61"/>
        <v>#DIV/0!</v>
      </c>
      <c r="BT83" s="495" t="e">
        <f t="shared" si="62"/>
        <v>#DIV/0!</v>
      </c>
      <c r="BU83" s="495" t="str">
        <f t="shared" si="63"/>
        <v xml:space="preserve"> </v>
      </c>
      <c r="BV83" s="495" t="e">
        <f t="shared" si="64"/>
        <v>#DIV/0!</v>
      </c>
      <c r="BW83" s="495" t="e">
        <f t="shared" si="65"/>
        <v>#DIV/0!</v>
      </c>
      <c r="BX83" s="495" t="e">
        <f t="shared" si="66"/>
        <v>#DIV/0!</v>
      </c>
      <c r="BY83" s="495" t="str">
        <f t="shared" si="67"/>
        <v xml:space="preserve"> </v>
      </c>
    </row>
    <row r="84" spans="1:77" s="28" customFormat="1" ht="9" customHeight="1">
      <c r="A84" s="366">
        <v>68</v>
      </c>
      <c r="B84" s="200" t="s">
        <v>544</v>
      </c>
      <c r="C84" s="465">
        <v>3742.7</v>
      </c>
      <c r="D84" s="308"/>
      <c r="E84" s="141" t="s">
        <v>1005</v>
      </c>
      <c r="F84" s="375">
        <f t="shared" si="41"/>
        <v>0</v>
      </c>
      <c r="G84" s="374">
        <v>3477362</v>
      </c>
      <c r="H84" s="205">
        <v>3477362</v>
      </c>
      <c r="I84" s="368">
        <f t="shared" si="44"/>
        <v>0</v>
      </c>
      <c r="J84" s="205">
        <v>0</v>
      </c>
      <c r="K84" s="465">
        <v>0</v>
      </c>
      <c r="L84" s="205">
        <v>0</v>
      </c>
      <c r="M84" s="465">
        <v>0</v>
      </c>
      <c r="N84" s="205">
        <v>0</v>
      </c>
      <c r="O84" s="249">
        <v>0</v>
      </c>
      <c r="P84" s="368">
        <v>0</v>
      </c>
      <c r="Q84" s="249">
        <v>0</v>
      </c>
      <c r="R84" s="368">
        <v>0</v>
      </c>
      <c r="S84" s="249">
        <v>0</v>
      </c>
      <c r="T84" s="368">
        <v>0</v>
      </c>
      <c r="U84" s="130">
        <v>0</v>
      </c>
      <c r="V84" s="368">
        <v>0</v>
      </c>
      <c r="W84" s="368">
        <v>1043</v>
      </c>
      <c r="X84" s="368">
        <f>ROUND(H84/100*95.5,2)</f>
        <v>3320880.71</v>
      </c>
      <c r="Y84" s="368">
        <v>0</v>
      </c>
      <c r="Z84" s="368">
        <v>0</v>
      </c>
      <c r="AA84" s="368">
        <v>0</v>
      </c>
      <c r="AB84" s="368">
        <v>0</v>
      </c>
      <c r="AC84" s="368">
        <v>0</v>
      </c>
      <c r="AD84" s="368">
        <v>0</v>
      </c>
      <c r="AE84" s="368">
        <v>0</v>
      </c>
      <c r="AF84" s="368">
        <v>0</v>
      </c>
      <c r="AG84" s="368">
        <v>0</v>
      </c>
      <c r="AH84" s="368">
        <v>0</v>
      </c>
      <c r="AI84" s="368">
        <v>0</v>
      </c>
      <c r="AJ84" s="370">
        <f t="shared" si="35"/>
        <v>104320.86</v>
      </c>
      <c r="AK84" s="370">
        <f t="shared" si="40"/>
        <v>52160.43</v>
      </c>
      <c r="AL84" s="370">
        <v>0</v>
      </c>
      <c r="AM84" s="447">
        <f t="shared" si="45"/>
        <v>3334</v>
      </c>
      <c r="AN84" s="227">
        <v>4814.95</v>
      </c>
      <c r="AP84" s="486" t="e">
        <f t="shared" si="42"/>
        <v>#DIV/0!</v>
      </c>
      <c r="AQ84" s="486" t="e">
        <f t="shared" si="46"/>
        <v>#DIV/0!</v>
      </c>
      <c r="AR84" s="486" t="e">
        <f t="shared" si="47"/>
        <v>#DIV/0!</v>
      </c>
      <c r="AS84" s="486" t="e">
        <f t="shared" si="48"/>
        <v>#DIV/0!</v>
      </c>
      <c r="AT84" s="486" t="e">
        <f t="shared" si="49"/>
        <v>#DIV/0!</v>
      </c>
      <c r="AU84" s="486" t="e">
        <f t="shared" si="50"/>
        <v>#DIV/0!</v>
      </c>
      <c r="AV84" s="486" t="e">
        <f t="shared" si="51"/>
        <v>#DIV/0!</v>
      </c>
      <c r="AW84" s="486">
        <f t="shared" si="52"/>
        <v>3183.97</v>
      </c>
      <c r="AX84" s="486" t="e">
        <f t="shared" si="53"/>
        <v>#DIV/0!</v>
      </c>
      <c r="AY84" s="486" t="e">
        <f t="shared" si="54"/>
        <v>#DIV/0!</v>
      </c>
      <c r="AZ84" s="486" t="e">
        <f t="shared" si="55"/>
        <v>#DIV/0!</v>
      </c>
      <c r="BA84" s="486">
        <f t="shared" si="43"/>
        <v>0</v>
      </c>
      <c r="BB84" s="494">
        <v>5155.41</v>
      </c>
      <c r="BC84" s="494">
        <v>2070.12</v>
      </c>
      <c r="BD84" s="494">
        <v>848.92</v>
      </c>
      <c r="BE84" s="494">
        <v>819.73</v>
      </c>
      <c r="BF84" s="494">
        <v>611.5</v>
      </c>
      <c r="BG84" s="494">
        <v>1080.04</v>
      </c>
      <c r="BH84" s="494">
        <v>2671800.0099999998</v>
      </c>
      <c r="BI84" s="494">
        <f t="shared" si="36"/>
        <v>4607.6000000000004</v>
      </c>
      <c r="BJ84" s="494">
        <v>14289.54</v>
      </c>
      <c r="BK84" s="494">
        <v>3389.61</v>
      </c>
      <c r="BL84" s="494">
        <v>5995.76</v>
      </c>
      <c r="BM84" s="494">
        <v>548.62</v>
      </c>
      <c r="BN84" s="495" t="e">
        <f t="shared" si="56"/>
        <v>#DIV/0!</v>
      </c>
      <c r="BO84" s="495" t="e">
        <f t="shared" si="57"/>
        <v>#DIV/0!</v>
      </c>
      <c r="BP84" s="495" t="e">
        <f t="shared" si="58"/>
        <v>#DIV/0!</v>
      </c>
      <c r="BQ84" s="495" t="e">
        <f t="shared" si="59"/>
        <v>#DIV/0!</v>
      </c>
      <c r="BR84" s="495" t="e">
        <f t="shared" si="60"/>
        <v>#DIV/0!</v>
      </c>
      <c r="BS84" s="495" t="e">
        <f t="shared" si="61"/>
        <v>#DIV/0!</v>
      </c>
      <c r="BT84" s="495" t="e">
        <f t="shared" si="62"/>
        <v>#DIV/0!</v>
      </c>
      <c r="BU84" s="495" t="str">
        <f t="shared" si="63"/>
        <v xml:space="preserve"> </v>
      </c>
      <c r="BV84" s="495" t="e">
        <f t="shared" si="64"/>
        <v>#DIV/0!</v>
      </c>
      <c r="BW84" s="495" t="e">
        <f t="shared" si="65"/>
        <v>#DIV/0!</v>
      </c>
      <c r="BX84" s="495" t="e">
        <f t="shared" si="66"/>
        <v>#DIV/0!</v>
      </c>
      <c r="BY84" s="495" t="str">
        <f t="shared" si="67"/>
        <v xml:space="preserve"> </v>
      </c>
    </row>
    <row r="85" spans="1:77" s="28" customFormat="1" ht="9" customHeight="1">
      <c r="A85" s="366">
        <v>69</v>
      </c>
      <c r="B85" s="200" t="s">
        <v>545</v>
      </c>
      <c r="C85" s="465">
        <v>2779</v>
      </c>
      <c r="D85" s="308"/>
      <c r="E85" s="141" t="s">
        <v>1005</v>
      </c>
      <c r="F85" s="375">
        <f t="shared" si="41"/>
        <v>0</v>
      </c>
      <c r="G85" s="374">
        <v>2688871</v>
      </c>
      <c r="H85" s="205">
        <v>2688871</v>
      </c>
      <c r="I85" s="368">
        <f t="shared" si="44"/>
        <v>0</v>
      </c>
      <c r="J85" s="205">
        <v>0</v>
      </c>
      <c r="K85" s="465">
        <v>0</v>
      </c>
      <c r="L85" s="205">
        <v>0</v>
      </c>
      <c r="M85" s="465">
        <v>0</v>
      </c>
      <c r="N85" s="205">
        <v>0</v>
      </c>
      <c r="O85" s="249">
        <v>0</v>
      </c>
      <c r="P85" s="368">
        <v>0</v>
      </c>
      <c r="Q85" s="249">
        <v>0</v>
      </c>
      <c r="R85" s="368">
        <v>0</v>
      </c>
      <c r="S85" s="249">
        <v>0</v>
      </c>
      <c r="T85" s="368">
        <v>0</v>
      </c>
      <c r="U85" s="130">
        <v>0</v>
      </c>
      <c r="V85" s="368">
        <v>0</v>
      </c>
      <c r="W85" s="368">
        <v>806.5</v>
      </c>
      <c r="X85" s="368">
        <f>ROUND(H85/100*95.5-0.01,2)</f>
        <v>2567871.7999999998</v>
      </c>
      <c r="Y85" s="368">
        <v>0</v>
      </c>
      <c r="Z85" s="368">
        <v>0</v>
      </c>
      <c r="AA85" s="368">
        <v>0</v>
      </c>
      <c r="AB85" s="368">
        <v>0</v>
      </c>
      <c r="AC85" s="368">
        <v>0</v>
      </c>
      <c r="AD85" s="368">
        <v>0</v>
      </c>
      <c r="AE85" s="368">
        <v>0</v>
      </c>
      <c r="AF85" s="368">
        <v>0</v>
      </c>
      <c r="AG85" s="368">
        <v>0</v>
      </c>
      <c r="AH85" s="368">
        <v>0</v>
      </c>
      <c r="AI85" s="368">
        <v>0</v>
      </c>
      <c r="AJ85" s="370">
        <f>ROUND(X85/95.5*3+0.01,2)</f>
        <v>80666.14</v>
      </c>
      <c r="AK85" s="370">
        <f t="shared" si="40"/>
        <v>40333.06</v>
      </c>
      <c r="AL85" s="370">
        <v>0</v>
      </c>
      <c r="AM85" s="447">
        <f t="shared" si="45"/>
        <v>3334</v>
      </c>
      <c r="AN85" s="227">
        <v>4814.95</v>
      </c>
      <c r="AP85" s="486" t="e">
        <f t="shared" si="42"/>
        <v>#DIV/0!</v>
      </c>
      <c r="AQ85" s="486" t="e">
        <f t="shared" si="46"/>
        <v>#DIV/0!</v>
      </c>
      <c r="AR85" s="486" t="e">
        <f t="shared" si="47"/>
        <v>#DIV/0!</v>
      </c>
      <c r="AS85" s="486" t="e">
        <f t="shared" si="48"/>
        <v>#DIV/0!</v>
      </c>
      <c r="AT85" s="486" t="e">
        <f t="shared" si="49"/>
        <v>#DIV/0!</v>
      </c>
      <c r="AU85" s="486" t="e">
        <f t="shared" si="50"/>
        <v>#DIV/0!</v>
      </c>
      <c r="AV85" s="486" t="e">
        <f t="shared" si="51"/>
        <v>#DIV/0!</v>
      </c>
      <c r="AW85" s="486">
        <f t="shared" si="52"/>
        <v>3183.9699938003719</v>
      </c>
      <c r="AX85" s="486" t="e">
        <f t="shared" si="53"/>
        <v>#DIV/0!</v>
      </c>
      <c r="AY85" s="486" t="e">
        <f t="shared" si="54"/>
        <v>#DIV/0!</v>
      </c>
      <c r="AZ85" s="486" t="e">
        <f t="shared" si="55"/>
        <v>#DIV/0!</v>
      </c>
      <c r="BA85" s="486">
        <f t="shared" si="43"/>
        <v>0</v>
      </c>
      <c r="BB85" s="494">
        <v>5155.41</v>
      </c>
      <c r="BC85" s="494">
        <v>2070.12</v>
      </c>
      <c r="BD85" s="494">
        <v>848.92</v>
      </c>
      <c r="BE85" s="494">
        <v>819.73</v>
      </c>
      <c r="BF85" s="494">
        <v>611.5</v>
      </c>
      <c r="BG85" s="494">
        <v>1080.04</v>
      </c>
      <c r="BH85" s="494">
        <v>2671800.0099999998</v>
      </c>
      <c r="BI85" s="494">
        <f t="shared" si="36"/>
        <v>4607.6000000000004</v>
      </c>
      <c r="BJ85" s="494">
        <v>14289.54</v>
      </c>
      <c r="BK85" s="494">
        <v>3389.61</v>
      </c>
      <c r="BL85" s="494">
        <v>5995.76</v>
      </c>
      <c r="BM85" s="494">
        <v>548.62</v>
      </c>
      <c r="BN85" s="495" t="e">
        <f t="shared" si="56"/>
        <v>#DIV/0!</v>
      </c>
      <c r="BO85" s="495" t="e">
        <f t="shared" si="57"/>
        <v>#DIV/0!</v>
      </c>
      <c r="BP85" s="495" t="e">
        <f t="shared" si="58"/>
        <v>#DIV/0!</v>
      </c>
      <c r="BQ85" s="495" t="e">
        <f t="shared" si="59"/>
        <v>#DIV/0!</v>
      </c>
      <c r="BR85" s="495" t="e">
        <f t="shared" si="60"/>
        <v>#DIV/0!</v>
      </c>
      <c r="BS85" s="495" t="e">
        <f t="shared" si="61"/>
        <v>#DIV/0!</v>
      </c>
      <c r="BT85" s="495" t="e">
        <f t="shared" si="62"/>
        <v>#DIV/0!</v>
      </c>
      <c r="BU85" s="495" t="str">
        <f t="shared" si="63"/>
        <v xml:space="preserve"> </v>
      </c>
      <c r="BV85" s="495" t="e">
        <f t="shared" si="64"/>
        <v>#DIV/0!</v>
      </c>
      <c r="BW85" s="495" t="e">
        <f t="shared" si="65"/>
        <v>#DIV/0!</v>
      </c>
      <c r="BX85" s="495" t="e">
        <f t="shared" si="66"/>
        <v>#DIV/0!</v>
      </c>
      <c r="BY85" s="495" t="str">
        <f t="shared" si="67"/>
        <v xml:space="preserve"> </v>
      </c>
    </row>
    <row r="86" spans="1:77" s="28" customFormat="1" ht="9" customHeight="1">
      <c r="A86" s="366">
        <v>70</v>
      </c>
      <c r="B86" s="200" t="s">
        <v>546</v>
      </c>
      <c r="C86" s="465">
        <v>3248</v>
      </c>
      <c r="D86" s="308"/>
      <c r="E86" s="141" t="s">
        <v>1005</v>
      </c>
      <c r="F86" s="375">
        <f t="shared" si="41"/>
        <v>0</v>
      </c>
      <c r="G86" s="374">
        <v>3060612</v>
      </c>
      <c r="H86" s="205">
        <v>3060612</v>
      </c>
      <c r="I86" s="368">
        <f t="shared" si="44"/>
        <v>0</v>
      </c>
      <c r="J86" s="205">
        <v>0</v>
      </c>
      <c r="K86" s="465">
        <v>0</v>
      </c>
      <c r="L86" s="205">
        <v>0</v>
      </c>
      <c r="M86" s="465">
        <v>0</v>
      </c>
      <c r="N86" s="205">
        <v>0</v>
      </c>
      <c r="O86" s="249">
        <v>0</v>
      </c>
      <c r="P86" s="368">
        <v>0</v>
      </c>
      <c r="Q86" s="249">
        <v>0</v>
      </c>
      <c r="R86" s="368">
        <v>0</v>
      </c>
      <c r="S86" s="249">
        <v>0</v>
      </c>
      <c r="T86" s="368">
        <v>0</v>
      </c>
      <c r="U86" s="130">
        <v>0</v>
      </c>
      <c r="V86" s="368">
        <v>0</v>
      </c>
      <c r="W86" s="368">
        <v>918</v>
      </c>
      <c r="X86" s="368">
        <f>ROUND(H86/100*95.5,2)</f>
        <v>2922884.46</v>
      </c>
      <c r="Y86" s="368">
        <v>0</v>
      </c>
      <c r="Z86" s="368">
        <v>0</v>
      </c>
      <c r="AA86" s="368">
        <v>0</v>
      </c>
      <c r="AB86" s="368">
        <v>0</v>
      </c>
      <c r="AC86" s="368">
        <v>0</v>
      </c>
      <c r="AD86" s="368">
        <v>0</v>
      </c>
      <c r="AE86" s="368">
        <v>0</v>
      </c>
      <c r="AF86" s="368">
        <v>0</v>
      </c>
      <c r="AG86" s="368">
        <v>0</v>
      </c>
      <c r="AH86" s="368">
        <v>0</v>
      </c>
      <c r="AI86" s="368">
        <v>0</v>
      </c>
      <c r="AJ86" s="370">
        <f t="shared" si="35"/>
        <v>91818.36</v>
      </c>
      <c r="AK86" s="370">
        <f t="shared" si="40"/>
        <v>45909.18</v>
      </c>
      <c r="AL86" s="370">
        <v>0</v>
      </c>
      <c r="AM86" s="447">
        <f t="shared" si="45"/>
        <v>3334</v>
      </c>
      <c r="AN86" s="227">
        <v>4814.95</v>
      </c>
      <c r="AP86" s="486" t="e">
        <f t="shared" si="42"/>
        <v>#DIV/0!</v>
      </c>
      <c r="AQ86" s="486" t="e">
        <f t="shared" si="46"/>
        <v>#DIV/0!</v>
      </c>
      <c r="AR86" s="486" t="e">
        <f t="shared" si="47"/>
        <v>#DIV/0!</v>
      </c>
      <c r="AS86" s="486" t="e">
        <f t="shared" si="48"/>
        <v>#DIV/0!</v>
      </c>
      <c r="AT86" s="486" t="e">
        <f t="shared" si="49"/>
        <v>#DIV/0!</v>
      </c>
      <c r="AU86" s="486" t="e">
        <f t="shared" si="50"/>
        <v>#DIV/0!</v>
      </c>
      <c r="AV86" s="486" t="e">
        <f t="shared" si="51"/>
        <v>#DIV/0!</v>
      </c>
      <c r="AW86" s="486">
        <f t="shared" si="52"/>
        <v>3183.97</v>
      </c>
      <c r="AX86" s="486" t="e">
        <f t="shared" si="53"/>
        <v>#DIV/0!</v>
      </c>
      <c r="AY86" s="486" t="e">
        <f t="shared" si="54"/>
        <v>#DIV/0!</v>
      </c>
      <c r="AZ86" s="486" t="e">
        <f t="shared" si="55"/>
        <v>#DIV/0!</v>
      </c>
      <c r="BA86" s="486">
        <f t="shared" si="43"/>
        <v>0</v>
      </c>
      <c r="BB86" s="494">
        <v>5155.41</v>
      </c>
      <c r="BC86" s="494">
        <v>2070.12</v>
      </c>
      <c r="BD86" s="494">
        <v>848.92</v>
      </c>
      <c r="BE86" s="494">
        <v>819.73</v>
      </c>
      <c r="BF86" s="494">
        <v>611.5</v>
      </c>
      <c r="BG86" s="494">
        <v>1080.04</v>
      </c>
      <c r="BH86" s="494">
        <v>2671800.0099999998</v>
      </c>
      <c r="BI86" s="494">
        <f t="shared" si="36"/>
        <v>4607.6000000000004</v>
      </c>
      <c r="BJ86" s="494">
        <v>14289.54</v>
      </c>
      <c r="BK86" s="494">
        <v>3389.61</v>
      </c>
      <c r="BL86" s="494">
        <v>5995.76</v>
      </c>
      <c r="BM86" s="494">
        <v>548.62</v>
      </c>
      <c r="BN86" s="495" t="e">
        <f t="shared" si="56"/>
        <v>#DIV/0!</v>
      </c>
      <c r="BO86" s="495" t="e">
        <f t="shared" si="57"/>
        <v>#DIV/0!</v>
      </c>
      <c r="BP86" s="495" t="e">
        <f t="shared" si="58"/>
        <v>#DIV/0!</v>
      </c>
      <c r="BQ86" s="495" t="e">
        <f t="shared" si="59"/>
        <v>#DIV/0!</v>
      </c>
      <c r="BR86" s="495" t="e">
        <f t="shared" si="60"/>
        <v>#DIV/0!</v>
      </c>
      <c r="BS86" s="495" t="e">
        <f t="shared" si="61"/>
        <v>#DIV/0!</v>
      </c>
      <c r="BT86" s="495" t="e">
        <f t="shared" si="62"/>
        <v>#DIV/0!</v>
      </c>
      <c r="BU86" s="495" t="str">
        <f t="shared" si="63"/>
        <v xml:space="preserve"> </v>
      </c>
      <c r="BV86" s="495" t="e">
        <f t="shared" si="64"/>
        <v>#DIV/0!</v>
      </c>
      <c r="BW86" s="495" t="e">
        <f t="shared" si="65"/>
        <v>#DIV/0!</v>
      </c>
      <c r="BX86" s="495" t="e">
        <f t="shared" si="66"/>
        <v>#DIV/0!</v>
      </c>
      <c r="BY86" s="495" t="str">
        <f t="shared" si="67"/>
        <v xml:space="preserve"> </v>
      </c>
    </row>
    <row r="87" spans="1:77" s="28" customFormat="1" ht="9" customHeight="1">
      <c r="A87" s="366">
        <v>71</v>
      </c>
      <c r="B87" s="200" t="s">
        <v>547</v>
      </c>
      <c r="C87" s="465">
        <v>2005.6</v>
      </c>
      <c r="D87" s="308"/>
      <c r="E87" s="141" t="s">
        <v>1005</v>
      </c>
      <c r="F87" s="375">
        <f t="shared" si="41"/>
        <v>0</v>
      </c>
      <c r="G87" s="374">
        <v>1348936.4</v>
      </c>
      <c r="H87" s="205">
        <v>1348936.4</v>
      </c>
      <c r="I87" s="368">
        <f t="shared" si="44"/>
        <v>0</v>
      </c>
      <c r="J87" s="205">
        <v>0</v>
      </c>
      <c r="K87" s="465">
        <v>0</v>
      </c>
      <c r="L87" s="205">
        <v>0</v>
      </c>
      <c r="M87" s="465">
        <v>0</v>
      </c>
      <c r="N87" s="205">
        <v>0</v>
      </c>
      <c r="O87" s="249">
        <v>0</v>
      </c>
      <c r="P87" s="368">
        <v>0</v>
      </c>
      <c r="Q87" s="249">
        <v>0</v>
      </c>
      <c r="R87" s="368">
        <v>0</v>
      </c>
      <c r="S87" s="249">
        <v>0</v>
      </c>
      <c r="T87" s="368">
        <v>0</v>
      </c>
      <c r="U87" s="130">
        <v>0</v>
      </c>
      <c r="V87" s="368">
        <v>0</v>
      </c>
      <c r="W87" s="368">
        <v>404.6</v>
      </c>
      <c r="X87" s="368">
        <f>ROUND(H87/100*95.5,2)</f>
        <v>1288234.26</v>
      </c>
      <c r="Y87" s="368">
        <v>0</v>
      </c>
      <c r="Z87" s="368">
        <v>0</v>
      </c>
      <c r="AA87" s="368">
        <v>0</v>
      </c>
      <c r="AB87" s="368">
        <v>0</v>
      </c>
      <c r="AC87" s="368">
        <v>0</v>
      </c>
      <c r="AD87" s="368">
        <v>0</v>
      </c>
      <c r="AE87" s="368">
        <v>0</v>
      </c>
      <c r="AF87" s="368">
        <v>0</v>
      </c>
      <c r="AG87" s="368">
        <v>0</v>
      </c>
      <c r="AH87" s="368">
        <v>0</v>
      </c>
      <c r="AI87" s="368">
        <v>0</v>
      </c>
      <c r="AJ87" s="370">
        <f t="shared" si="35"/>
        <v>40468.089999999997</v>
      </c>
      <c r="AK87" s="370">
        <f t="shared" si="40"/>
        <v>20234.05</v>
      </c>
      <c r="AL87" s="370">
        <v>0</v>
      </c>
      <c r="AM87" s="447">
        <f t="shared" si="45"/>
        <v>3333.9999999999995</v>
      </c>
      <c r="AN87" s="227">
        <v>4814.95</v>
      </c>
      <c r="AP87" s="486" t="e">
        <f t="shared" si="42"/>
        <v>#DIV/0!</v>
      </c>
      <c r="AQ87" s="486" t="e">
        <f t="shared" si="46"/>
        <v>#DIV/0!</v>
      </c>
      <c r="AR87" s="486" t="e">
        <f t="shared" si="47"/>
        <v>#DIV/0!</v>
      </c>
      <c r="AS87" s="486" t="e">
        <f t="shared" si="48"/>
        <v>#DIV/0!</v>
      </c>
      <c r="AT87" s="486" t="e">
        <f t="shared" si="49"/>
        <v>#DIV/0!</v>
      </c>
      <c r="AU87" s="486" t="e">
        <f t="shared" si="50"/>
        <v>#DIV/0!</v>
      </c>
      <c r="AV87" s="486" t="e">
        <f t="shared" si="51"/>
        <v>#DIV/0!</v>
      </c>
      <c r="AW87" s="486">
        <f t="shared" si="52"/>
        <v>3183.9699950568461</v>
      </c>
      <c r="AX87" s="486" t="e">
        <f t="shared" si="53"/>
        <v>#DIV/0!</v>
      </c>
      <c r="AY87" s="486" t="e">
        <f t="shared" si="54"/>
        <v>#DIV/0!</v>
      </c>
      <c r="AZ87" s="486" t="e">
        <f t="shared" si="55"/>
        <v>#DIV/0!</v>
      </c>
      <c r="BA87" s="486">
        <f t="shared" si="43"/>
        <v>0</v>
      </c>
      <c r="BB87" s="494">
        <v>5155.41</v>
      </c>
      <c r="BC87" s="494">
        <v>2070.12</v>
      </c>
      <c r="BD87" s="494">
        <v>848.92</v>
      </c>
      <c r="BE87" s="494">
        <v>819.73</v>
      </c>
      <c r="BF87" s="494">
        <v>611.5</v>
      </c>
      <c r="BG87" s="494">
        <v>1080.04</v>
      </c>
      <c r="BH87" s="494">
        <v>2671800.0099999998</v>
      </c>
      <c r="BI87" s="494">
        <f t="shared" si="36"/>
        <v>4607.6000000000004</v>
      </c>
      <c r="BJ87" s="494">
        <v>14289.54</v>
      </c>
      <c r="BK87" s="494">
        <v>3389.61</v>
      </c>
      <c r="BL87" s="494">
        <v>5995.76</v>
      </c>
      <c r="BM87" s="494">
        <v>548.62</v>
      </c>
      <c r="BN87" s="495" t="e">
        <f t="shared" si="56"/>
        <v>#DIV/0!</v>
      </c>
      <c r="BO87" s="495" t="e">
        <f t="shared" si="57"/>
        <v>#DIV/0!</v>
      </c>
      <c r="BP87" s="495" t="e">
        <f t="shared" si="58"/>
        <v>#DIV/0!</v>
      </c>
      <c r="BQ87" s="495" t="e">
        <f t="shared" si="59"/>
        <v>#DIV/0!</v>
      </c>
      <c r="BR87" s="495" t="e">
        <f t="shared" si="60"/>
        <v>#DIV/0!</v>
      </c>
      <c r="BS87" s="495" t="e">
        <f t="shared" si="61"/>
        <v>#DIV/0!</v>
      </c>
      <c r="BT87" s="495" t="e">
        <f t="shared" si="62"/>
        <v>#DIV/0!</v>
      </c>
      <c r="BU87" s="495" t="str">
        <f t="shared" si="63"/>
        <v xml:space="preserve"> </v>
      </c>
      <c r="BV87" s="495" t="e">
        <f t="shared" si="64"/>
        <v>#DIV/0!</v>
      </c>
      <c r="BW87" s="495" t="e">
        <f t="shared" si="65"/>
        <v>#DIV/0!</v>
      </c>
      <c r="BX87" s="495" t="e">
        <f t="shared" si="66"/>
        <v>#DIV/0!</v>
      </c>
      <c r="BY87" s="495" t="str">
        <f t="shared" si="67"/>
        <v xml:space="preserve"> </v>
      </c>
    </row>
    <row r="88" spans="1:77" s="28" customFormat="1" ht="9" customHeight="1">
      <c r="A88" s="366">
        <v>72</v>
      </c>
      <c r="B88" s="200" t="s">
        <v>548</v>
      </c>
      <c r="C88" s="465">
        <v>1995.1</v>
      </c>
      <c r="D88" s="466"/>
      <c r="E88" s="201"/>
      <c r="F88" s="375">
        <f t="shared" si="41"/>
        <v>0</v>
      </c>
      <c r="G88" s="375">
        <v>1963596.8</v>
      </c>
      <c r="H88" s="205">
        <f>V88+AJ88+AK88</f>
        <v>1963596.7999999998</v>
      </c>
      <c r="I88" s="368">
        <f t="shared" si="44"/>
        <v>0</v>
      </c>
      <c r="J88" s="205">
        <v>0</v>
      </c>
      <c r="K88" s="465">
        <v>0</v>
      </c>
      <c r="L88" s="205">
        <v>0</v>
      </c>
      <c r="M88" s="465">
        <v>0</v>
      </c>
      <c r="N88" s="205">
        <v>0</v>
      </c>
      <c r="O88" s="249">
        <v>0</v>
      </c>
      <c r="P88" s="368">
        <v>0</v>
      </c>
      <c r="Q88" s="249">
        <v>0</v>
      </c>
      <c r="R88" s="368">
        <v>0</v>
      </c>
      <c r="S88" s="249">
        <v>0</v>
      </c>
      <c r="T88" s="368">
        <v>0</v>
      </c>
      <c r="U88" s="130">
        <v>1</v>
      </c>
      <c r="V88" s="368">
        <f>ROUND(0.955*1*1963596.8+0.01,2)</f>
        <v>1875234.95</v>
      </c>
      <c r="W88" s="368">
        <v>0</v>
      </c>
      <c r="X88" s="368">
        <v>0</v>
      </c>
      <c r="Y88" s="368">
        <v>0</v>
      </c>
      <c r="Z88" s="368">
        <v>0</v>
      </c>
      <c r="AA88" s="368">
        <v>0</v>
      </c>
      <c r="AB88" s="368">
        <v>0</v>
      </c>
      <c r="AC88" s="368">
        <v>0</v>
      </c>
      <c r="AD88" s="368">
        <v>0</v>
      </c>
      <c r="AE88" s="368">
        <v>0</v>
      </c>
      <c r="AF88" s="368">
        <v>0</v>
      </c>
      <c r="AG88" s="368">
        <v>0</v>
      </c>
      <c r="AH88" s="368">
        <v>0</v>
      </c>
      <c r="AI88" s="368">
        <v>0</v>
      </c>
      <c r="AJ88" s="370">
        <f>ROUND(0.03*1*1963596.8,2)</f>
        <v>58907.9</v>
      </c>
      <c r="AK88" s="370">
        <f>ROUND(0.015*1*1963596.8,2)</f>
        <v>29453.95</v>
      </c>
      <c r="AL88" s="370">
        <v>0</v>
      </c>
      <c r="AM88" s="447"/>
      <c r="AN88" s="227"/>
      <c r="AP88" s="486" t="e">
        <f t="shared" si="42"/>
        <v>#DIV/0!</v>
      </c>
      <c r="AQ88" s="486" t="e">
        <f t="shared" si="46"/>
        <v>#DIV/0!</v>
      </c>
      <c r="AR88" s="486" t="e">
        <f t="shared" si="47"/>
        <v>#DIV/0!</v>
      </c>
      <c r="AS88" s="486" t="e">
        <f t="shared" si="48"/>
        <v>#DIV/0!</v>
      </c>
      <c r="AT88" s="486" t="e">
        <f t="shared" si="49"/>
        <v>#DIV/0!</v>
      </c>
      <c r="AU88" s="486" t="e">
        <f t="shared" si="50"/>
        <v>#DIV/0!</v>
      </c>
      <c r="AV88" s="486">
        <f t="shared" si="51"/>
        <v>1875234.95</v>
      </c>
      <c r="AW88" s="486" t="e">
        <f t="shared" si="52"/>
        <v>#DIV/0!</v>
      </c>
      <c r="AX88" s="486" t="e">
        <f t="shared" si="53"/>
        <v>#DIV/0!</v>
      </c>
      <c r="AY88" s="486" t="e">
        <f t="shared" si="54"/>
        <v>#DIV/0!</v>
      </c>
      <c r="AZ88" s="486" t="e">
        <f t="shared" si="55"/>
        <v>#DIV/0!</v>
      </c>
      <c r="BA88" s="486">
        <f t="shared" si="43"/>
        <v>0</v>
      </c>
      <c r="BB88" s="494">
        <v>5155.41</v>
      </c>
      <c r="BC88" s="494">
        <v>2070.12</v>
      </c>
      <c r="BD88" s="494">
        <v>848.92</v>
      </c>
      <c r="BE88" s="494">
        <v>819.73</v>
      </c>
      <c r="BF88" s="494">
        <v>611.5</v>
      </c>
      <c r="BG88" s="494">
        <v>1080.04</v>
      </c>
      <c r="BH88" s="494">
        <v>2671800.0099999998</v>
      </c>
      <c r="BI88" s="494">
        <f t="shared" si="36"/>
        <v>4422.8500000000004</v>
      </c>
      <c r="BJ88" s="494">
        <v>14289.54</v>
      </c>
      <c r="BK88" s="494">
        <v>3389.61</v>
      </c>
      <c r="BL88" s="494">
        <v>5995.76</v>
      </c>
      <c r="BM88" s="494">
        <v>548.62</v>
      </c>
      <c r="BN88" s="495" t="e">
        <f t="shared" si="56"/>
        <v>#DIV/0!</v>
      </c>
      <c r="BO88" s="495" t="e">
        <f t="shared" si="57"/>
        <v>#DIV/0!</v>
      </c>
      <c r="BP88" s="495" t="e">
        <f t="shared" si="58"/>
        <v>#DIV/0!</v>
      </c>
      <c r="BQ88" s="495" t="e">
        <f t="shared" si="59"/>
        <v>#DIV/0!</v>
      </c>
      <c r="BR88" s="495" t="e">
        <f t="shared" si="60"/>
        <v>#DIV/0!</v>
      </c>
      <c r="BS88" s="495" t="e">
        <f t="shared" si="61"/>
        <v>#DIV/0!</v>
      </c>
      <c r="BT88" s="495" t="str">
        <f t="shared" si="62"/>
        <v xml:space="preserve"> </v>
      </c>
      <c r="BU88" s="495" t="e">
        <f t="shared" si="63"/>
        <v>#DIV/0!</v>
      </c>
      <c r="BV88" s="495" t="e">
        <f t="shared" si="64"/>
        <v>#DIV/0!</v>
      </c>
      <c r="BW88" s="495" t="e">
        <f t="shared" si="65"/>
        <v>#DIV/0!</v>
      </c>
      <c r="BX88" s="495" t="e">
        <f t="shared" si="66"/>
        <v>#DIV/0!</v>
      </c>
      <c r="BY88" s="495" t="str">
        <f t="shared" si="67"/>
        <v xml:space="preserve"> </v>
      </c>
    </row>
    <row r="89" spans="1:77" s="28" customFormat="1" ht="9" customHeight="1">
      <c r="A89" s="366">
        <v>73</v>
      </c>
      <c r="B89" s="200" t="s">
        <v>549</v>
      </c>
      <c r="C89" s="465">
        <v>2012.6</v>
      </c>
      <c r="D89" s="308"/>
      <c r="E89" s="141" t="s">
        <v>1005</v>
      </c>
      <c r="F89" s="375">
        <f t="shared" si="41"/>
        <v>0</v>
      </c>
      <c r="G89" s="374">
        <v>1332599.8</v>
      </c>
      <c r="H89" s="205">
        <v>1332599.8</v>
      </c>
      <c r="I89" s="368">
        <f t="shared" si="44"/>
        <v>0</v>
      </c>
      <c r="J89" s="205">
        <v>0</v>
      </c>
      <c r="K89" s="465">
        <v>0</v>
      </c>
      <c r="L89" s="205">
        <v>0</v>
      </c>
      <c r="M89" s="465">
        <v>0</v>
      </c>
      <c r="N89" s="205">
        <v>0</v>
      </c>
      <c r="O89" s="249">
        <v>0</v>
      </c>
      <c r="P89" s="368">
        <v>0</v>
      </c>
      <c r="Q89" s="249">
        <v>0</v>
      </c>
      <c r="R89" s="368">
        <v>0</v>
      </c>
      <c r="S89" s="249">
        <v>0</v>
      </c>
      <c r="T89" s="368">
        <v>0</v>
      </c>
      <c r="U89" s="130">
        <v>0</v>
      </c>
      <c r="V89" s="368">
        <v>0</v>
      </c>
      <c r="W89" s="368">
        <v>399.7</v>
      </c>
      <c r="X89" s="368">
        <f t="shared" ref="X89:X108" si="68">ROUND(H89/100*95.5,2)</f>
        <v>1272632.81</v>
      </c>
      <c r="Y89" s="368">
        <v>0</v>
      </c>
      <c r="Z89" s="368">
        <v>0</v>
      </c>
      <c r="AA89" s="368">
        <v>0</v>
      </c>
      <c r="AB89" s="368">
        <v>0</v>
      </c>
      <c r="AC89" s="368">
        <v>0</v>
      </c>
      <c r="AD89" s="368">
        <v>0</v>
      </c>
      <c r="AE89" s="368">
        <v>0</v>
      </c>
      <c r="AF89" s="368">
        <v>0</v>
      </c>
      <c r="AG89" s="368">
        <v>0</v>
      </c>
      <c r="AH89" s="368">
        <v>0</v>
      </c>
      <c r="AI89" s="368">
        <v>0</v>
      </c>
      <c r="AJ89" s="370">
        <f t="shared" si="35"/>
        <v>39977.99</v>
      </c>
      <c r="AK89" s="370">
        <f t="shared" si="40"/>
        <v>19989</v>
      </c>
      <c r="AL89" s="370">
        <v>0</v>
      </c>
      <c r="AM89" s="447">
        <f t="shared" ref="AM89:AM108" si="69">H89/W89</f>
        <v>3334</v>
      </c>
      <c r="AN89" s="227">
        <v>4814.95</v>
      </c>
      <c r="AP89" s="486" t="e">
        <f t="shared" si="42"/>
        <v>#DIV/0!</v>
      </c>
      <c r="AQ89" s="486" t="e">
        <f t="shared" si="46"/>
        <v>#DIV/0!</v>
      </c>
      <c r="AR89" s="486" t="e">
        <f t="shared" si="47"/>
        <v>#DIV/0!</v>
      </c>
      <c r="AS89" s="486" t="e">
        <f t="shared" si="48"/>
        <v>#DIV/0!</v>
      </c>
      <c r="AT89" s="486" t="e">
        <f t="shared" si="49"/>
        <v>#DIV/0!</v>
      </c>
      <c r="AU89" s="486" t="e">
        <f t="shared" si="50"/>
        <v>#DIV/0!</v>
      </c>
      <c r="AV89" s="486" t="e">
        <f t="shared" si="51"/>
        <v>#DIV/0!</v>
      </c>
      <c r="AW89" s="486">
        <f t="shared" si="52"/>
        <v>3183.9700025018765</v>
      </c>
      <c r="AX89" s="486" t="e">
        <f t="shared" si="53"/>
        <v>#DIV/0!</v>
      </c>
      <c r="AY89" s="486" t="e">
        <f t="shared" si="54"/>
        <v>#DIV/0!</v>
      </c>
      <c r="AZ89" s="486" t="e">
        <f t="shared" si="55"/>
        <v>#DIV/0!</v>
      </c>
      <c r="BA89" s="486">
        <f t="shared" si="43"/>
        <v>0</v>
      </c>
      <c r="BB89" s="494">
        <v>5155.41</v>
      </c>
      <c r="BC89" s="494">
        <v>2070.12</v>
      </c>
      <c r="BD89" s="494">
        <v>848.92</v>
      </c>
      <c r="BE89" s="494">
        <v>819.73</v>
      </c>
      <c r="BF89" s="494">
        <v>611.5</v>
      </c>
      <c r="BG89" s="494">
        <v>1080.04</v>
      </c>
      <c r="BH89" s="494">
        <v>2671800.0099999998</v>
      </c>
      <c r="BI89" s="494">
        <f t="shared" si="36"/>
        <v>4607.6000000000004</v>
      </c>
      <c r="BJ89" s="494">
        <v>14289.54</v>
      </c>
      <c r="BK89" s="494">
        <v>3389.61</v>
      </c>
      <c r="BL89" s="494">
        <v>5995.76</v>
      </c>
      <c r="BM89" s="494">
        <v>548.62</v>
      </c>
      <c r="BN89" s="495" t="e">
        <f t="shared" si="56"/>
        <v>#DIV/0!</v>
      </c>
      <c r="BO89" s="495" t="e">
        <f t="shared" si="57"/>
        <v>#DIV/0!</v>
      </c>
      <c r="BP89" s="495" t="e">
        <f t="shared" si="58"/>
        <v>#DIV/0!</v>
      </c>
      <c r="BQ89" s="495" t="e">
        <f t="shared" si="59"/>
        <v>#DIV/0!</v>
      </c>
      <c r="BR89" s="495" t="e">
        <f t="shared" si="60"/>
        <v>#DIV/0!</v>
      </c>
      <c r="BS89" s="495" t="e">
        <f t="shared" si="61"/>
        <v>#DIV/0!</v>
      </c>
      <c r="BT89" s="495" t="e">
        <f t="shared" si="62"/>
        <v>#DIV/0!</v>
      </c>
      <c r="BU89" s="495" t="str">
        <f t="shared" si="63"/>
        <v xml:space="preserve"> </v>
      </c>
      <c r="BV89" s="495" t="e">
        <f t="shared" si="64"/>
        <v>#DIV/0!</v>
      </c>
      <c r="BW89" s="495" t="e">
        <f t="shared" si="65"/>
        <v>#DIV/0!</v>
      </c>
      <c r="BX89" s="495" t="e">
        <f t="shared" si="66"/>
        <v>#DIV/0!</v>
      </c>
      <c r="BY89" s="495" t="str">
        <f t="shared" si="67"/>
        <v xml:space="preserve"> </v>
      </c>
    </row>
    <row r="90" spans="1:77" s="28" customFormat="1" ht="9" customHeight="1">
      <c r="A90" s="366">
        <v>74</v>
      </c>
      <c r="B90" s="200" t="s">
        <v>550</v>
      </c>
      <c r="C90" s="465">
        <v>2576.9</v>
      </c>
      <c r="D90" s="308"/>
      <c r="E90" s="141" t="s">
        <v>1005</v>
      </c>
      <c r="F90" s="375">
        <f t="shared" si="41"/>
        <v>0</v>
      </c>
      <c r="G90" s="374">
        <v>2800560</v>
      </c>
      <c r="H90" s="205">
        <v>2800560</v>
      </c>
      <c r="I90" s="368">
        <f t="shared" si="44"/>
        <v>0</v>
      </c>
      <c r="J90" s="205">
        <v>0</v>
      </c>
      <c r="K90" s="465">
        <v>0</v>
      </c>
      <c r="L90" s="205">
        <v>0</v>
      </c>
      <c r="M90" s="465">
        <v>0</v>
      </c>
      <c r="N90" s="205">
        <v>0</v>
      </c>
      <c r="O90" s="249">
        <v>0</v>
      </c>
      <c r="P90" s="368">
        <v>0</v>
      </c>
      <c r="Q90" s="249">
        <v>0</v>
      </c>
      <c r="R90" s="368">
        <v>0</v>
      </c>
      <c r="S90" s="249">
        <v>0</v>
      </c>
      <c r="T90" s="368">
        <v>0</v>
      </c>
      <c r="U90" s="130">
        <v>0</v>
      </c>
      <c r="V90" s="368">
        <v>0</v>
      </c>
      <c r="W90" s="368">
        <v>840</v>
      </c>
      <c r="X90" s="368">
        <f t="shared" si="68"/>
        <v>2674534.7999999998</v>
      </c>
      <c r="Y90" s="368">
        <v>0</v>
      </c>
      <c r="Z90" s="368">
        <v>0</v>
      </c>
      <c r="AA90" s="368">
        <v>0</v>
      </c>
      <c r="AB90" s="368">
        <v>0</v>
      </c>
      <c r="AC90" s="368">
        <v>0</v>
      </c>
      <c r="AD90" s="368">
        <v>0</v>
      </c>
      <c r="AE90" s="368">
        <v>0</v>
      </c>
      <c r="AF90" s="368">
        <v>0</v>
      </c>
      <c r="AG90" s="368">
        <v>0</v>
      </c>
      <c r="AH90" s="368">
        <v>0</v>
      </c>
      <c r="AI90" s="368">
        <v>0</v>
      </c>
      <c r="AJ90" s="370">
        <f t="shared" si="35"/>
        <v>84016.8</v>
      </c>
      <c r="AK90" s="370">
        <f t="shared" si="40"/>
        <v>42008.4</v>
      </c>
      <c r="AL90" s="370">
        <v>0</v>
      </c>
      <c r="AM90" s="447">
        <f t="shared" si="69"/>
        <v>3334</v>
      </c>
      <c r="AN90" s="227">
        <v>4814.95</v>
      </c>
      <c r="AP90" s="486" t="e">
        <f t="shared" si="42"/>
        <v>#DIV/0!</v>
      </c>
      <c r="AQ90" s="486" t="e">
        <f t="shared" si="46"/>
        <v>#DIV/0!</v>
      </c>
      <c r="AR90" s="486" t="e">
        <f t="shared" si="47"/>
        <v>#DIV/0!</v>
      </c>
      <c r="AS90" s="486" t="e">
        <f t="shared" si="48"/>
        <v>#DIV/0!</v>
      </c>
      <c r="AT90" s="486" t="e">
        <f t="shared" si="49"/>
        <v>#DIV/0!</v>
      </c>
      <c r="AU90" s="486" t="e">
        <f t="shared" si="50"/>
        <v>#DIV/0!</v>
      </c>
      <c r="AV90" s="486" t="e">
        <f t="shared" si="51"/>
        <v>#DIV/0!</v>
      </c>
      <c r="AW90" s="486">
        <f t="shared" si="52"/>
        <v>3183.97</v>
      </c>
      <c r="AX90" s="486" t="e">
        <f t="shared" si="53"/>
        <v>#DIV/0!</v>
      </c>
      <c r="AY90" s="486" t="e">
        <f t="shared" si="54"/>
        <v>#DIV/0!</v>
      </c>
      <c r="AZ90" s="486" t="e">
        <f t="shared" si="55"/>
        <v>#DIV/0!</v>
      </c>
      <c r="BA90" s="486">
        <f t="shared" si="43"/>
        <v>0</v>
      </c>
      <c r="BB90" s="494">
        <v>5155.41</v>
      </c>
      <c r="BC90" s="494">
        <v>2070.12</v>
      </c>
      <c r="BD90" s="494">
        <v>848.92</v>
      </c>
      <c r="BE90" s="494">
        <v>819.73</v>
      </c>
      <c r="BF90" s="494">
        <v>611.5</v>
      </c>
      <c r="BG90" s="494">
        <v>1080.04</v>
      </c>
      <c r="BH90" s="494">
        <v>2671800.0099999998</v>
      </c>
      <c r="BI90" s="494">
        <f t="shared" si="36"/>
        <v>4607.6000000000004</v>
      </c>
      <c r="BJ90" s="494">
        <v>14289.54</v>
      </c>
      <c r="BK90" s="494">
        <v>3389.61</v>
      </c>
      <c r="BL90" s="494">
        <v>5995.76</v>
      </c>
      <c r="BM90" s="494">
        <v>548.62</v>
      </c>
      <c r="BN90" s="495" t="e">
        <f t="shared" si="56"/>
        <v>#DIV/0!</v>
      </c>
      <c r="BO90" s="495" t="e">
        <f t="shared" si="57"/>
        <v>#DIV/0!</v>
      </c>
      <c r="BP90" s="495" t="e">
        <f t="shared" si="58"/>
        <v>#DIV/0!</v>
      </c>
      <c r="BQ90" s="495" t="e">
        <f t="shared" si="59"/>
        <v>#DIV/0!</v>
      </c>
      <c r="BR90" s="495" t="e">
        <f t="shared" si="60"/>
        <v>#DIV/0!</v>
      </c>
      <c r="BS90" s="495" t="e">
        <f t="shared" si="61"/>
        <v>#DIV/0!</v>
      </c>
      <c r="BT90" s="495" t="e">
        <f t="shared" si="62"/>
        <v>#DIV/0!</v>
      </c>
      <c r="BU90" s="495" t="str">
        <f t="shared" si="63"/>
        <v xml:space="preserve"> </v>
      </c>
      <c r="BV90" s="495" t="e">
        <f t="shared" si="64"/>
        <v>#DIV/0!</v>
      </c>
      <c r="BW90" s="495" t="e">
        <f t="shared" si="65"/>
        <v>#DIV/0!</v>
      </c>
      <c r="BX90" s="495" t="e">
        <f t="shared" si="66"/>
        <v>#DIV/0!</v>
      </c>
      <c r="BY90" s="495" t="str">
        <f t="shared" si="67"/>
        <v xml:space="preserve"> </v>
      </c>
    </row>
    <row r="91" spans="1:77" s="28" customFormat="1" ht="9" customHeight="1">
      <c r="A91" s="366">
        <v>75</v>
      </c>
      <c r="B91" s="200" t="s">
        <v>551</v>
      </c>
      <c r="C91" s="465">
        <v>3568.3</v>
      </c>
      <c r="D91" s="308"/>
      <c r="E91" s="141" t="s">
        <v>1005</v>
      </c>
      <c r="F91" s="375">
        <f t="shared" si="41"/>
        <v>0</v>
      </c>
      <c r="G91" s="374">
        <v>3253984</v>
      </c>
      <c r="H91" s="205">
        <v>3253984</v>
      </c>
      <c r="I91" s="368">
        <f t="shared" si="44"/>
        <v>0</v>
      </c>
      <c r="J91" s="205">
        <v>0</v>
      </c>
      <c r="K91" s="465">
        <v>0</v>
      </c>
      <c r="L91" s="205">
        <v>0</v>
      </c>
      <c r="M91" s="465">
        <v>0</v>
      </c>
      <c r="N91" s="205">
        <v>0</v>
      </c>
      <c r="O91" s="249">
        <v>0</v>
      </c>
      <c r="P91" s="368">
        <v>0</v>
      </c>
      <c r="Q91" s="249">
        <v>0</v>
      </c>
      <c r="R91" s="368">
        <v>0</v>
      </c>
      <c r="S91" s="249">
        <v>0</v>
      </c>
      <c r="T91" s="368">
        <v>0</v>
      </c>
      <c r="U91" s="130">
        <v>0</v>
      </c>
      <c r="V91" s="368">
        <v>0</v>
      </c>
      <c r="W91" s="368">
        <v>976</v>
      </c>
      <c r="X91" s="368">
        <f t="shared" si="68"/>
        <v>3107554.72</v>
      </c>
      <c r="Y91" s="368">
        <v>0</v>
      </c>
      <c r="Z91" s="368">
        <v>0</v>
      </c>
      <c r="AA91" s="368">
        <v>0</v>
      </c>
      <c r="AB91" s="368">
        <v>0</v>
      </c>
      <c r="AC91" s="368">
        <v>0</v>
      </c>
      <c r="AD91" s="368">
        <v>0</v>
      </c>
      <c r="AE91" s="368">
        <v>0</v>
      </c>
      <c r="AF91" s="368">
        <v>0</v>
      </c>
      <c r="AG91" s="368">
        <v>0</v>
      </c>
      <c r="AH91" s="368">
        <v>0</v>
      </c>
      <c r="AI91" s="368">
        <v>0</v>
      </c>
      <c r="AJ91" s="370">
        <f t="shared" ref="AJ91:AJ124" si="70">ROUND(X91/95.5*3,2)</f>
        <v>97619.520000000004</v>
      </c>
      <c r="AK91" s="370">
        <f t="shared" si="40"/>
        <v>48809.760000000002</v>
      </c>
      <c r="AL91" s="370">
        <v>0</v>
      </c>
      <c r="AM91" s="447">
        <f t="shared" si="69"/>
        <v>3334</v>
      </c>
      <c r="AN91" s="227">
        <v>4814.95</v>
      </c>
      <c r="AP91" s="486" t="e">
        <f t="shared" si="42"/>
        <v>#DIV/0!</v>
      </c>
      <c r="AQ91" s="486" t="e">
        <f t="shared" si="46"/>
        <v>#DIV/0!</v>
      </c>
      <c r="AR91" s="486" t="e">
        <f t="shared" si="47"/>
        <v>#DIV/0!</v>
      </c>
      <c r="AS91" s="486" t="e">
        <f t="shared" si="48"/>
        <v>#DIV/0!</v>
      </c>
      <c r="AT91" s="486" t="e">
        <f t="shared" si="49"/>
        <v>#DIV/0!</v>
      </c>
      <c r="AU91" s="486" t="e">
        <f t="shared" si="50"/>
        <v>#DIV/0!</v>
      </c>
      <c r="AV91" s="486" t="e">
        <f t="shared" si="51"/>
        <v>#DIV/0!</v>
      </c>
      <c r="AW91" s="486">
        <f t="shared" si="52"/>
        <v>3183.9700000000003</v>
      </c>
      <c r="AX91" s="486" t="e">
        <f t="shared" si="53"/>
        <v>#DIV/0!</v>
      </c>
      <c r="AY91" s="486" t="e">
        <f t="shared" si="54"/>
        <v>#DIV/0!</v>
      </c>
      <c r="AZ91" s="486" t="e">
        <f t="shared" si="55"/>
        <v>#DIV/0!</v>
      </c>
      <c r="BA91" s="486">
        <f t="shared" si="43"/>
        <v>0</v>
      </c>
      <c r="BB91" s="494">
        <v>5155.41</v>
      </c>
      <c r="BC91" s="494">
        <v>2070.12</v>
      </c>
      <c r="BD91" s="494">
        <v>848.92</v>
      </c>
      <c r="BE91" s="494">
        <v>819.73</v>
      </c>
      <c r="BF91" s="494">
        <v>611.5</v>
      </c>
      <c r="BG91" s="494">
        <v>1080.04</v>
      </c>
      <c r="BH91" s="494">
        <v>2671800.0099999998</v>
      </c>
      <c r="BI91" s="494">
        <f t="shared" si="36"/>
        <v>4607.6000000000004</v>
      </c>
      <c r="BJ91" s="494">
        <v>14289.54</v>
      </c>
      <c r="BK91" s="494">
        <v>3389.61</v>
      </c>
      <c r="BL91" s="494">
        <v>5995.76</v>
      </c>
      <c r="BM91" s="494">
        <v>548.62</v>
      </c>
      <c r="BN91" s="495" t="e">
        <f t="shared" si="56"/>
        <v>#DIV/0!</v>
      </c>
      <c r="BO91" s="495" t="e">
        <f t="shared" si="57"/>
        <v>#DIV/0!</v>
      </c>
      <c r="BP91" s="495" t="e">
        <f t="shared" si="58"/>
        <v>#DIV/0!</v>
      </c>
      <c r="BQ91" s="495" t="e">
        <f t="shared" si="59"/>
        <v>#DIV/0!</v>
      </c>
      <c r="BR91" s="495" t="e">
        <f t="shared" si="60"/>
        <v>#DIV/0!</v>
      </c>
      <c r="BS91" s="495" t="e">
        <f t="shared" si="61"/>
        <v>#DIV/0!</v>
      </c>
      <c r="BT91" s="495" t="e">
        <f t="shared" si="62"/>
        <v>#DIV/0!</v>
      </c>
      <c r="BU91" s="495" t="str">
        <f t="shared" si="63"/>
        <v xml:space="preserve"> </v>
      </c>
      <c r="BV91" s="495" t="e">
        <f t="shared" si="64"/>
        <v>#DIV/0!</v>
      </c>
      <c r="BW91" s="495" t="e">
        <f t="shared" si="65"/>
        <v>#DIV/0!</v>
      </c>
      <c r="BX91" s="495" t="e">
        <f t="shared" si="66"/>
        <v>#DIV/0!</v>
      </c>
      <c r="BY91" s="495" t="str">
        <f t="shared" si="67"/>
        <v xml:space="preserve"> </v>
      </c>
    </row>
    <row r="92" spans="1:77" s="28" customFormat="1" ht="9" customHeight="1">
      <c r="A92" s="366">
        <v>76</v>
      </c>
      <c r="B92" s="200" t="s">
        <v>552</v>
      </c>
      <c r="C92" s="465">
        <v>3946.7</v>
      </c>
      <c r="D92" s="466"/>
      <c r="E92" s="201" t="s">
        <v>1006</v>
      </c>
      <c r="F92" s="375">
        <f t="shared" si="41"/>
        <v>0</v>
      </c>
      <c r="G92" s="375">
        <v>4598748</v>
      </c>
      <c r="H92" s="205">
        <v>4598748</v>
      </c>
      <c r="I92" s="368">
        <f t="shared" si="44"/>
        <v>0</v>
      </c>
      <c r="J92" s="205">
        <v>0</v>
      </c>
      <c r="K92" s="465">
        <v>0</v>
      </c>
      <c r="L92" s="205">
        <v>0</v>
      </c>
      <c r="M92" s="465">
        <v>0</v>
      </c>
      <c r="N92" s="205">
        <v>0</v>
      </c>
      <c r="O92" s="249">
        <v>0</v>
      </c>
      <c r="P92" s="368">
        <v>0</v>
      </c>
      <c r="Q92" s="249">
        <v>0</v>
      </c>
      <c r="R92" s="368">
        <v>0</v>
      </c>
      <c r="S92" s="249">
        <v>0</v>
      </c>
      <c r="T92" s="368">
        <v>0</v>
      </c>
      <c r="U92" s="130">
        <v>0</v>
      </c>
      <c r="V92" s="368">
        <v>0</v>
      </c>
      <c r="W92" s="368">
        <v>1422</v>
      </c>
      <c r="X92" s="368">
        <f t="shared" si="68"/>
        <v>4391804.34</v>
      </c>
      <c r="Y92" s="368">
        <v>0</v>
      </c>
      <c r="Z92" s="368">
        <v>0</v>
      </c>
      <c r="AA92" s="368">
        <v>0</v>
      </c>
      <c r="AB92" s="368">
        <v>0</v>
      </c>
      <c r="AC92" s="368">
        <v>0</v>
      </c>
      <c r="AD92" s="368">
        <v>0</v>
      </c>
      <c r="AE92" s="368">
        <v>0</v>
      </c>
      <c r="AF92" s="368">
        <v>0</v>
      </c>
      <c r="AG92" s="368">
        <v>0</v>
      </c>
      <c r="AH92" s="368">
        <v>0</v>
      </c>
      <c r="AI92" s="368">
        <v>0</v>
      </c>
      <c r="AJ92" s="370">
        <f t="shared" si="70"/>
        <v>137962.44</v>
      </c>
      <c r="AK92" s="370">
        <f t="shared" si="40"/>
        <v>68981.22</v>
      </c>
      <c r="AL92" s="370">
        <v>0</v>
      </c>
      <c r="AM92" s="447">
        <f t="shared" si="69"/>
        <v>3234</v>
      </c>
      <c r="AN92" s="227">
        <v>4621.88</v>
      </c>
      <c r="AP92" s="486" t="e">
        <f t="shared" si="42"/>
        <v>#DIV/0!</v>
      </c>
      <c r="AQ92" s="486" t="e">
        <f t="shared" si="46"/>
        <v>#DIV/0!</v>
      </c>
      <c r="AR92" s="486" t="e">
        <f t="shared" si="47"/>
        <v>#DIV/0!</v>
      </c>
      <c r="AS92" s="486" t="e">
        <f t="shared" si="48"/>
        <v>#DIV/0!</v>
      </c>
      <c r="AT92" s="486" t="e">
        <f t="shared" si="49"/>
        <v>#DIV/0!</v>
      </c>
      <c r="AU92" s="486" t="e">
        <f t="shared" si="50"/>
        <v>#DIV/0!</v>
      </c>
      <c r="AV92" s="486" t="e">
        <f t="shared" si="51"/>
        <v>#DIV/0!</v>
      </c>
      <c r="AW92" s="486">
        <f t="shared" si="52"/>
        <v>3088.47</v>
      </c>
      <c r="AX92" s="486" t="e">
        <f t="shared" si="53"/>
        <v>#DIV/0!</v>
      </c>
      <c r="AY92" s="486" t="e">
        <f t="shared" si="54"/>
        <v>#DIV/0!</v>
      </c>
      <c r="AZ92" s="486" t="e">
        <f t="shared" si="55"/>
        <v>#DIV/0!</v>
      </c>
      <c r="BA92" s="486">
        <f t="shared" si="43"/>
        <v>0</v>
      </c>
      <c r="BB92" s="494">
        <v>5155.41</v>
      </c>
      <c r="BC92" s="494">
        <v>2070.12</v>
      </c>
      <c r="BD92" s="494">
        <v>848.92</v>
      </c>
      <c r="BE92" s="494">
        <v>819.73</v>
      </c>
      <c r="BF92" s="494">
        <v>611.5</v>
      </c>
      <c r="BG92" s="494">
        <v>1080.04</v>
      </c>
      <c r="BH92" s="494">
        <v>2671800.0099999998</v>
      </c>
      <c r="BI92" s="494">
        <f t="shared" si="36"/>
        <v>4422.8500000000004</v>
      </c>
      <c r="BJ92" s="494">
        <v>14289.54</v>
      </c>
      <c r="BK92" s="494">
        <v>3389.61</v>
      </c>
      <c r="BL92" s="494">
        <v>5995.76</v>
      </c>
      <c r="BM92" s="494">
        <v>548.62</v>
      </c>
      <c r="BN92" s="495" t="e">
        <f t="shared" si="56"/>
        <v>#DIV/0!</v>
      </c>
      <c r="BO92" s="495" t="e">
        <f t="shared" si="57"/>
        <v>#DIV/0!</v>
      </c>
      <c r="BP92" s="495" t="e">
        <f t="shared" si="58"/>
        <v>#DIV/0!</v>
      </c>
      <c r="BQ92" s="495" t="e">
        <f t="shared" si="59"/>
        <v>#DIV/0!</v>
      </c>
      <c r="BR92" s="495" t="e">
        <f t="shared" si="60"/>
        <v>#DIV/0!</v>
      </c>
      <c r="BS92" s="495" t="e">
        <f t="shared" si="61"/>
        <v>#DIV/0!</v>
      </c>
      <c r="BT92" s="495" t="e">
        <f t="shared" si="62"/>
        <v>#DIV/0!</v>
      </c>
      <c r="BU92" s="495" t="str">
        <f t="shared" si="63"/>
        <v xml:space="preserve"> </v>
      </c>
      <c r="BV92" s="495" t="e">
        <f t="shared" si="64"/>
        <v>#DIV/0!</v>
      </c>
      <c r="BW92" s="495" t="e">
        <f t="shared" si="65"/>
        <v>#DIV/0!</v>
      </c>
      <c r="BX92" s="495" t="e">
        <f t="shared" si="66"/>
        <v>#DIV/0!</v>
      </c>
      <c r="BY92" s="495" t="str">
        <f t="shared" si="67"/>
        <v xml:space="preserve"> </v>
      </c>
    </row>
    <row r="93" spans="1:77" s="28" customFormat="1" ht="9" customHeight="1">
      <c r="A93" s="366">
        <v>77</v>
      </c>
      <c r="B93" s="200" t="s">
        <v>553</v>
      </c>
      <c r="C93" s="465">
        <v>2555</v>
      </c>
      <c r="D93" s="308"/>
      <c r="E93" s="141" t="s">
        <v>1005</v>
      </c>
      <c r="F93" s="375">
        <f t="shared" si="41"/>
        <v>0</v>
      </c>
      <c r="G93" s="374">
        <v>3690738</v>
      </c>
      <c r="H93" s="205">
        <v>3690738</v>
      </c>
      <c r="I93" s="368">
        <f t="shared" si="44"/>
        <v>0</v>
      </c>
      <c r="J93" s="205">
        <v>0</v>
      </c>
      <c r="K93" s="465">
        <v>0</v>
      </c>
      <c r="L93" s="205">
        <v>0</v>
      </c>
      <c r="M93" s="465">
        <v>0</v>
      </c>
      <c r="N93" s="205">
        <v>0</v>
      </c>
      <c r="O93" s="249">
        <v>0</v>
      </c>
      <c r="P93" s="368">
        <v>0</v>
      </c>
      <c r="Q93" s="249">
        <v>0</v>
      </c>
      <c r="R93" s="368">
        <v>0</v>
      </c>
      <c r="S93" s="249">
        <v>0</v>
      </c>
      <c r="T93" s="368">
        <v>0</v>
      </c>
      <c r="U93" s="130">
        <v>0</v>
      </c>
      <c r="V93" s="368">
        <v>0</v>
      </c>
      <c r="W93" s="368">
        <v>1107</v>
      </c>
      <c r="X93" s="368">
        <f t="shared" si="68"/>
        <v>3524654.79</v>
      </c>
      <c r="Y93" s="368">
        <v>0</v>
      </c>
      <c r="Z93" s="368">
        <v>0</v>
      </c>
      <c r="AA93" s="368">
        <v>0</v>
      </c>
      <c r="AB93" s="368">
        <v>0</v>
      </c>
      <c r="AC93" s="368">
        <v>0</v>
      </c>
      <c r="AD93" s="368">
        <v>0</v>
      </c>
      <c r="AE93" s="368">
        <v>0</v>
      </c>
      <c r="AF93" s="368">
        <v>0</v>
      </c>
      <c r="AG93" s="368">
        <v>0</v>
      </c>
      <c r="AH93" s="368">
        <v>0</v>
      </c>
      <c r="AI93" s="368">
        <v>0</v>
      </c>
      <c r="AJ93" s="370">
        <f t="shared" si="70"/>
        <v>110722.14</v>
      </c>
      <c r="AK93" s="370">
        <f t="shared" si="40"/>
        <v>55361.07</v>
      </c>
      <c r="AL93" s="370">
        <v>0</v>
      </c>
      <c r="AM93" s="447">
        <f t="shared" si="69"/>
        <v>3334</v>
      </c>
      <c r="AN93" s="227">
        <v>4814.95</v>
      </c>
      <c r="AP93" s="486" t="e">
        <f t="shared" si="42"/>
        <v>#DIV/0!</v>
      </c>
      <c r="AQ93" s="486" t="e">
        <f t="shared" si="46"/>
        <v>#DIV/0!</v>
      </c>
      <c r="AR93" s="486" t="e">
        <f t="shared" si="47"/>
        <v>#DIV/0!</v>
      </c>
      <c r="AS93" s="486" t="e">
        <f t="shared" si="48"/>
        <v>#DIV/0!</v>
      </c>
      <c r="AT93" s="486" t="e">
        <f t="shared" si="49"/>
        <v>#DIV/0!</v>
      </c>
      <c r="AU93" s="486" t="e">
        <f t="shared" si="50"/>
        <v>#DIV/0!</v>
      </c>
      <c r="AV93" s="486" t="e">
        <f t="shared" si="51"/>
        <v>#DIV/0!</v>
      </c>
      <c r="AW93" s="486">
        <f t="shared" si="52"/>
        <v>3183.9700000000003</v>
      </c>
      <c r="AX93" s="486" t="e">
        <f t="shared" si="53"/>
        <v>#DIV/0!</v>
      </c>
      <c r="AY93" s="486" t="e">
        <f t="shared" si="54"/>
        <v>#DIV/0!</v>
      </c>
      <c r="AZ93" s="486" t="e">
        <f t="shared" si="55"/>
        <v>#DIV/0!</v>
      </c>
      <c r="BA93" s="486">
        <f t="shared" si="43"/>
        <v>0</v>
      </c>
      <c r="BB93" s="494">
        <v>5155.41</v>
      </c>
      <c r="BC93" s="494">
        <v>2070.12</v>
      </c>
      <c r="BD93" s="494">
        <v>848.92</v>
      </c>
      <c r="BE93" s="494">
        <v>819.73</v>
      </c>
      <c r="BF93" s="494">
        <v>611.5</v>
      </c>
      <c r="BG93" s="494">
        <v>1080.04</v>
      </c>
      <c r="BH93" s="494">
        <v>2671800.0099999998</v>
      </c>
      <c r="BI93" s="494">
        <f t="shared" si="36"/>
        <v>4607.6000000000004</v>
      </c>
      <c r="BJ93" s="494">
        <v>14289.54</v>
      </c>
      <c r="BK93" s="494">
        <v>3389.61</v>
      </c>
      <c r="BL93" s="494">
        <v>5995.76</v>
      </c>
      <c r="BM93" s="494">
        <v>548.62</v>
      </c>
      <c r="BN93" s="495" t="e">
        <f t="shared" si="56"/>
        <v>#DIV/0!</v>
      </c>
      <c r="BO93" s="495" t="e">
        <f t="shared" si="57"/>
        <v>#DIV/0!</v>
      </c>
      <c r="BP93" s="495" t="e">
        <f t="shared" si="58"/>
        <v>#DIV/0!</v>
      </c>
      <c r="BQ93" s="495" t="e">
        <f t="shared" si="59"/>
        <v>#DIV/0!</v>
      </c>
      <c r="BR93" s="495" t="e">
        <f t="shared" si="60"/>
        <v>#DIV/0!</v>
      </c>
      <c r="BS93" s="495" t="e">
        <f t="shared" si="61"/>
        <v>#DIV/0!</v>
      </c>
      <c r="BT93" s="495" t="e">
        <f t="shared" si="62"/>
        <v>#DIV/0!</v>
      </c>
      <c r="BU93" s="495" t="str">
        <f t="shared" si="63"/>
        <v xml:space="preserve"> </v>
      </c>
      <c r="BV93" s="495" t="e">
        <f t="shared" si="64"/>
        <v>#DIV/0!</v>
      </c>
      <c r="BW93" s="495" t="e">
        <f t="shared" si="65"/>
        <v>#DIV/0!</v>
      </c>
      <c r="BX93" s="495" t="e">
        <f t="shared" si="66"/>
        <v>#DIV/0!</v>
      </c>
      <c r="BY93" s="495" t="str">
        <f t="shared" si="67"/>
        <v xml:space="preserve"> </v>
      </c>
    </row>
    <row r="94" spans="1:77" s="28" customFormat="1" ht="9" customHeight="1">
      <c r="A94" s="366">
        <v>78</v>
      </c>
      <c r="B94" s="200" t="s">
        <v>554</v>
      </c>
      <c r="C94" s="465">
        <v>3905.7</v>
      </c>
      <c r="D94" s="308"/>
      <c r="E94" s="141" t="s">
        <v>1005</v>
      </c>
      <c r="F94" s="375">
        <f t="shared" si="41"/>
        <v>0</v>
      </c>
      <c r="G94" s="374">
        <v>2890578</v>
      </c>
      <c r="H94" s="205">
        <v>2890578</v>
      </c>
      <c r="I94" s="368">
        <f t="shared" si="44"/>
        <v>0</v>
      </c>
      <c r="J94" s="205">
        <v>0</v>
      </c>
      <c r="K94" s="465">
        <v>0</v>
      </c>
      <c r="L94" s="205">
        <v>0</v>
      </c>
      <c r="M94" s="465">
        <v>0</v>
      </c>
      <c r="N94" s="205">
        <v>0</v>
      </c>
      <c r="O94" s="249">
        <v>0</v>
      </c>
      <c r="P94" s="368">
        <v>0</v>
      </c>
      <c r="Q94" s="249">
        <v>0</v>
      </c>
      <c r="R94" s="368">
        <v>0</v>
      </c>
      <c r="S94" s="249">
        <v>0</v>
      </c>
      <c r="T94" s="368">
        <v>0</v>
      </c>
      <c r="U94" s="130">
        <v>0</v>
      </c>
      <c r="V94" s="368">
        <v>0</v>
      </c>
      <c r="W94" s="368">
        <v>867</v>
      </c>
      <c r="X94" s="368">
        <f t="shared" si="68"/>
        <v>2760501.99</v>
      </c>
      <c r="Y94" s="368">
        <v>0</v>
      </c>
      <c r="Z94" s="368">
        <v>0</v>
      </c>
      <c r="AA94" s="368">
        <v>0</v>
      </c>
      <c r="AB94" s="368">
        <v>0</v>
      </c>
      <c r="AC94" s="368">
        <v>0</v>
      </c>
      <c r="AD94" s="368">
        <v>0</v>
      </c>
      <c r="AE94" s="368">
        <v>0</v>
      </c>
      <c r="AF94" s="368">
        <v>0</v>
      </c>
      <c r="AG94" s="368">
        <v>0</v>
      </c>
      <c r="AH94" s="368">
        <v>0</v>
      </c>
      <c r="AI94" s="368">
        <v>0</v>
      </c>
      <c r="AJ94" s="370">
        <f t="shared" si="70"/>
        <v>86717.34</v>
      </c>
      <c r="AK94" s="370">
        <f t="shared" si="40"/>
        <v>43358.67</v>
      </c>
      <c r="AL94" s="370">
        <v>0</v>
      </c>
      <c r="AM94" s="447">
        <f t="shared" si="69"/>
        <v>3334</v>
      </c>
      <c r="AN94" s="227">
        <v>4814.95</v>
      </c>
      <c r="AP94" s="486" t="e">
        <f t="shared" si="42"/>
        <v>#DIV/0!</v>
      </c>
      <c r="AQ94" s="486" t="e">
        <f t="shared" si="46"/>
        <v>#DIV/0!</v>
      </c>
      <c r="AR94" s="486" t="e">
        <f t="shared" si="47"/>
        <v>#DIV/0!</v>
      </c>
      <c r="AS94" s="486" t="e">
        <f t="shared" si="48"/>
        <v>#DIV/0!</v>
      </c>
      <c r="AT94" s="486" t="e">
        <f t="shared" si="49"/>
        <v>#DIV/0!</v>
      </c>
      <c r="AU94" s="486" t="e">
        <f t="shared" si="50"/>
        <v>#DIV/0!</v>
      </c>
      <c r="AV94" s="486" t="e">
        <f t="shared" si="51"/>
        <v>#DIV/0!</v>
      </c>
      <c r="AW94" s="486">
        <f t="shared" si="52"/>
        <v>3183.9700000000003</v>
      </c>
      <c r="AX94" s="486" t="e">
        <f t="shared" si="53"/>
        <v>#DIV/0!</v>
      </c>
      <c r="AY94" s="486" t="e">
        <f t="shared" si="54"/>
        <v>#DIV/0!</v>
      </c>
      <c r="AZ94" s="486" t="e">
        <f t="shared" si="55"/>
        <v>#DIV/0!</v>
      </c>
      <c r="BA94" s="486">
        <f t="shared" si="43"/>
        <v>0</v>
      </c>
      <c r="BB94" s="494">
        <v>5155.41</v>
      </c>
      <c r="BC94" s="494">
        <v>2070.12</v>
      </c>
      <c r="BD94" s="494">
        <v>848.92</v>
      </c>
      <c r="BE94" s="494">
        <v>819.73</v>
      </c>
      <c r="BF94" s="494">
        <v>611.5</v>
      </c>
      <c r="BG94" s="494">
        <v>1080.04</v>
      </c>
      <c r="BH94" s="494">
        <v>2671800.0099999998</v>
      </c>
      <c r="BI94" s="494">
        <f t="shared" si="36"/>
        <v>4607.6000000000004</v>
      </c>
      <c r="BJ94" s="494">
        <v>14289.54</v>
      </c>
      <c r="BK94" s="494">
        <v>3389.61</v>
      </c>
      <c r="BL94" s="494">
        <v>5995.76</v>
      </c>
      <c r="BM94" s="494">
        <v>548.62</v>
      </c>
      <c r="BN94" s="495" t="e">
        <f t="shared" si="56"/>
        <v>#DIV/0!</v>
      </c>
      <c r="BO94" s="495" t="e">
        <f t="shared" si="57"/>
        <v>#DIV/0!</v>
      </c>
      <c r="BP94" s="495" t="e">
        <f t="shared" si="58"/>
        <v>#DIV/0!</v>
      </c>
      <c r="BQ94" s="495" t="e">
        <f t="shared" si="59"/>
        <v>#DIV/0!</v>
      </c>
      <c r="BR94" s="495" t="e">
        <f t="shared" si="60"/>
        <v>#DIV/0!</v>
      </c>
      <c r="BS94" s="495" t="e">
        <f t="shared" si="61"/>
        <v>#DIV/0!</v>
      </c>
      <c r="BT94" s="495" t="e">
        <f t="shared" si="62"/>
        <v>#DIV/0!</v>
      </c>
      <c r="BU94" s="495" t="str">
        <f t="shared" si="63"/>
        <v xml:space="preserve"> </v>
      </c>
      <c r="BV94" s="495" t="e">
        <f t="shared" si="64"/>
        <v>#DIV/0!</v>
      </c>
      <c r="BW94" s="495" t="e">
        <f t="shared" si="65"/>
        <v>#DIV/0!</v>
      </c>
      <c r="BX94" s="495" t="e">
        <f t="shared" si="66"/>
        <v>#DIV/0!</v>
      </c>
      <c r="BY94" s="495" t="str">
        <f t="shared" si="67"/>
        <v xml:space="preserve"> </v>
      </c>
    </row>
    <row r="95" spans="1:77" s="28" customFormat="1" ht="9" customHeight="1">
      <c r="A95" s="366">
        <v>79</v>
      </c>
      <c r="B95" s="200" t="s">
        <v>555</v>
      </c>
      <c r="C95" s="465">
        <v>1413.7</v>
      </c>
      <c r="D95" s="308"/>
      <c r="E95" s="141" t="s">
        <v>1005</v>
      </c>
      <c r="F95" s="375">
        <f t="shared" si="41"/>
        <v>0</v>
      </c>
      <c r="G95" s="374">
        <v>2077082</v>
      </c>
      <c r="H95" s="205">
        <v>2077082</v>
      </c>
      <c r="I95" s="368">
        <f t="shared" si="44"/>
        <v>0</v>
      </c>
      <c r="J95" s="205">
        <v>0</v>
      </c>
      <c r="K95" s="465">
        <v>0</v>
      </c>
      <c r="L95" s="205">
        <v>0</v>
      </c>
      <c r="M95" s="465">
        <v>0</v>
      </c>
      <c r="N95" s="205">
        <v>0</v>
      </c>
      <c r="O95" s="249">
        <v>0</v>
      </c>
      <c r="P95" s="368">
        <v>0</v>
      </c>
      <c r="Q95" s="249">
        <v>0</v>
      </c>
      <c r="R95" s="368">
        <v>0</v>
      </c>
      <c r="S95" s="249">
        <v>0</v>
      </c>
      <c r="T95" s="368">
        <v>0</v>
      </c>
      <c r="U95" s="130">
        <v>0</v>
      </c>
      <c r="V95" s="368">
        <v>0</v>
      </c>
      <c r="W95" s="368">
        <v>623</v>
      </c>
      <c r="X95" s="368">
        <f t="shared" si="68"/>
        <v>1983613.31</v>
      </c>
      <c r="Y95" s="368">
        <v>0</v>
      </c>
      <c r="Z95" s="368">
        <v>0</v>
      </c>
      <c r="AA95" s="368">
        <v>0</v>
      </c>
      <c r="AB95" s="368">
        <v>0</v>
      </c>
      <c r="AC95" s="368">
        <v>0</v>
      </c>
      <c r="AD95" s="368">
        <v>0</v>
      </c>
      <c r="AE95" s="368">
        <v>0</v>
      </c>
      <c r="AF95" s="368">
        <v>0</v>
      </c>
      <c r="AG95" s="368">
        <v>0</v>
      </c>
      <c r="AH95" s="368">
        <v>0</v>
      </c>
      <c r="AI95" s="368">
        <v>0</v>
      </c>
      <c r="AJ95" s="370">
        <f t="shared" si="70"/>
        <v>62312.46</v>
      </c>
      <c r="AK95" s="370">
        <f t="shared" si="40"/>
        <v>31156.23</v>
      </c>
      <c r="AL95" s="370">
        <v>0</v>
      </c>
      <c r="AM95" s="447">
        <f t="shared" si="69"/>
        <v>3334</v>
      </c>
      <c r="AN95" s="227">
        <v>4814.95</v>
      </c>
      <c r="AP95" s="486" t="e">
        <f t="shared" si="42"/>
        <v>#DIV/0!</v>
      </c>
      <c r="AQ95" s="486" t="e">
        <f t="shared" si="46"/>
        <v>#DIV/0!</v>
      </c>
      <c r="AR95" s="486" t="e">
        <f t="shared" si="47"/>
        <v>#DIV/0!</v>
      </c>
      <c r="AS95" s="486" t="e">
        <f t="shared" si="48"/>
        <v>#DIV/0!</v>
      </c>
      <c r="AT95" s="486" t="e">
        <f t="shared" si="49"/>
        <v>#DIV/0!</v>
      </c>
      <c r="AU95" s="486" t="e">
        <f t="shared" si="50"/>
        <v>#DIV/0!</v>
      </c>
      <c r="AV95" s="486" t="e">
        <f t="shared" si="51"/>
        <v>#DIV/0!</v>
      </c>
      <c r="AW95" s="486">
        <f t="shared" si="52"/>
        <v>3183.9700000000003</v>
      </c>
      <c r="AX95" s="486" t="e">
        <f t="shared" si="53"/>
        <v>#DIV/0!</v>
      </c>
      <c r="AY95" s="486" t="e">
        <f t="shared" si="54"/>
        <v>#DIV/0!</v>
      </c>
      <c r="AZ95" s="486" t="e">
        <f t="shared" si="55"/>
        <v>#DIV/0!</v>
      </c>
      <c r="BA95" s="486">
        <f t="shared" si="43"/>
        <v>0</v>
      </c>
      <c r="BB95" s="494">
        <v>5155.41</v>
      </c>
      <c r="BC95" s="494">
        <v>2070.12</v>
      </c>
      <c r="BD95" s="494">
        <v>848.92</v>
      </c>
      <c r="BE95" s="494">
        <v>819.73</v>
      </c>
      <c r="BF95" s="494">
        <v>611.5</v>
      </c>
      <c r="BG95" s="494">
        <v>1080.04</v>
      </c>
      <c r="BH95" s="494">
        <v>2671800.0099999998</v>
      </c>
      <c r="BI95" s="494">
        <f t="shared" si="36"/>
        <v>4607.6000000000004</v>
      </c>
      <c r="BJ95" s="494">
        <v>14289.54</v>
      </c>
      <c r="BK95" s="494">
        <v>3389.61</v>
      </c>
      <c r="BL95" s="494">
        <v>5995.76</v>
      </c>
      <c r="BM95" s="494">
        <v>548.62</v>
      </c>
      <c r="BN95" s="495" t="e">
        <f t="shared" si="56"/>
        <v>#DIV/0!</v>
      </c>
      <c r="BO95" s="495" t="e">
        <f t="shared" si="57"/>
        <v>#DIV/0!</v>
      </c>
      <c r="BP95" s="495" t="e">
        <f t="shared" si="58"/>
        <v>#DIV/0!</v>
      </c>
      <c r="BQ95" s="495" t="e">
        <f t="shared" si="59"/>
        <v>#DIV/0!</v>
      </c>
      <c r="BR95" s="495" t="e">
        <f t="shared" si="60"/>
        <v>#DIV/0!</v>
      </c>
      <c r="BS95" s="495" t="e">
        <f t="shared" si="61"/>
        <v>#DIV/0!</v>
      </c>
      <c r="BT95" s="495" t="e">
        <f t="shared" si="62"/>
        <v>#DIV/0!</v>
      </c>
      <c r="BU95" s="495" t="str">
        <f t="shared" si="63"/>
        <v xml:space="preserve"> </v>
      </c>
      <c r="BV95" s="495" t="e">
        <f t="shared" si="64"/>
        <v>#DIV/0!</v>
      </c>
      <c r="BW95" s="495" t="e">
        <f t="shared" si="65"/>
        <v>#DIV/0!</v>
      </c>
      <c r="BX95" s="495" t="e">
        <f t="shared" si="66"/>
        <v>#DIV/0!</v>
      </c>
      <c r="BY95" s="495" t="str">
        <f t="shared" si="67"/>
        <v xml:space="preserve"> </v>
      </c>
    </row>
    <row r="96" spans="1:77" s="28" customFormat="1" ht="9" customHeight="1">
      <c r="A96" s="366">
        <v>80</v>
      </c>
      <c r="B96" s="200" t="s">
        <v>556</v>
      </c>
      <c r="C96" s="465">
        <v>5665.74</v>
      </c>
      <c r="D96" s="308"/>
      <c r="E96" s="141" t="s">
        <v>1005</v>
      </c>
      <c r="F96" s="375">
        <f t="shared" si="41"/>
        <v>0</v>
      </c>
      <c r="G96" s="374">
        <v>6001200</v>
      </c>
      <c r="H96" s="205">
        <v>6001200</v>
      </c>
      <c r="I96" s="368">
        <f t="shared" si="44"/>
        <v>0</v>
      </c>
      <c r="J96" s="205">
        <v>0</v>
      </c>
      <c r="K96" s="465">
        <v>0</v>
      </c>
      <c r="L96" s="205">
        <v>0</v>
      </c>
      <c r="M96" s="465">
        <v>0</v>
      </c>
      <c r="N96" s="205">
        <v>0</v>
      </c>
      <c r="O96" s="249">
        <v>0</v>
      </c>
      <c r="P96" s="368">
        <v>0</v>
      </c>
      <c r="Q96" s="249">
        <v>0</v>
      </c>
      <c r="R96" s="368">
        <v>0</v>
      </c>
      <c r="S96" s="249">
        <v>0</v>
      </c>
      <c r="T96" s="368">
        <v>0</v>
      </c>
      <c r="U96" s="130">
        <v>0</v>
      </c>
      <c r="V96" s="368">
        <v>0</v>
      </c>
      <c r="W96" s="368">
        <v>1800</v>
      </c>
      <c r="X96" s="368">
        <f t="shared" si="68"/>
        <v>5731146</v>
      </c>
      <c r="Y96" s="368">
        <v>0</v>
      </c>
      <c r="Z96" s="368">
        <v>0</v>
      </c>
      <c r="AA96" s="368">
        <v>0</v>
      </c>
      <c r="AB96" s="368">
        <v>0</v>
      </c>
      <c r="AC96" s="368">
        <v>0</v>
      </c>
      <c r="AD96" s="368">
        <v>0</v>
      </c>
      <c r="AE96" s="368">
        <v>0</v>
      </c>
      <c r="AF96" s="368">
        <v>0</v>
      </c>
      <c r="AG96" s="368">
        <v>0</v>
      </c>
      <c r="AH96" s="368">
        <v>0</v>
      </c>
      <c r="AI96" s="368">
        <v>0</v>
      </c>
      <c r="AJ96" s="370">
        <f t="shared" si="70"/>
        <v>180036</v>
      </c>
      <c r="AK96" s="370">
        <f t="shared" si="40"/>
        <v>90018</v>
      </c>
      <c r="AL96" s="370">
        <v>0</v>
      </c>
      <c r="AM96" s="447">
        <f t="shared" si="69"/>
        <v>3334</v>
      </c>
      <c r="AN96" s="227">
        <v>4814.95</v>
      </c>
      <c r="AP96" s="486" t="e">
        <f t="shared" si="42"/>
        <v>#DIV/0!</v>
      </c>
      <c r="AQ96" s="486" t="e">
        <f t="shared" si="46"/>
        <v>#DIV/0!</v>
      </c>
      <c r="AR96" s="486" t="e">
        <f t="shared" si="47"/>
        <v>#DIV/0!</v>
      </c>
      <c r="AS96" s="486" t="e">
        <f t="shared" si="48"/>
        <v>#DIV/0!</v>
      </c>
      <c r="AT96" s="486" t="e">
        <f t="shared" si="49"/>
        <v>#DIV/0!</v>
      </c>
      <c r="AU96" s="486" t="e">
        <f t="shared" si="50"/>
        <v>#DIV/0!</v>
      </c>
      <c r="AV96" s="486" t="e">
        <f t="shared" si="51"/>
        <v>#DIV/0!</v>
      </c>
      <c r="AW96" s="486">
        <f t="shared" si="52"/>
        <v>3183.97</v>
      </c>
      <c r="AX96" s="486" t="e">
        <f t="shared" si="53"/>
        <v>#DIV/0!</v>
      </c>
      <c r="AY96" s="486" t="e">
        <f t="shared" si="54"/>
        <v>#DIV/0!</v>
      </c>
      <c r="AZ96" s="486" t="e">
        <f t="shared" si="55"/>
        <v>#DIV/0!</v>
      </c>
      <c r="BA96" s="486">
        <f t="shared" si="43"/>
        <v>0</v>
      </c>
      <c r="BB96" s="494">
        <v>5155.41</v>
      </c>
      <c r="BC96" s="494">
        <v>2070.12</v>
      </c>
      <c r="BD96" s="494">
        <v>848.92</v>
      </c>
      <c r="BE96" s="494">
        <v>819.73</v>
      </c>
      <c r="BF96" s="494">
        <v>611.5</v>
      </c>
      <c r="BG96" s="494">
        <v>1080.04</v>
      </c>
      <c r="BH96" s="494">
        <v>2671800.0099999998</v>
      </c>
      <c r="BI96" s="494">
        <f t="shared" si="36"/>
        <v>4607.6000000000004</v>
      </c>
      <c r="BJ96" s="494">
        <v>14289.54</v>
      </c>
      <c r="BK96" s="494">
        <v>3389.61</v>
      </c>
      <c r="BL96" s="494">
        <v>5995.76</v>
      </c>
      <c r="BM96" s="494">
        <v>548.62</v>
      </c>
      <c r="BN96" s="495" t="e">
        <f t="shared" si="56"/>
        <v>#DIV/0!</v>
      </c>
      <c r="BO96" s="495" t="e">
        <f t="shared" si="57"/>
        <v>#DIV/0!</v>
      </c>
      <c r="BP96" s="495" t="e">
        <f t="shared" si="58"/>
        <v>#DIV/0!</v>
      </c>
      <c r="BQ96" s="495" t="e">
        <f t="shared" si="59"/>
        <v>#DIV/0!</v>
      </c>
      <c r="BR96" s="495" t="e">
        <f t="shared" si="60"/>
        <v>#DIV/0!</v>
      </c>
      <c r="BS96" s="495" t="e">
        <f t="shared" si="61"/>
        <v>#DIV/0!</v>
      </c>
      <c r="BT96" s="495" t="e">
        <f t="shared" si="62"/>
        <v>#DIV/0!</v>
      </c>
      <c r="BU96" s="495" t="str">
        <f t="shared" si="63"/>
        <v xml:space="preserve"> </v>
      </c>
      <c r="BV96" s="495" t="e">
        <f t="shared" si="64"/>
        <v>#DIV/0!</v>
      </c>
      <c r="BW96" s="495" t="e">
        <f t="shared" si="65"/>
        <v>#DIV/0!</v>
      </c>
      <c r="BX96" s="495" t="e">
        <f t="shared" si="66"/>
        <v>#DIV/0!</v>
      </c>
      <c r="BY96" s="495" t="str">
        <f t="shared" si="67"/>
        <v xml:space="preserve"> </v>
      </c>
    </row>
    <row r="97" spans="1:77" s="28" customFormat="1" ht="9" customHeight="1">
      <c r="A97" s="366">
        <v>81</v>
      </c>
      <c r="B97" s="200" t="s">
        <v>557</v>
      </c>
      <c r="C97" s="465">
        <v>1494.3</v>
      </c>
      <c r="D97" s="308"/>
      <c r="E97" s="141" t="s">
        <v>1005</v>
      </c>
      <c r="F97" s="375">
        <f t="shared" si="41"/>
        <v>0</v>
      </c>
      <c r="G97" s="374">
        <v>1500300</v>
      </c>
      <c r="H97" s="205">
        <v>1500300</v>
      </c>
      <c r="I97" s="368">
        <f t="shared" si="44"/>
        <v>0</v>
      </c>
      <c r="J97" s="205">
        <v>0</v>
      </c>
      <c r="K97" s="465">
        <v>0</v>
      </c>
      <c r="L97" s="205">
        <v>0</v>
      </c>
      <c r="M97" s="465">
        <v>0</v>
      </c>
      <c r="N97" s="205">
        <v>0</v>
      </c>
      <c r="O97" s="249">
        <v>0</v>
      </c>
      <c r="P97" s="368">
        <v>0</v>
      </c>
      <c r="Q97" s="249">
        <v>0</v>
      </c>
      <c r="R97" s="368">
        <v>0</v>
      </c>
      <c r="S97" s="249">
        <v>0</v>
      </c>
      <c r="T97" s="368">
        <v>0</v>
      </c>
      <c r="U97" s="130">
        <v>0</v>
      </c>
      <c r="V97" s="368">
        <v>0</v>
      </c>
      <c r="W97" s="368">
        <v>450</v>
      </c>
      <c r="X97" s="368">
        <f t="shared" si="68"/>
        <v>1432786.5</v>
      </c>
      <c r="Y97" s="368">
        <v>0</v>
      </c>
      <c r="Z97" s="368">
        <v>0</v>
      </c>
      <c r="AA97" s="368">
        <v>0</v>
      </c>
      <c r="AB97" s="368">
        <v>0</v>
      </c>
      <c r="AC97" s="368">
        <v>0</v>
      </c>
      <c r="AD97" s="368">
        <v>0</v>
      </c>
      <c r="AE97" s="368">
        <v>0</v>
      </c>
      <c r="AF97" s="368">
        <v>0</v>
      </c>
      <c r="AG97" s="368">
        <v>0</v>
      </c>
      <c r="AH97" s="368">
        <v>0</v>
      </c>
      <c r="AI97" s="368">
        <v>0</v>
      </c>
      <c r="AJ97" s="370">
        <f t="shared" si="70"/>
        <v>45009</v>
      </c>
      <c r="AK97" s="370">
        <f t="shared" si="40"/>
        <v>22504.5</v>
      </c>
      <c r="AL97" s="370">
        <v>0</v>
      </c>
      <c r="AM97" s="447">
        <f t="shared" si="69"/>
        <v>3334</v>
      </c>
      <c r="AN97" s="227">
        <v>4814.95</v>
      </c>
      <c r="AP97" s="486" t="e">
        <f t="shared" si="42"/>
        <v>#DIV/0!</v>
      </c>
      <c r="AQ97" s="486" t="e">
        <f t="shared" si="46"/>
        <v>#DIV/0!</v>
      </c>
      <c r="AR97" s="486" t="e">
        <f t="shared" si="47"/>
        <v>#DIV/0!</v>
      </c>
      <c r="AS97" s="486" t="e">
        <f t="shared" si="48"/>
        <v>#DIV/0!</v>
      </c>
      <c r="AT97" s="486" t="e">
        <f t="shared" si="49"/>
        <v>#DIV/0!</v>
      </c>
      <c r="AU97" s="486" t="e">
        <f t="shared" si="50"/>
        <v>#DIV/0!</v>
      </c>
      <c r="AV97" s="486" t="e">
        <f t="shared" si="51"/>
        <v>#DIV/0!</v>
      </c>
      <c r="AW97" s="486">
        <f t="shared" si="52"/>
        <v>3183.97</v>
      </c>
      <c r="AX97" s="486" t="e">
        <f t="shared" si="53"/>
        <v>#DIV/0!</v>
      </c>
      <c r="AY97" s="486" t="e">
        <f t="shared" si="54"/>
        <v>#DIV/0!</v>
      </c>
      <c r="AZ97" s="486" t="e">
        <f t="shared" si="55"/>
        <v>#DIV/0!</v>
      </c>
      <c r="BA97" s="486">
        <f t="shared" si="43"/>
        <v>0</v>
      </c>
      <c r="BB97" s="494">
        <v>5155.41</v>
      </c>
      <c r="BC97" s="494">
        <v>2070.12</v>
      </c>
      <c r="BD97" s="494">
        <v>848.92</v>
      </c>
      <c r="BE97" s="494">
        <v>819.73</v>
      </c>
      <c r="BF97" s="494">
        <v>611.5</v>
      </c>
      <c r="BG97" s="494">
        <v>1080.04</v>
      </c>
      <c r="BH97" s="494">
        <v>2671800.0099999998</v>
      </c>
      <c r="BI97" s="494">
        <f t="shared" si="36"/>
        <v>4607.6000000000004</v>
      </c>
      <c r="BJ97" s="494">
        <v>14289.54</v>
      </c>
      <c r="BK97" s="494">
        <v>3389.61</v>
      </c>
      <c r="BL97" s="494">
        <v>5995.76</v>
      </c>
      <c r="BM97" s="494">
        <v>548.62</v>
      </c>
      <c r="BN97" s="495" t="e">
        <f t="shared" si="56"/>
        <v>#DIV/0!</v>
      </c>
      <c r="BO97" s="495" t="e">
        <f t="shared" si="57"/>
        <v>#DIV/0!</v>
      </c>
      <c r="BP97" s="495" t="e">
        <f t="shared" si="58"/>
        <v>#DIV/0!</v>
      </c>
      <c r="BQ97" s="495" t="e">
        <f t="shared" si="59"/>
        <v>#DIV/0!</v>
      </c>
      <c r="BR97" s="495" t="e">
        <f t="shared" si="60"/>
        <v>#DIV/0!</v>
      </c>
      <c r="BS97" s="495" t="e">
        <f t="shared" si="61"/>
        <v>#DIV/0!</v>
      </c>
      <c r="BT97" s="495" t="e">
        <f t="shared" si="62"/>
        <v>#DIV/0!</v>
      </c>
      <c r="BU97" s="495" t="str">
        <f t="shared" si="63"/>
        <v xml:space="preserve"> </v>
      </c>
      <c r="BV97" s="495" t="e">
        <f t="shared" si="64"/>
        <v>#DIV/0!</v>
      </c>
      <c r="BW97" s="495" t="e">
        <f t="shared" si="65"/>
        <v>#DIV/0!</v>
      </c>
      <c r="BX97" s="495" t="e">
        <f t="shared" si="66"/>
        <v>#DIV/0!</v>
      </c>
      <c r="BY97" s="495" t="str">
        <f t="shared" si="67"/>
        <v xml:space="preserve"> </v>
      </c>
    </row>
    <row r="98" spans="1:77" s="28" customFormat="1" ht="9" customHeight="1">
      <c r="A98" s="366">
        <v>82</v>
      </c>
      <c r="B98" s="200" t="s">
        <v>558</v>
      </c>
      <c r="C98" s="465">
        <v>5585.9</v>
      </c>
      <c r="D98" s="308"/>
      <c r="E98" s="141" t="s">
        <v>1005</v>
      </c>
      <c r="F98" s="375">
        <f t="shared" si="41"/>
        <v>0</v>
      </c>
      <c r="G98" s="374">
        <v>5084350</v>
      </c>
      <c r="H98" s="205">
        <v>5084350</v>
      </c>
      <c r="I98" s="368">
        <f t="shared" si="44"/>
        <v>0</v>
      </c>
      <c r="J98" s="205">
        <v>0</v>
      </c>
      <c r="K98" s="465">
        <v>0</v>
      </c>
      <c r="L98" s="205">
        <v>0</v>
      </c>
      <c r="M98" s="465">
        <v>0</v>
      </c>
      <c r="N98" s="205">
        <v>0</v>
      </c>
      <c r="O98" s="249">
        <v>0</v>
      </c>
      <c r="P98" s="368">
        <v>0</v>
      </c>
      <c r="Q98" s="249">
        <v>0</v>
      </c>
      <c r="R98" s="368">
        <v>0</v>
      </c>
      <c r="S98" s="249">
        <v>0</v>
      </c>
      <c r="T98" s="368">
        <v>0</v>
      </c>
      <c r="U98" s="130">
        <v>0</v>
      </c>
      <c r="V98" s="368">
        <v>0</v>
      </c>
      <c r="W98" s="368">
        <v>1525</v>
      </c>
      <c r="X98" s="368">
        <f t="shared" si="68"/>
        <v>4855554.25</v>
      </c>
      <c r="Y98" s="368">
        <v>0</v>
      </c>
      <c r="Z98" s="368">
        <v>0</v>
      </c>
      <c r="AA98" s="368">
        <v>0</v>
      </c>
      <c r="AB98" s="368">
        <v>0</v>
      </c>
      <c r="AC98" s="368">
        <v>0</v>
      </c>
      <c r="AD98" s="368">
        <v>0</v>
      </c>
      <c r="AE98" s="368">
        <v>0</v>
      </c>
      <c r="AF98" s="368">
        <v>0</v>
      </c>
      <c r="AG98" s="368">
        <v>0</v>
      </c>
      <c r="AH98" s="368">
        <v>0</v>
      </c>
      <c r="AI98" s="368">
        <v>0</v>
      </c>
      <c r="AJ98" s="370">
        <f t="shared" si="70"/>
        <v>152530.5</v>
      </c>
      <c r="AK98" s="370">
        <f t="shared" si="40"/>
        <v>76265.25</v>
      </c>
      <c r="AL98" s="370">
        <v>0</v>
      </c>
      <c r="AM98" s="447">
        <f t="shared" si="69"/>
        <v>3334</v>
      </c>
      <c r="AN98" s="227">
        <v>4814.95</v>
      </c>
      <c r="AP98" s="486" t="e">
        <f t="shared" si="42"/>
        <v>#DIV/0!</v>
      </c>
      <c r="AQ98" s="486" t="e">
        <f t="shared" si="46"/>
        <v>#DIV/0!</v>
      </c>
      <c r="AR98" s="486" t="e">
        <f t="shared" si="47"/>
        <v>#DIV/0!</v>
      </c>
      <c r="AS98" s="486" t="e">
        <f t="shared" si="48"/>
        <v>#DIV/0!</v>
      </c>
      <c r="AT98" s="486" t="e">
        <f t="shared" si="49"/>
        <v>#DIV/0!</v>
      </c>
      <c r="AU98" s="486" t="e">
        <f t="shared" si="50"/>
        <v>#DIV/0!</v>
      </c>
      <c r="AV98" s="486" t="e">
        <f t="shared" si="51"/>
        <v>#DIV/0!</v>
      </c>
      <c r="AW98" s="486">
        <f t="shared" si="52"/>
        <v>3183.97</v>
      </c>
      <c r="AX98" s="486" t="e">
        <f t="shared" si="53"/>
        <v>#DIV/0!</v>
      </c>
      <c r="AY98" s="486" t="e">
        <f t="shared" si="54"/>
        <v>#DIV/0!</v>
      </c>
      <c r="AZ98" s="486" t="e">
        <f t="shared" si="55"/>
        <v>#DIV/0!</v>
      </c>
      <c r="BA98" s="486">
        <f t="shared" si="43"/>
        <v>0</v>
      </c>
      <c r="BB98" s="494">
        <v>5155.41</v>
      </c>
      <c r="BC98" s="494">
        <v>2070.12</v>
      </c>
      <c r="BD98" s="494">
        <v>848.92</v>
      </c>
      <c r="BE98" s="494">
        <v>819.73</v>
      </c>
      <c r="BF98" s="494">
        <v>611.5</v>
      </c>
      <c r="BG98" s="494">
        <v>1080.04</v>
      </c>
      <c r="BH98" s="494">
        <v>2671800.0099999998</v>
      </c>
      <c r="BI98" s="494">
        <f t="shared" si="36"/>
        <v>4607.6000000000004</v>
      </c>
      <c r="BJ98" s="494">
        <v>14289.54</v>
      </c>
      <c r="BK98" s="494">
        <v>3389.61</v>
      </c>
      <c r="BL98" s="494">
        <v>5995.76</v>
      </c>
      <c r="BM98" s="494">
        <v>548.62</v>
      </c>
      <c r="BN98" s="495" t="e">
        <f t="shared" si="56"/>
        <v>#DIV/0!</v>
      </c>
      <c r="BO98" s="495" t="e">
        <f t="shared" si="57"/>
        <v>#DIV/0!</v>
      </c>
      <c r="BP98" s="495" t="e">
        <f t="shared" si="58"/>
        <v>#DIV/0!</v>
      </c>
      <c r="BQ98" s="495" t="e">
        <f t="shared" si="59"/>
        <v>#DIV/0!</v>
      </c>
      <c r="BR98" s="495" t="e">
        <f t="shared" si="60"/>
        <v>#DIV/0!</v>
      </c>
      <c r="BS98" s="495" t="e">
        <f t="shared" si="61"/>
        <v>#DIV/0!</v>
      </c>
      <c r="BT98" s="495" t="e">
        <f t="shared" si="62"/>
        <v>#DIV/0!</v>
      </c>
      <c r="BU98" s="495" t="str">
        <f t="shared" si="63"/>
        <v xml:space="preserve"> </v>
      </c>
      <c r="BV98" s="495" t="e">
        <f t="shared" si="64"/>
        <v>#DIV/0!</v>
      </c>
      <c r="BW98" s="495" t="e">
        <f t="shared" si="65"/>
        <v>#DIV/0!</v>
      </c>
      <c r="BX98" s="495" t="e">
        <f t="shared" si="66"/>
        <v>#DIV/0!</v>
      </c>
      <c r="BY98" s="495" t="str">
        <f t="shared" si="67"/>
        <v xml:space="preserve"> </v>
      </c>
    </row>
    <row r="99" spans="1:77" s="28" customFormat="1" ht="9" customHeight="1">
      <c r="A99" s="366">
        <v>83</v>
      </c>
      <c r="B99" s="200" t="s">
        <v>559</v>
      </c>
      <c r="C99" s="465">
        <v>5312.7</v>
      </c>
      <c r="D99" s="308"/>
      <c r="E99" s="141" t="s">
        <v>1005</v>
      </c>
      <c r="F99" s="375">
        <f t="shared" si="41"/>
        <v>0</v>
      </c>
      <c r="G99" s="374">
        <v>5961192</v>
      </c>
      <c r="H99" s="205">
        <v>5961192</v>
      </c>
      <c r="I99" s="368">
        <f t="shared" si="44"/>
        <v>0</v>
      </c>
      <c r="J99" s="205">
        <v>0</v>
      </c>
      <c r="K99" s="465">
        <v>0</v>
      </c>
      <c r="L99" s="205">
        <v>0</v>
      </c>
      <c r="M99" s="465">
        <v>0</v>
      </c>
      <c r="N99" s="205">
        <v>0</v>
      </c>
      <c r="O99" s="249">
        <v>0</v>
      </c>
      <c r="P99" s="368">
        <v>0</v>
      </c>
      <c r="Q99" s="249">
        <v>0</v>
      </c>
      <c r="R99" s="368">
        <v>0</v>
      </c>
      <c r="S99" s="249">
        <v>0</v>
      </c>
      <c r="T99" s="368">
        <v>0</v>
      </c>
      <c r="U99" s="130">
        <v>0</v>
      </c>
      <c r="V99" s="368">
        <v>0</v>
      </c>
      <c r="W99" s="368">
        <v>1788</v>
      </c>
      <c r="X99" s="368">
        <f t="shared" si="68"/>
        <v>5692938.3600000003</v>
      </c>
      <c r="Y99" s="368">
        <v>0</v>
      </c>
      <c r="Z99" s="368">
        <v>0</v>
      </c>
      <c r="AA99" s="368">
        <v>0</v>
      </c>
      <c r="AB99" s="368">
        <v>0</v>
      </c>
      <c r="AC99" s="368">
        <v>0</v>
      </c>
      <c r="AD99" s="368">
        <v>0</v>
      </c>
      <c r="AE99" s="368">
        <v>0</v>
      </c>
      <c r="AF99" s="368">
        <v>0</v>
      </c>
      <c r="AG99" s="368">
        <v>0</v>
      </c>
      <c r="AH99" s="368">
        <v>0</v>
      </c>
      <c r="AI99" s="368">
        <v>0</v>
      </c>
      <c r="AJ99" s="370">
        <f t="shared" si="70"/>
        <v>178835.76</v>
      </c>
      <c r="AK99" s="370">
        <f t="shared" si="40"/>
        <v>89417.88</v>
      </c>
      <c r="AL99" s="370">
        <v>0</v>
      </c>
      <c r="AM99" s="447">
        <f t="shared" si="69"/>
        <v>3334</v>
      </c>
      <c r="AN99" s="227">
        <v>4814.95</v>
      </c>
      <c r="AP99" s="486" t="e">
        <f t="shared" si="42"/>
        <v>#DIV/0!</v>
      </c>
      <c r="AQ99" s="486" t="e">
        <f t="shared" si="46"/>
        <v>#DIV/0!</v>
      </c>
      <c r="AR99" s="486" t="e">
        <f t="shared" si="47"/>
        <v>#DIV/0!</v>
      </c>
      <c r="AS99" s="486" t="e">
        <f t="shared" si="48"/>
        <v>#DIV/0!</v>
      </c>
      <c r="AT99" s="486" t="e">
        <f t="shared" si="49"/>
        <v>#DIV/0!</v>
      </c>
      <c r="AU99" s="486" t="e">
        <f t="shared" si="50"/>
        <v>#DIV/0!</v>
      </c>
      <c r="AV99" s="486" t="e">
        <f t="shared" si="51"/>
        <v>#DIV/0!</v>
      </c>
      <c r="AW99" s="486">
        <f t="shared" si="52"/>
        <v>3183.9700000000003</v>
      </c>
      <c r="AX99" s="486" t="e">
        <f t="shared" si="53"/>
        <v>#DIV/0!</v>
      </c>
      <c r="AY99" s="486" t="e">
        <f t="shared" si="54"/>
        <v>#DIV/0!</v>
      </c>
      <c r="AZ99" s="486" t="e">
        <f t="shared" si="55"/>
        <v>#DIV/0!</v>
      </c>
      <c r="BA99" s="486">
        <f t="shared" si="43"/>
        <v>0</v>
      </c>
      <c r="BB99" s="494">
        <v>5155.41</v>
      </c>
      <c r="BC99" s="494">
        <v>2070.12</v>
      </c>
      <c r="BD99" s="494">
        <v>848.92</v>
      </c>
      <c r="BE99" s="494">
        <v>819.73</v>
      </c>
      <c r="BF99" s="494">
        <v>611.5</v>
      </c>
      <c r="BG99" s="494">
        <v>1080.04</v>
      </c>
      <c r="BH99" s="494">
        <v>2671800.0099999998</v>
      </c>
      <c r="BI99" s="494">
        <f t="shared" ref="BI99:BI162" si="71">IF(E99="ПК",4607.6,4422.85)</f>
        <v>4607.6000000000004</v>
      </c>
      <c r="BJ99" s="494">
        <v>14289.54</v>
      </c>
      <c r="BK99" s="494">
        <v>3389.61</v>
      </c>
      <c r="BL99" s="494">
        <v>5995.76</v>
      </c>
      <c r="BM99" s="494">
        <v>548.62</v>
      </c>
      <c r="BN99" s="495" t="e">
        <f t="shared" si="56"/>
        <v>#DIV/0!</v>
      </c>
      <c r="BO99" s="495" t="e">
        <f t="shared" si="57"/>
        <v>#DIV/0!</v>
      </c>
      <c r="BP99" s="495" t="e">
        <f t="shared" si="58"/>
        <v>#DIV/0!</v>
      </c>
      <c r="BQ99" s="495" t="e">
        <f t="shared" si="59"/>
        <v>#DIV/0!</v>
      </c>
      <c r="BR99" s="495" t="e">
        <f t="shared" si="60"/>
        <v>#DIV/0!</v>
      </c>
      <c r="BS99" s="495" t="e">
        <f t="shared" si="61"/>
        <v>#DIV/0!</v>
      </c>
      <c r="BT99" s="495" t="e">
        <f t="shared" si="62"/>
        <v>#DIV/0!</v>
      </c>
      <c r="BU99" s="495" t="str">
        <f t="shared" si="63"/>
        <v xml:space="preserve"> </v>
      </c>
      <c r="BV99" s="495" t="e">
        <f t="shared" si="64"/>
        <v>#DIV/0!</v>
      </c>
      <c r="BW99" s="495" t="e">
        <f t="shared" si="65"/>
        <v>#DIV/0!</v>
      </c>
      <c r="BX99" s="495" t="e">
        <f t="shared" si="66"/>
        <v>#DIV/0!</v>
      </c>
      <c r="BY99" s="495" t="str">
        <f t="shared" si="67"/>
        <v xml:space="preserve"> </v>
      </c>
    </row>
    <row r="100" spans="1:77" s="28" customFormat="1" ht="9" customHeight="1">
      <c r="A100" s="366">
        <v>84</v>
      </c>
      <c r="B100" s="200" t="s">
        <v>560</v>
      </c>
      <c r="C100" s="465">
        <v>1983.3</v>
      </c>
      <c r="D100" s="466"/>
      <c r="E100" s="201" t="s">
        <v>1006</v>
      </c>
      <c r="F100" s="375">
        <f t="shared" si="41"/>
        <v>0</v>
      </c>
      <c r="G100" s="375">
        <v>2891196</v>
      </c>
      <c r="H100" s="205">
        <v>2891196</v>
      </c>
      <c r="I100" s="368">
        <f t="shared" si="44"/>
        <v>0</v>
      </c>
      <c r="J100" s="205">
        <v>0</v>
      </c>
      <c r="K100" s="465">
        <v>0</v>
      </c>
      <c r="L100" s="205">
        <v>0</v>
      </c>
      <c r="M100" s="465">
        <v>0</v>
      </c>
      <c r="N100" s="205">
        <v>0</v>
      </c>
      <c r="O100" s="249">
        <v>0</v>
      </c>
      <c r="P100" s="368">
        <v>0</v>
      </c>
      <c r="Q100" s="249">
        <v>0</v>
      </c>
      <c r="R100" s="368">
        <v>0</v>
      </c>
      <c r="S100" s="249">
        <v>0</v>
      </c>
      <c r="T100" s="368">
        <v>0</v>
      </c>
      <c r="U100" s="130">
        <v>0</v>
      </c>
      <c r="V100" s="368">
        <v>0</v>
      </c>
      <c r="W100" s="368">
        <v>894</v>
      </c>
      <c r="X100" s="368">
        <f t="shared" si="68"/>
        <v>2761092.18</v>
      </c>
      <c r="Y100" s="368">
        <v>0</v>
      </c>
      <c r="Z100" s="368">
        <v>0</v>
      </c>
      <c r="AA100" s="368">
        <v>0</v>
      </c>
      <c r="AB100" s="368">
        <v>0</v>
      </c>
      <c r="AC100" s="368">
        <v>0</v>
      </c>
      <c r="AD100" s="368">
        <v>0</v>
      </c>
      <c r="AE100" s="368">
        <v>0</v>
      </c>
      <c r="AF100" s="368">
        <v>0</v>
      </c>
      <c r="AG100" s="368">
        <v>0</v>
      </c>
      <c r="AH100" s="368">
        <v>0</v>
      </c>
      <c r="AI100" s="368">
        <v>0</v>
      </c>
      <c r="AJ100" s="370">
        <f t="shared" si="70"/>
        <v>86735.88</v>
      </c>
      <c r="AK100" s="370">
        <f t="shared" si="40"/>
        <v>43367.94</v>
      </c>
      <c r="AL100" s="370">
        <v>0</v>
      </c>
      <c r="AM100" s="447">
        <f t="shared" si="69"/>
        <v>3234</v>
      </c>
      <c r="AN100" s="227">
        <v>4621.88</v>
      </c>
      <c r="AP100" s="486" t="e">
        <f t="shared" si="42"/>
        <v>#DIV/0!</v>
      </c>
      <c r="AQ100" s="486" t="e">
        <f t="shared" si="46"/>
        <v>#DIV/0!</v>
      </c>
      <c r="AR100" s="486" t="e">
        <f t="shared" si="47"/>
        <v>#DIV/0!</v>
      </c>
      <c r="AS100" s="486" t="e">
        <f t="shared" si="48"/>
        <v>#DIV/0!</v>
      </c>
      <c r="AT100" s="486" t="e">
        <f t="shared" si="49"/>
        <v>#DIV/0!</v>
      </c>
      <c r="AU100" s="486" t="e">
        <f t="shared" si="50"/>
        <v>#DIV/0!</v>
      </c>
      <c r="AV100" s="486" t="e">
        <f t="shared" si="51"/>
        <v>#DIV/0!</v>
      </c>
      <c r="AW100" s="486">
        <f t="shared" si="52"/>
        <v>3088.4700000000003</v>
      </c>
      <c r="AX100" s="486" t="e">
        <f t="shared" si="53"/>
        <v>#DIV/0!</v>
      </c>
      <c r="AY100" s="486" t="e">
        <f t="shared" si="54"/>
        <v>#DIV/0!</v>
      </c>
      <c r="AZ100" s="486" t="e">
        <f t="shared" si="55"/>
        <v>#DIV/0!</v>
      </c>
      <c r="BA100" s="486">
        <f t="shared" si="43"/>
        <v>0</v>
      </c>
      <c r="BB100" s="494">
        <v>5155.41</v>
      </c>
      <c r="BC100" s="494">
        <v>2070.12</v>
      </c>
      <c r="BD100" s="494">
        <v>848.92</v>
      </c>
      <c r="BE100" s="494">
        <v>819.73</v>
      </c>
      <c r="BF100" s="494">
        <v>611.5</v>
      </c>
      <c r="BG100" s="494">
        <v>1080.04</v>
      </c>
      <c r="BH100" s="494">
        <v>2671800.0099999998</v>
      </c>
      <c r="BI100" s="494">
        <f t="shared" si="71"/>
        <v>4422.8500000000004</v>
      </c>
      <c r="BJ100" s="494">
        <v>14289.54</v>
      </c>
      <c r="BK100" s="494">
        <v>3389.61</v>
      </c>
      <c r="BL100" s="494">
        <v>5995.76</v>
      </c>
      <c r="BM100" s="494">
        <v>548.62</v>
      </c>
      <c r="BN100" s="495" t="e">
        <f t="shared" si="56"/>
        <v>#DIV/0!</v>
      </c>
      <c r="BO100" s="495" t="e">
        <f t="shared" si="57"/>
        <v>#DIV/0!</v>
      </c>
      <c r="BP100" s="495" t="e">
        <f t="shared" si="58"/>
        <v>#DIV/0!</v>
      </c>
      <c r="BQ100" s="495" t="e">
        <f t="shared" si="59"/>
        <v>#DIV/0!</v>
      </c>
      <c r="BR100" s="495" t="e">
        <f t="shared" si="60"/>
        <v>#DIV/0!</v>
      </c>
      <c r="BS100" s="495" t="e">
        <f t="shared" si="61"/>
        <v>#DIV/0!</v>
      </c>
      <c r="BT100" s="495" t="e">
        <f t="shared" si="62"/>
        <v>#DIV/0!</v>
      </c>
      <c r="BU100" s="495" t="str">
        <f t="shared" si="63"/>
        <v xml:space="preserve"> </v>
      </c>
      <c r="BV100" s="495" t="e">
        <f t="shared" si="64"/>
        <v>#DIV/0!</v>
      </c>
      <c r="BW100" s="495" t="e">
        <f t="shared" si="65"/>
        <v>#DIV/0!</v>
      </c>
      <c r="BX100" s="495" t="e">
        <f t="shared" si="66"/>
        <v>#DIV/0!</v>
      </c>
      <c r="BY100" s="495" t="str">
        <f t="shared" si="67"/>
        <v xml:space="preserve"> </v>
      </c>
    </row>
    <row r="101" spans="1:77" s="28" customFormat="1" ht="9" customHeight="1">
      <c r="A101" s="366">
        <v>85</v>
      </c>
      <c r="B101" s="200" t="s">
        <v>561</v>
      </c>
      <c r="C101" s="465">
        <v>6737.3</v>
      </c>
      <c r="D101" s="466"/>
      <c r="E101" s="201" t="s">
        <v>1006</v>
      </c>
      <c r="F101" s="375">
        <f t="shared" si="41"/>
        <v>0</v>
      </c>
      <c r="G101" s="375">
        <v>21150360</v>
      </c>
      <c r="H101" s="205">
        <v>21150360</v>
      </c>
      <c r="I101" s="368">
        <f t="shared" si="44"/>
        <v>0</v>
      </c>
      <c r="J101" s="205">
        <v>0</v>
      </c>
      <c r="K101" s="465">
        <v>0</v>
      </c>
      <c r="L101" s="205">
        <v>0</v>
      </c>
      <c r="M101" s="465">
        <v>0</v>
      </c>
      <c r="N101" s="205">
        <v>0</v>
      </c>
      <c r="O101" s="249">
        <v>0</v>
      </c>
      <c r="P101" s="368">
        <v>0</v>
      </c>
      <c r="Q101" s="249">
        <v>0</v>
      </c>
      <c r="R101" s="368">
        <v>0</v>
      </c>
      <c r="S101" s="249">
        <v>0</v>
      </c>
      <c r="T101" s="368">
        <v>0</v>
      </c>
      <c r="U101" s="130">
        <v>0</v>
      </c>
      <c r="V101" s="368">
        <v>0</v>
      </c>
      <c r="W101" s="368">
        <v>6540</v>
      </c>
      <c r="X101" s="368">
        <f t="shared" si="68"/>
        <v>20198593.800000001</v>
      </c>
      <c r="Y101" s="368">
        <v>0</v>
      </c>
      <c r="Z101" s="368">
        <v>0</v>
      </c>
      <c r="AA101" s="368">
        <v>0</v>
      </c>
      <c r="AB101" s="368">
        <v>0</v>
      </c>
      <c r="AC101" s="368">
        <v>0</v>
      </c>
      <c r="AD101" s="368">
        <v>0</v>
      </c>
      <c r="AE101" s="368">
        <v>0</v>
      </c>
      <c r="AF101" s="368">
        <v>0</v>
      </c>
      <c r="AG101" s="368">
        <v>0</v>
      </c>
      <c r="AH101" s="368">
        <v>0</v>
      </c>
      <c r="AI101" s="368">
        <v>0</v>
      </c>
      <c r="AJ101" s="370">
        <f t="shared" si="70"/>
        <v>634510.80000000005</v>
      </c>
      <c r="AK101" s="370">
        <f t="shared" si="40"/>
        <v>317255.40000000002</v>
      </c>
      <c r="AL101" s="370">
        <v>0</v>
      </c>
      <c r="AM101" s="447">
        <f t="shared" si="69"/>
        <v>3234</v>
      </c>
      <c r="AN101" s="227">
        <v>4621.88</v>
      </c>
      <c r="AP101" s="486" t="e">
        <f t="shared" si="42"/>
        <v>#DIV/0!</v>
      </c>
      <c r="AQ101" s="486" t="e">
        <f t="shared" si="46"/>
        <v>#DIV/0!</v>
      </c>
      <c r="AR101" s="486" t="e">
        <f t="shared" si="47"/>
        <v>#DIV/0!</v>
      </c>
      <c r="AS101" s="486" t="e">
        <f t="shared" si="48"/>
        <v>#DIV/0!</v>
      </c>
      <c r="AT101" s="486" t="e">
        <f t="shared" si="49"/>
        <v>#DIV/0!</v>
      </c>
      <c r="AU101" s="486" t="e">
        <f t="shared" si="50"/>
        <v>#DIV/0!</v>
      </c>
      <c r="AV101" s="486" t="e">
        <f t="shared" si="51"/>
        <v>#DIV/0!</v>
      </c>
      <c r="AW101" s="486">
        <f t="shared" si="52"/>
        <v>3088.4700000000003</v>
      </c>
      <c r="AX101" s="486" t="e">
        <f t="shared" si="53"/>
        <v>#DIV/0!</v>
      </c>
      <c r="AY101" s="486" t="e">
        <f t="shared" si="54"/>
        <v>#DIV/0!</v>
      </c>
      <c r="AZ101" s="486" t="e">
        <f t="shared" si="55"/>
        <v>#DIV/0!</v>
      </c>
      <c r="BA101" s="486">
        <f t="shared" si="43"/>
        <v>0</v>
      </c>
      <c r="BB101" s="494">
        <v>5155.41</v>
      </c>
      <c r="BC101" s="494">
        <v>2070.12</v>
      </c>
      <c r="BD101" s="494">
        <v>848.92</v>
      </c>
      <c r="BE101" s="494">
        <v>819.73</v>
      </c>
      <c r="BF101" s="494">
        <v>611.5</v>
      </c>
      <c r="BG101" s="494">
        <v>1080.04</v>
      </c>
      <c r="BH101" s="494">
        <v>2671800.0099999998</v>
      </c>
      <c r="BI101" s="494">
        <f t="shared" si="71"/>
        <v>4422.8500000000004</v>
      </c>
      <c r="BJ101" s="494">
        <v>14289.54</v>
      </c>
      <c r="BK101" s="494">
        <v>3389.61</v>
      </c>
      <c r="BL101" s="494">
        <v>5995.76</v>
      </c>
      <c r="BM101" s="494">
        <v>548.62</v>
      </c>
      <c r="BN101" s="495" t="e">
        <f t="shared" si="56"/>
        <v>#DIV/0!</v>
      </c>
      <c r="BO101" s="495" t="e">
        <f t="shared" si="57"/>
        <v>#DIV/0!</v>
      </c>
      <c r="BP101" s="495" t="e">
        <f t="shared" si="58"/>
        <v>#DIV/0!</v>
      </c>
      <c r="BQ101" s="495" t="e">
        <f t="shared" si="59"/>
        <v>#DIV/0!</v>
      </c>
      <c r="BR101" s="495" t="e">
        <f t="shared" si="60"/>
        <v>#DIV/0!</v>
      </c>
      <c r="BS101" s="495" t="e">
        <f t="shared" si="61"/>
        <v>#DIV/0!</v>
      </c>
      <c r="BT101" s="495" t="e">
        <f t="shared" si="62"/>
        <v>#DIV/0!</v>
      </c>
      <c r="BU101" s="495" t="str">
        <f t="shared" si="63"/>
        <v xml:space="preserve"> </v>
      </c>
      <c r="BV101" s="495" t="e">
        <f t="shared" si="64"/>
        <v>#DIV/0!</v>
      </c>
      <c r="BW101" s="495" t="e">
        <f t="shared" si="65"/>
        <v>#DIV/0!</v>
      </c>
      <c r="BX101" s="495" t="e">
        <f t="shared" si="66"/>
        <v>#DIV/0!</v>
      </c>
      <c r="BY101" s="495" t="str">
        <f t="shared" si="67"/>
        <v xml:space="preserve"> </v>
      </c>
    </row>
    <row r="102" spans="1:77" s="28" customFormat="1" ht="9" customHeight="1">
      <c r="A102" s="366">
        <v>86</v>
      </c>
      <c r="B102" s="200" t="s">
        <v>562</v>
      </c>
      <c r="C102" s="465">
        <v>3090.2</v>
      </c>
      <c r="D102" s="308"/>
      <c r="E102" s="141" t="s">
        <v>1005</v>
      </c>
      <c r="F102" s="375">
        <f t="shared" si="41"/>
        <v>0</v>
      </c>
      <c r="G102" s="374">
        <v>3000600</v>
      </c>
      <c r="H102" s="205">
        <v>3000600</v>
      </c>
      <c r="I102" s="368">
        <f t="shared" si="44"/>
        <v>0</v>
      </c>
      <c r="J102" s="205">
        <v>0</v>
      </c>
      <c r="K102" s="465">
        <v>0</v>
      </c>
      <c r="L102" s="205">
        <v>0</v>
      </c>
      <c r="M102" s="465">
        <v>0</v>
      </c>
      <c r="N102" s="205">
        <v>0</v>
      </c>
      <c r="O102" s="249">
        <v>0</v>
      </c>
      <c r="P102" s="368">
        <v>0</v>
      </c>
      <c r="Q102" s="249">
        <v>0</v>
      </c>
      <c r="R102" s="368">
        <v>0</v>
      </c>
      <c r="S102" s="249">
        <v>0</v>
      </c>
      <c r="T102" s="368">
        <v>0</v>
      </c>
      <c r="U102" s="130">
        <v>0</v>
      </c>
      <c r="V102" s="368">
        <v>0</v>
      </c>
      <c r="W102" s="368">
        <v>900</v>
      </c>
      <c r="X102" s="368">
        <f t="shared" si="68"/>
        <v>2865573</v>
      </c>
      <c r="Y102" s="368">
        <v>0</v>
      </c>
      <c r="Z102" s="368">
        <v>0</v>
      </c>
      <c r="AA102" s="368">
        <v>0</v>
      </c>
      <c r="AB102" s="368">
        <v>0</v>
      </c>
      <c r="AC102" s="368">
        <v>0</v>
      </c>
      <c r="AD102" s="368">
        <v>0</v>
      </c>
      <c r="AE102" s="368">
        <v>0</v>
      </c>
      <c r="AF102" s="368">
        <v>0</v>
      </c>
      <c r="AG102" s="368">
        <v>0</v>
      </c>
      <c r="AH102" s="368">
        <v>0</v>
      </c>
      <c r="AI102" s="368">
        <v>0</v>
      </c>
      <c r="AJ102" s="370">
        <f t="shared" si="70"/>
        <v>90018</v>
      </c>
      <c r="AK102" s="370">
        <f t="shared" si="40"/>
        <v>45009</v>
      </c>
      <c r="AL102" s="370">
        <v>0</v>
      </c>
      <c r="AM102" s="447">
        <f t="shared" si="69"/>
        <v>3334</v>
      </c>
      <c r="AN102" s="227">
        <v>4814.95</v>
      </c>
      <c r="AP102" s="486" t="e">
        <f t="shared" si="42"/>
        <v>#DIV/0!</v>
      </c>
      <c r="AQ102" s="486" t="e">
        <f t="shared" si="46"/>
        <v>#DIV/0!</v>
      </c>
      <c r="AR102" s="486" t="e">
        <f t="shared" si="47"/>
        <v>#DIV/0!</v>
      </c>
      <c r="AS102" s="486" t="e">
        <f t="shared" si="48"/>
        <v>#DIV/0!</v>
      </c>
      <c r="AT102" s="486" t="e">
        <f t="shared" si="49"/>
        <v>#DIV/0!</v>
      </c>
      <c r="AU102" s="486" t="e">
        <f t="shared" si="50"/>
        <v>#DIV/0!</v>
      </c>
      <c r="AV102" s="486" t="e">
        <f t="shared" si="51"/>
        <v>#DIV/0!</v>
      </c>
      <c r="AW102" s="486">
        <f t="shared" si="52"/>
        <v>3183.97</v>
      </c>
      <c r="AX102" s="486" t="e">
        <f t="shared" si="53"/>
        <v>#DIV/0!</v>
      </c>
      <c r="AY102" s="486" t="e">
        <f t="shared" si="54"/>
        <v>#DIV/0!</v>
      </c>
      <c r="AZ102" s="486" t="e">
        <f t="shared" si="55"/>
        <v>#DIV/0!</v>
      </c>
      <c r="BA102" s="486">
        <f t="shared" si="43"/>
        <v>0</v>
      </c>
      <c r="BB102" s="494">
        <v>5155.41</v>
      </c>
      <c r="BC102" s="494">
        <v>2070.12</v>
      </c>
      <c r="BD102" s="494">
        <v>848.92</v>
      </c>
      <c r="BE102" s="494">
        <v>819.73</v>
      </c>
      <c r="BF102" s="494">
        <v>611.5</v>
      </c>
      <c r="BG102" s="494">
        <v>1080.04</v>
      </c>
      <c r="BH102" s="494">
        <v>2671800.0099999998</v>
      </c>
      <c r="BI102" s="494">
        <f t="shared" si="71"/>
        <v>4607.6000000000004</v>
      </c>
      <c r="BJ102" s="494">
        <v>14289.54</v>
      </c>
      <c r="BK102" s="494">
        <v>3389.61</v>
      </c>
      <c r="BL102" s="494">
        <v>5995.76</v>
      </c>
      <c r="BM102" s="494">
        <v>548.62</v>
      </c>
      <c r="BN102" s="495" t="e">
        <f t="shared" si="56"/>
        <v>#DIV/0!</v>
      </c>
      <c r="BO102" s="495" t="e">
        <f t="shared" si="57"/>
        <v>#DIV/0!</v>
      </c>
      <c r="BP102" s="495" t="e">
        <f t="shared" si="58"/>
        <v>#DIV/0!</v>
      </c>
      <c r="BQ102" s="495" t="e">
        <f t="shared" si="59"/>
        <v>#DIV/0!</v>
      </c>
      <c r="BR102" s="495" t="e">
        <f t="shared" si="60"/>
        <v>#DIV/0!</v>
      </c>
      <c r="BS102" s="495" t="e">
        <f t="shared" si="61"/>
        <v>#DIV/0!</v>
      </c>
      <c r="BT102" s="495" t="e">
        <f t="shared" si="62"/>
        <v>#DIV/0!</v>
      </c>
      <c r="BU102" s="495" t="str">
        <f t="shared" si="63"/>
        <v xml:space="preserve"> </v>
      </c>
      <c r="BV102" s="495" t="e">
        <f t="shared" si="64"/>
        <v>#DIV/0!</v>
      </c>
      <c r="BW102" s="495" t="e">
        <f t="shared" si="65"/>
        <v>#DIV/0!</v>
      </c>
      <c r="BX102" s="495" t="e">
        <f t="shared" si="66"/>
        <v>#DIV/0!</v>
      </c>
      <c r="BY102" s="495" t="str">
        <f t="shared" si="67"/>
        <v xml:space="preserve"> </v>
      </c>
    </row>
    <row r="103" spans="1:77" s="28" customFormat="1" ht="9" customHeight="1">
      <c r="A103" s="366">
        <v>87</v>
      </c>
      <c r="B103" s="200" t="s">
        <v>563</v>
      </c>
      <c r="C103" s="465">
        <v>5550.1</v>
      </c>
      <c r="D103" s="308"/>
      <c r="E103" s="141" t="s">
        <v>1005</v>
      </c>
      <c r="F103" s="375">
        <f t="shared" si="41"/>
        <v>0</v>
      </c>
      <c r="G103" s="374">
        <v>2080416</v>
      </c>
      <c r="H103" s="205">
        <v>2080416</v>
      </c>
      <c r="I103" s="368">
        <f t="shared" si="44"/>
        <v>0</v>
      </c>
      <c r="J103" s="205">
        <v>0</v>
      </c>
      <c r="K103" s="465">
        <v>0</v>
      </c>
      <c r="L103" s="205">
        <v>0</v>
      </c>
      <c r="M103" s="465">
        <v>0</v>
      </c>
      <c r="N103" s="205">
        <v>0</v>
      </c>
      <c r="O103" s="249">
        <v>0</v>
      </c>
      <c r="P103" s="368">
        <v>0</v>
      </c>
      <c r="Q103" s="249">
        <v>0</v>
      </c>
      <c r="R103" s="368">
        <v>0</v>
      </c>
      <c r="S103" s="249">
        <v>0</v>
      </c>
      <c r="T103" s="368">
        <v>0</v>
      </c>
      <c r="U103" s="130">
        <v>0</v>
      </c>
      <c r="V103" s="368">
        <v>0</v>
      </c>
      <c r="W103" s="368">
        <v>624</v>
      </c>
      <c r="X103" s="368">
        <f t="shared" si="68"/>
        <v>1986797.28</v>
      </c>
      <c r="Y103" s="368">
        <v>0</v>
      </c>
      <c r="Z103" s="368">
        <v>0</v>
      </c>
      <c r="AA103" s="368">
        <v>0</v>
      </c>
      <c r="AB103" s="368">
        <v>0</v>
      </c>
      <c r="AC103" s="368">
        <v>0</v>
      </c>
      <c r="AD103" s="368">
        <v>0</v>
      </c>
      <c r="AE103" s="368">
        <v>0</v>
      </c>
      <c r="AF103" s="368">
        <v>0</v>
      </c>
      <c r="AG103" s="368">
        <v>0</v>
      </c>
      <c r="AH103" s="368">
        <v>0</v>
      </c>
      <c r="AI103" s="368">
        <v>0</v>
      </c>
      <c r="AJ103" s="370">
        <f t="shared" si="70"/>
        <v>62412.480000000003</v>
      </c>
      <c r="AK103" s="370">
        <f t="shared" si="40"/>
        <v>31206.240000000002</v>
      </c>
      <c r="AL103" s="370">
        <v>0</v>
      </c>
      <c r="AM103" s="447">
        <f t="shared" si="69"/>
        <v>3334</v>
      </c>
      <c r="AN103" s="227">
        <v>4814.95</v>
      </c>
      <c r="AP103" s="486" t="e">
        <f t="shared" si="42"/>
        <v>#DIV/0!</v>
      </c>
      <c r="AQ103" s="486" t="e">
        <f t="shared" si="46"/>
        <v>#DIV/0!</v>
      </c>
      <c r="AR103" s="486" t="e">
        <f t="shared" si="47"/>
        <v>#DIV/0!</v>
      </c>
      <c r="AS103" s="486" t="e">
        <f t="shared" si="48"/>
        <v>#DIV/0!</v>
      </c>
      <c r="AT103" s="486" t="e">
        <f t="shared" si="49"/>
        <v>#DIV/0!</v>
      </c>
      <c r="AU103" s="486" t="e">
        <f t="shared" si="50"/>
        <v>#DIV/0!</v>
      </c>
      <c r="AV103" s="486" t="e">
        <f t="shared" si="51"/>
        <v>#DIV/0!</v>
      </c>
      <c r="AW103" s="486">
        <f t="shared" si="52"/>
        <v>3183.9700000000003</v>
      </c>
      <c r="AX103" s="486" t="e">
        <f t="shared" si="53"/>
        <v>#DIV/0!</v>
      </c>
      <c r="AY103" s="486" t="e">
        <f t="shared" si="54"/>
        <v>#DIV/0!</v>
      </c>
      <c r="AZ103" s="486" t="e">
        <f t="shared" si="55"/>
        <v>#DIV/0!</v>
      </c>
      <c r="BA103" s="486">
        <f t="shared" si="43"/>
        <v>0</v>
      </c>
      <c r="BB103" s="494">
        <v>5155.41</v>
      </c>
      <c r="BC103" s="494">
        <v>2070.12</v>
      </c>
      <c r="BD103" s="494">
        <v>848.92</v>
      </c>
      <c r="BE103" s="494">
        <v>819.73</v>
      </c>
      <c r="BF103" s="494">
        <v>611.5</v>
      </c>
      <c r="BG103" s="494">
        <v>1080.04</v>
      </c>
      <c r="BH103" s="494">
        <v>2671800.0099999998</v>
      </c>
      <c r="BI103" s="494">
        <f t="shared" si="71"/>
        <v>4607.6000000000004</v>
      </c>
      <c r="BJ103" s="494">
        <v>14289.54</v>
      </c>
      <c r="BK103" s="494">
        <v>3389.61</v>
      </c>
      <c r="BL103" s="494">
        <v>5995.76</v>
      </c>
      <c r="BM103" s="494">
        <v>548.62</v>
      </c>
      <c r="BN103" s="495" t="e">
        <f t="shared" si="56"/>
        <v>#DIV/0!</v>
      </c>
      <c r="BO103" s="495" t="e">
        <f t="shared" si="57"/>
        <v>#DIV/0!</v>
      </c>
      <c r="BP103" s="495" t="e">
        <f t="shared" si="58"/>
        <v>#DIV/0!</v>
      </c>
      <c r="BQ103" s="495" t="e">
        <f t="shared" si="59"/>
        <v>#DIV/0!</v>
      </c>
      <c r="BR103" s="495" t="e">
        <f t="shared" si="60"/>
        <v>#DIV/0!</v>
      </c>
      <c r="BS103" s="495" t="e">
        <f t="shared" si="61"/>
        <v>#DIV/0!</v>
      </c>
      <c r="BT103" s="495" t="e">
        <f t="shared" si="62"/>
        <v>#DIV/0!</v>
      </c>
      <c r="BU103" s="495" t="str">
        <f t="shared" si="63"/>
        <v xml:space="preserve"> </v>
      </c>
      <c r="BV103" s="495" t="e">
        <f t="shared" si="64"/>
        <v>#DIV/0!</v>
      </c>
      <c r="BW103" s="495" t="e">
        <f t="shared" si="65"/>
        <v>#DIV/0!</v>
      </c>
      <c r="BX103" s="495" t="e">
        <f t="shared" si="66"/>
        <v>#DIV/0!</v>
      </c>
      <c r="BY103" s="495" t="str">
        <f t="shared" si="67"/>
        <v xml:space="preserve"> </v>
      </c>
    </row>
    <row r="104" spans="1:77" s="28" customFormat="1" ht="9" customHeight="1">
      <c r="A104" s="366">
        <v>88</v>
      </c>
      <c r="B104" s="200" t="s">
        <v>564</v>
      </c>
      <c r="C104" s="465">
        <v>3647.4</v>
      </c>
      <c r="D104" s="308"/>
      <c r="E104" s="141" t="s">
        <v>1005</v>
      </c>
      <c r="F104" s="375">
        <f t="shared" si="41"/>
        <v>0</v>
      </c>
      <c r="G104" s="374">
        <v>3323998</v>
      </c>
      <c r="H104" s="205">
        <v>3323998</v>
      </c>
      <c r="I104" s="368">
        <f t="shared" si="44"/>
        <v>0</v>
      </c>
      <c r="J104" s="205">
        <v>0</v>
      </c>
      <c r="K104" s="465">
        <v>0</v>
      </c>
      <c r="L104" s="205">
        <v>0</v>
      </c>
      <c r="M104" s="465">
        <v>0</v>
      </c>
      <c r="N104" s="205">
        <v>0</v>
      </c>
      <c r="O104" s="249">
        <v>0</v>
      </c>
      <c r="P104" s="368">
        <v>0</v>
      </c>
      <c r="Q104" s="249">
        <v>0</v>
      </c>
      <c r="R104" s="368">
        <v>0</v>
      </c>
      <c r="S104" s="249">
        <v>0</v>
      </c>
      <c r="T104" s="368">
        <v>0</v>
      </c>
      <c r="U104" s="130">
        <v>0</v>
      </c>
      <c r="V104" s="368">
        <v>0</v>
      </c>
      <c r="W104" s="368">
        <v>997</v>
      </c>
      <c r="X104" s="368">
        <f t="shared" si="68"/>
        <v>3174418.09</v>
      </c>
      <c r="Y104" s="368">
        <v>0</v>
      </c>
      <c r="Z104" s="368">
        <v>0</v>
      </c>
      <c r="AA104" s="368">
        <v>0</v>
      </c>
      <c r="AB104" s="368">
        <v>0</v>
      </c>
      <c r="AC104" s="368">
        <v>0</v>
      </c>
      <c r="AD104" s="368">
        <v>0</v>
      </c>
      <c r="AE104" s="368">
        <v>0</v>
      </c>
      <c r="AF104" s="368">
        <v>0</v>
      </c>
      <c r="AG104" s="368">
        <v>0</v>
      </c>
      <c r="AH104" s="368">
        <v>0</v>
      </c>
      <c r="AI104" s="368">
        <v>0</v>
      </c>
      <c r="AJ104" s="370">
        <f t="shared" si="70"/>
        <v>99719.94</v>
      </c>
      <c r="AK104" s="370">
        <f t="shared" si="40"/>
        <v>49859.97</v>
      </c>
      <c r="AL104" s="370">
        <v>0</v>
      </c>
      <c r="AM104" s="447">
        <f t="shared" si="69"/>
        <v>3334</v>
      </c>
      <c r="AN104" s="227">
        <v>4814.95</v>
      </c>
      <c r="AP104" s="486" t="e">
        <f t="shared" si="42"/>
        <v>#DIV/0!</v>
      </c>
      <c r="AQ104" s="486" t="e">
        <f t="shared" si="46"/>
        <v>#DIV/0!</v>
      </c>
      <c r="AR104" s="486" t="e">
        <f t="shared" si="47"/>
        <v>#DIV/0!</v>
      </c>
      <c r="AS104" s="486" t="e">
        <f t="shared" si="48"/>
        <v>#DIV/0!</v>
      </c>
      <c r="AT104" s="486" t="e">
        <f t="shared" si="49"/>
        <v>#DIV/0!</v>
      </c>
      <c r="AU104" s="486" t="e">
        <f t="shared" si="50"/>
        <v>#DIV/0!</v>
      </c>
      <c r="AV104" s="486" t="e">
        <f t="shared" si="51"/>
        <v>#DIV/0!</v>
      </c>
      <c r="AW104" s="486">
        <f t="shared" si="52"/>
        <v>3183.97</v>
      </c>
      <c r="AX104" s="486" t="e">
        <f t="shared" si="53"/>
        <v>#DIV/0!</v>
      </c>
      <c r="AY104" s="486" t="e">
        <f t="shared" si="54"/>
        <v>#DIV/0!</v>
      </c>
      <c r="AZ104" s="486" t="e">
        <f t="shared" si="55"/>
        <v>#DIV/0!</v>
      </c>
      <c r="BA104" s="486">
        <f t="shared" si="43"/>
        <v>0</v>
      </c>
      <c r="BB104" s="494">
        <v>5155.41</v>
      </c>
      <c r="BC104" s="494">
        <v>2070.12</v>
      </c>
      <c r="BD104" s="494">
        <v>848.92</v>
      </c>
      <c r="BE104" s="494">
        <v>819.73</v>
      </c>
      <c r="BF104" s="494">
        <v>611.5</v>
      </c>
      <c r="BG104" s="494">
        <v>1080.04</v>
      </c>
      <c r="BH104" s="494">
        <v>2671800.0099999998</v>
      </c>
      <c r="BI104" s="494">
        <f t="shared" si="71"/>
        <v>4607.6000000000004</v>
      </c>
      <c r="BJ104" s="494">
        <v>14289.54</v>
      </c>
      <c r="BK104" s="494">
        <v>3389.61</v>
      </c>
      <c r="BL104" s="494">
        <v>5995.76</v>
      </c>
      <c r="BM104" s="494">
        <v>548.62</v>
      </c>
      <c r="BN104" s="495" t="e">
        <f t="shared" si="56"/>
        <v>#DIV/0!</v>
      </c>
      <c r="BO104" s="495" t="e">
        <f t="shared" si="57"/>
        <v>#DIV/0!</v>
      </c>
      <c r="BP104" s="495" t="e">
        <f t="shared" si="58"/>
        <v>#DIV/0!</v>
      </c>
      <c r="BQ104" s="495" t="e">
        <f t="shared" si="59"/>
        <v>#DIV/0!</v>
      </c>
      <c r="BR104" s="495" t="e">
        <f t="shared" si="60"/>
        <v>#DIV/0!</v>
      </c>
      <c r="BS104" s="495" t="e">
        <f t="shared" si="61"/>
        <v>#DIV/0!</v>
      </c>
      <c r="BT104" s="495" t="e">
        <f t="shared" si="62"/>
        <v>#DIV/0!</v>
      </c>
      <c r="BU104" s="495" t="str">
        <f t="shared" si="63"/>
        <v xml:space="preserve"> </v>
      </c>
      <c r="BV104" s="495" t="e">
        <f t="shared" si="64"/>
        <v>#DIV/0!</v>
      </c>
      <c r="BW104" s="495" t="e">
        <f t="shared" si="65"/>
        <v>#DIV/0!</v>
      </c>
      <c r="BX104" s="495" t="e">
        <f t="shared" si="66"/>
        <v>#DIV/0!</v>
      </c>
      <c r="BY104" s="495" t="str">
        <f t="shared" si="67"/>
        <v xml:space="preserve"> </v>
      </c>
    </row>
    <row r="105" spans="1:77" s="28" customFormat="1" ht="9" customHeight="1">
      <c r="A105" s="366">
        <v>89</v>
      </c>
      <c r="B105" s="200" t="s">
        <v>565</v>
      </c>
      <c r="C105" s="465">
        <v>7184.9</v>
      </c>
      <c r="D105" s="308"/>
      <c r="E105" s="141" t="s">
        <v>1005</v>
      </c>
      <c r="F105" s="375">
        <f t="shared" si="41"/>
        <v>0</v>
      </c>
      <c r="G105" s="374">
        <v>7068080</v>
      </c>
      <c r="H105" s="205">
        <v>7068080</v>
      </c>
      <c r="I105" s="368">
        <f t="shared" si="44"/>
        <v>0</v>
      </c>
      <c r="J105" s="205">
        <v>0</v>
      </c>
      <c r="K105" s="465">
        <v>0</v>
      </c>
      <c r="L105" s="205">
        <v>0</v>
      </c>
      <c r="M105" s="465">
        <v>0</v>
      </c>
      <c r="N105" s="205">
        <v>0</v>
      </c>
      <c r="O105" s="249">
        <v>0</v>
      </c>
      <c r="P105" s="368">
        <v>0</v>
      </c>
      <c r="Q105" s="249">
        <v>0</v>
      </c>
      <c r="R105" s="368">
        <v>0</v>
      </c>
      <c r="S105" s="249">
        <v>0</v>
      </c>
      <c r="T105" s="368">
        <v>0</v>
      </c>
      <c r="U105" s="130">
        <v>0</v>
      </c>
      <c r="V105" s="368">
        <v>0</v>
      </c>
      <c r="W105" s="368">
        <v>2120</v>
      </c>
      <c r="X105" s="368">
        <f t="shared" si="68"/>
        <v>6750016.4000000004</v>
      </c>
      <c r="Y105" s="368">
        <v>0</v>
      </c>
      <c r="Z105" s="368">
        <v>0</v>
      </c>
      <c r="AA105" s="368">
        <v>0</v>
      </c>
      <c r="AB105" s="368">
        <v>0</v>
      </c>
      <c r="AC105" s="368">
        <v>0</v>
      </c>
      <c r="AD105" s="368">
        <v>0</v>
      </c>
      <c r="AE105" s="368">
        <v>0</v>
      </c>
      <c r="AF105" s="368">
        <v>0</v>
      </c>
      <c r="AG105" s="368">
        <v>0</v>
      </c>
      <c r="AH105" s="368">
        <v>0</v>
      </c>
      <c r="AI105" s="368">
        <v>0</v>
      </c>
      <c r="AJ105" s="370">
        <f t="shared" si="70"/>
        <v>212042.4</v>
      </c>
      <c r="AK105" s="370">
        <f t="shared" si="40"/>
        <v>106021.2</v>
      </c>
      <c r="AL105" s="370">
        <v>0</v>
      </c>
      <c r="AM105" s="447">
        <f t="shared" si="69"/>
        <v>3334</v>
      </c>
      <c r="AN105" s="227">
        <v>4814.95</v>
      </c>
      <c r="AP105" s="486" t="e">
        <f t="shared" si="42"/>
        <v>#DIV/0!</v>
      </c>
      <c r="AQ105" s="486" t="e">
        <f t="shared" si="46"/>
        <v>#DIV/0!</v>
      </c>
      <c r="AR105" s="486" t="e">
        <f t="shared" si="47"/>
        <v>#DIV/0!</v>
      </c>
      <c r="AS105" s="486" t="e">
        <f t="shared" si="48"/>
        <v>#DIV/0!</v>
      </c>
      <c r="AT105" s="486" t="e">
        <f t="shared" si="49"/>
        <v>#DIV/0!</v>
      </c>
      <c r="AU105" s="486" t="e">
        <f t="shared" si="50"/>
        <v>#DIV/0!</v>
      </c>
      <c r="AV105" s="486" t="e">
        <f t="shared" si="51"/>
        <v>#DIV/0!</v>
      </c>
      <c r="AW105" s="486">
        <f t="shared" si="52"/>
        <v>3183.9700000000003</v>
      </c>
      <c r="AX105" s="486" t="e">
        <f t="shared" si="53"/>
        <v>#DIV/0!</v>
      </c>
      <c r="AY105" s="486" t="e">
        <f t="shared" si="54"/>
        <v>#DIV/0!</v>
      </c>
      <c r="AZ105" s="486" t="e">
        <f t="shared" si="55"/>
        <v>#DIV/0!</v>
      </c>
      <c r="BA105" s="486">
        <f t="shared" si="43"/>
        <v>0</v>
      </c>
      <c r="BB105" s="494">
        <v>5155.41</v>
      </c>
      <c r="BC105" s="494">
        <v>2070.12</v>
      </c>
      <c r="BD105" s="494">
        <v>848.92</v>
      </c>
      <c r="BE105" s="494">
        <v>819.73</v>
      </c>
      <c r="BF105" s="494">
        <v>611.5</v>
      </c>
      <c r="BG105" s="494">
        <v>1080.04</v>
      </c>
      <c r="BH105" s="494">
        <v>2671800.0099999998</v>
      </c>
      <c r="BI105" s="494">
        <f t="shared" si="71"/>
        <v>4607.6000000000004</v>
      </c>
      <c r="BJ105" s="494">
        <v>14289.54</v>
      </c>
      <c r="BK105" s="494">
        <v>3389.61</v>
      </c>
      <c r="BL105" s="494">
        <v>5995.76</v>
      </c>
      <c r="BM105" s="494">
        <v>548.62</v>
      </c>
      <c r="BN105" s="495" t="e">
        <f t="shared" si="56"/>
        <v>#DIV/0!</v>
      </c>
      <c r="BO105" s="495" t="e">
        <f t="shared" si="57"/>
        <v>#DIV/0!</v>
      </c>
      <c r="BP105" s="495" t="e">
        <f t="shared" si="58"/>
        <v>#DIV/0!</v>
      </c>
      <c r="BQ105" s="495" t="e">
        <f t="shared" si="59"/>
        <v>#DIV/0!</v>
      </c>
      <c r="BR105" s="495" t="e">
        <f t="shared" si="60"/>
        <v>#DIV/0!</v>
      </c>
      <c r="BS105" s="495" t="e">
        <f t="shared" si="61"/>
        <v>#DIV/0!</v>
      </c>
      <c r="BT105" s="495" t="e">
        <f t="shared" si="62"/>
        <v>#DIV/0!</v>
      </c>
      <c r="BU105" s="495" t="str">
        <f t="shared" si="63"/>
        <v xml:space="preserve"> </v>
      </c>
      <c r="BV105" s="495" t="e">
        <f t="shared" si="64"/>
        <v>#DIV/0!</v>
      </c>
      <c r="BW105" s="495" t="e">
        <f t="shared" si="65"/>
        <v>#DIV/0!</v>
      </c>
      <c r="BX105" s="495" t="e">
        <f t="shared" si="66"/>
        <v>#DIV/0!</v>
      </c>
      <c r="BY105" s="495" t="str">
        <f t="shared" si="67"/>
        <v xml:space="preserve"> </v>
      </c>
    </row>
    <row r="106" spans="1:77" s="28" customFormat="1" ht="9" customHeight="1">
      <c r="A106" s="366">
        <v>90</v>
      </c>
      <c r="B106" s="200" t="s">
        <v>566</v>
      </c>
      <c r="C106" s="465">
        <v>3562.4</v>
      </c>
      <c r="D106" s="308"/>
      <c r="E106" s="141" t="s">
        <v>1005</v>
      </c>
      <c r="F106" s="375">
        <f t="shared" si="41"/>
        <v>0</v>
      </c>
      <c r="G106" s="374">
        <v>4247516</v>
      </c>
      <c r="H106" s="205">
        <v>4247516</v>
      </c>
      <c r="I106" s="368">
        <f t="shared" si="44"/>
        <v>0</v>
      </c>
      <c r="J106" s="205">
        <v>0</v>
      </c>
      <c r="K106" s="465">
        <v>0</v>
      </c>
      <c r="L106" s="205">
        <v>0</v>
      </c>
      <c r="M106" s="465">
        <v>0</v>
      </c>
      <c r="N106" s="205">
        <v>0</v>
      </c>
      <c r="O106" s="249">
        <v>0</v>
      </c>
      <c r="P106" s="368">
        <v>0</v>
      </c>
      <c r="Q106" s="249">
        <v>0</v>
      </c>
      <c r="R106" s="368">
        <v>0</v>
      </c>
      <c r="S106" s="249">
        <v>0</v>
      </c>
      <c r="T106" s="368">
        <v>0</v>
      </c>
      <c r="U106" s="130">
        <v>0</v>
      </c>
      <c r="V106" s="368">
        <v>0</v>
      </c>
      <c r="W106" s="368">
        <v>1274</v>
      </c>
      <c r="X106" s="368">
        <f t="shared" si="68"/>
        <v>4056377.78</v>
      </c>
      <c r="Y106" s="368">
        <v>0</v>
      </c>
      <c r="Z106" s="368">
        <v>0</v>
      </c>
      <c r="AA106" s="368">
        <v>0</v>
      </c>
      <c r="AB106" s="368">
        <v>0</v>
      </c>
      <c r="AC106" s="368">
        <v>0</v>
      </c>
      <c r="AD106" s="368">
        <v>0</v>
      </c>
      <c r="AE106" s="368">
        <v>0</v>
      </c>
      <c r="AF106" s="368">
        <v>0</v>
      </c>
      <c r="AG106" s="368">
        <v>0</v>
      </c>
      <c r="AH106" s="368">
        <v>0</v>
      </c>
      <c r="AI106" s="368">
        <v>0</v>
      </c>
      <c r="AJ106" s="370">
        <f t="shared" si="70"/>
        <v>127425.48</v>
      </c>
      <c r="AK106" s="370">
        <f t="shared" si="40"/>
        <v>63712.74</v>
      </c>
      <c r="AL106" s="370">
        <v>0</v>
      </c>
      <c r="AM106" s="447">
        <f t="shared" si="69"/>
        <v>3334</v>
      </c>
      <c r="AN106" s="227">
        <v>4814.95</v>
      </c>
      <c r="AP106" s="486" t="e">
        <f t="shared" si="42"/>
        <v>#DIV/0!</v>
      </c>
      <c r="AQ106" s="486" t="e">
        <f t="shared" si="46"/>
        <v>#DIV/0!</v>
      </c>
      <c r="AR106" s="486" t="e">
        <f t="shared" si="47"/>
        <v>#DIV/0!</v>
      </c>
      <c r="AS106" s="486" t="e">
        <f t="shared" si="48"/>
        <v>#DIV/0!</v>
      </c>
      <c r="AT106" s="486" t="e">
        <f t="shared" si="49"/>
        <v>#DIV/0!</v>
      </c>
      <c r="AU106" s="486" t="e">
        <f t="shared" si="50"/>
        <v>#DIV/0!</v>
      </c>
      <c r="AV106" s="486" t="e">
        <f t="shared" si="51"/>
        <v>#DIV/0!</v>
      </c>
      <c r="AW106" s="486">
        <f t="shared" si="52"/>
        <v>3183.97</v>
      </c>
      <c r="AX106" s="486" t="e">
        <f t="shared" si="53"/>
        <v>#DIV/0!</v>
      </c>
      <c r="AY106" s="486" t="e">
        <f t="shared" si="54"/>
        <v>#DIV/0!</v>
      </c>
      <c r="AZ106" s="486" t="e">
        <f t="shared" si="55"/>
        <v>#DIV/0!</v>
      </c>
      <c r="BA106" s="486">
        <f t="shared" si="43"/>
        <v>0</v>
      </c>
      <c r="BB106" s="494">
        <v>5155.41</v>
      </c>
      <c r="BC106" s="494">
        <v>2070.12</v>
      </c>
      <c r="BD106" s="494">
        <v>848.92</v>
      </c>
      <c r="BE106" s="494">
        <v>819.73</v>
      </c>
      <c r="BF106" s="494">
        <v>611.5</v>
      </c>
      <c r="BG106" s="494">
        <v>1080.04</v>
      </c>
      <c r="BH106" s="494">
        <v>2671800.0099999998</v>
      </c>
      <c r="BI106" s="494">
        <f t="shared" si="71"/>
        <v>4607.6000000000004</v>
      </c>
      <c r="BJ106" s="494">
        <v>14289.54</v>
      </c>
      <c r="BK106" s="494">
        <v>3389.61</v>
      </c>
      <c r="BL106" s="494">
        <v>5995.76</v>
      </c>
      <c r="BM106" s="494">
        <v>548.62</v>
      </c>
      <c r="BN106" s="495" t="e">
        <f t="shared" si="56"/>
        <v>#DIV/0!</v>
      </c>
      <c r="BO106" s="495" t="e">
        <f t="shared" si="57"/>
        <v>#DIV/0!</v>
      </c>
      <c r="BP106" s="495" t="e">
        <f t="shared" si="58"/>
        <v>#DIV/0!</v>
      </c>
      <c r="BQ106" s="495" t="e">
        <f t="shared" si="59"/>
        <v>#DIV/0!</v>
      </c>
      <c r="BR106" s="495" t="e">
        <f t="shared" si="60"/>
        <v>#DIV/0!</v>
      </c>
      <c r="BS106" s="495" t="e">
        <f t="shared" si="61"/>
        <v>#DIV/0!</v>
      </c>
      <c r="BT106" s="495" t="e">
        <f t="shared" si="62"/>
        <v>#DIV/0!</v>
      </c>
      <c r="BU106" s="495" t="str">
        <f t="shared" si="63"/>
        <v xml:space="preserve"> </v>
      </c>
      <c r="BV106" s="495" t="e">
        <f t="shared" si="64"/>
        <v>#DIV/0!</v>
      </c>
      <c r="BW106" s="495" t="e">
        <f t="shared" si="65"/>
        <v>#DIV/0!</v>
      </c>
      <c r="BX106" s="495" t="e">
        <f t="shared" si="66"/>
        <v>#DIV/0!</v>
      </c>
      <c r="BY106" s="495" t="str">
        <f t="shared" si="67"/>
        <v xml:space="preserve"> </v>
      </c>
    </row>
    <row r="107" spans="1:77" s="28" customFormat="1" ht="9" customHeight="1">
      <c r="A107" s="366">
        <v>91</v>
      </c>
      <c r="B107" s="200" t="s">
        <v>567</v>
      </c>
      <c r="C107" s="465">
        <v>3043.3</v>
      </c>
      <c r="D107" s="308"/>
      <c r="E107" s="141" t="s">
        <v>1005</v>
      </c>
      <c r="F107" s="375">
        <f t="shared" si="41"/>
        <v>0</v>
      </c>
      <c r="G107" s="374">
        <v>3040608</v>
      </c>
      <c r="H107" s="205">
        <v>3040608</v>
      </c>
      <c r="I107" s="368">
        <f t="shared" si="44"/>
        <v>0</v>
      </c>
      <c r="J107" s="205">
        <v>0</v>
      </c>
      <c r="K107" s="465">
        <v>0</v>
      </c>
      <c r="L107" s="205">
        <v>0</v>
      </c>
      <c r="M107" s="465">
        <v>0</v>
      </c>
      <c r="N107" s="205">
        <v>0</v>
      </c>
      <c r="O107" s="249">
        <v>0</v>
      </c>
      <c r="P107" s="368">
        <v>0</v>
      </c>
      <c r="Q107" s="249">
        <v>0</v>
      </c>
      <c r="R107" s="368">
        <v>0</v>
      </c>
      <c r="S107" s="249">
        <v>0</v>
      </c>
      <c r="T107" s="368">
        <v>0</v>
      </c>
      <c r="U107" s="130">
        <v>0</v>
      </c>
      <c r="V107" s="368">
        <v>0</v>
      </c>
      <c r="W107" s="368">
        <v>912</v>
      </c>
      <c r="X107" s="368">
        <f t="shared" si="68"/>
        <v>2903780.64</v>
      </c>
      <c r="Y107" s="368">
        <v>0</v>
      </c>
      <c r="Z107" s="368">
        <v>0</v>
      </c>
      <c r="AA107" s="368">
        <v>0</v>
      </c>
      <c r="AB107" s="368">
        <v>0</v>
      </c>
      <c r="AC107" s="368">
        <v>0</v>
      </c>
      <c r="AD107" s="368">
        <v>0</v>
      </c>
      <c r="AE107" s="368">
        <v>0</v>
      </c>
      <c r="AF107" s="368">
        <v>0</v>
      </c>
      <c r="AG107" s="368">
        <v>0</v>
      </c>
      <c r="AH107" s="368">
        <v>0</v>
      </c>
      <c r="AI107" s="368">
        <v>0</v>
      </c>
      <c r="AJ107" s="370">
        <f t="shared" si="70"/>
        <v>91218.240000000005</v>
      </c>
      <c r="AK107" s="370">
        <f t="shared" ref="AK107:AK120" si="72">ROUND(X107/95.5*1.5,2)</f>
        <v>45609.120000000003</v>
      </c>
      <c r="AL107" s="370">
        <v>0</v>
      </c>
      <c r="AM107" s="447">
        <f t="shared" si="69"/>
        <v>3334</v>
      </c>
      <c r="AN107" s="227">
        <v>4814.95</v>
      </c>
      <c r="AP107" s="486" t="e">
        <f t="shared" si="42"/>
        <v>#DIV/0!</v>
      </c>
      <c r="AQ107" s="486" t="e">
        <f t="shared" si="46"/>
        <v>#DIV/0!</v>
      </c>
      <c r="AR107" s="486" t="e">
        <f t="shared" si="47"/>
        <v>#DIV/0!</v>
      </c>
      <c r="AS107" s="486" t="e">
        <f t="shared" si="48"/>
        <v>#DIV/0!</v>
      </c>
      <c r="AT107" s="486" t="e">
        <f t="shared" si="49"/>
        <v>#DIV/0!</v>
      </c>
      <c r="AU107" s="486" t="e">
        <f t="shared" si="50"/>
        <v>#DIV/0!</v>
      </c>
      <c r="AV107" s="486" t="e">
        <f t="shared" si="51"/>
        <v>#DIV/0!</v>
      </c>
      <c r="AW107" s="486">
        <f t="shared" si="52"/>
        <v>3183.9700000000003</v>
      </c>
      <c r="AX107" s="486" t="e">
        <f t="shared" si="53"/>
        <v>#DIV/0!</v>
      </c>
      <c r="AY107" s="486" t="e">
        <f t="shared" si="54"/>
        <v>#DIV/0!</v>
      </c>
      <c r="AZ107" s="486" t="e">
        <f t="shared" si="55"/>
        <v>#DIV/0!</v>
      </c>
      <c r="BA107" s="486">
        <f t="shared" si="43"/>
        <v>0</v>
      </c>
      <c r="BB107" s="494">
        <v>5155.41</v>
      </c>
      <c r="BC107" s="494">
        <v>2070.12</v>
      </c>
      <c r="BD107" s="494">
        <v>848.92</v>
      </c>
      <c r="BE107" s="494">
        <v>819.73</v>
      </c>
      <c r="BF107" s="494">
        <v>611.5</v>
      </c>
      <c r="BG107" s="494">
        <v>1080.04</v>
      </c>
      <c r="BH107" s="494">
        <v>2671800.0099999998</v>
      </c>
      <c r="BI107" s="494">
        <f t="shared" si="71"/>
        <v>4607.6000000000004</v>
      </c>
      <c r="BJ107" s="494">
        <v>14289.54</v>
      </c>
      <c r="BK107" s="494">
        <v>3389.61</v>
      </c>
      <c r="BL107" s="494">
        <v>5995.76</v>
      </c>
      <c r="BM107" s="494">
        <v>548.62</v>
      </c>
      <c r="BN107" s="495" t="e">
        <f t="shared" si="56"/>
        <v>#DIV/0!</v>
      </c>
      <c r="BO107" s="495" t="e">
        <f t="shared" si="57"/>
        <v>#DIV/0!</v>
      </c>
      <c r="BP107" s="495" t="e">
        <f t="shared" si="58"/>
        <v>#DIV/0!</v>
      </c>
      <c r="BQ107" s="495" t="e">
        <f t="shared" si="59"/>
        <v>#DIV/0!</v>
      </c>
      <c r="BR107" s="495" t="e">
        <f t="shared" si="60"/>
        <v>#DIV/0!</v>
      </c>
      <c r="BS107" s="495" t="e">
        <f t="shared" si="61"/>
        <v>#DIV/0!</v>
      </c>
      <c r="BT107" s="495" t="e">
        <f t="shared" si="62"/>
        <v>#DIV/0!</v>
      </c>
      <c r="BU107" s="495" t="str">
        <f t="shared" si="63"/>
        <v xml:space="preserve"> </v>
      </c>
      <c r="BV107" s="495" t="e">
        <f t="shared" si="64"/>
        <v>#DIV/0!</v>
      </c>
      <c r="BW107" s="495" t="e">
        <f t="shared" si="65"/>
        <v>#DIV/0!</v>
      </c>
      <c r="BX107" s="495" t="e">
        <f t="shared" si="66"/>
        <v>#DIV/0!</v>
      </c>
      <c r="BY107" s="495" t="str">
        <f t="shared" si="67"/>
        <v xml:space="preserve"> </v>
      </c>
    </row>
    <row r="108" spans="1:77" s="28" customFormat="1" ht="9" customHeight="1">
      <c r="A108" s="366">
        <v>92</v>
      </c>
      <c r="B108" s="200" t="s">
        <v>568</v>
      </c>
      <c r="C108" s="465">
        <v>3239.8</v>
      </c>
      <c r="D108" s="308"/>
      <c r="E108" s="141" t="s">
        <v>1005</v>
      </c>
      <c r="F108" s="375">
        <f t="shared" si="41"/>
        <v>0</v>
      </c>
      <c r="G108" s="374">
        <v>3073948</v>
      </c>
      <c r="H108" s="205">
        <v>3073948</v>
      </c>
      <c r="I108" s="368">
        <f t="shared" si="44"/>
        <v>0</v>
      </c>
      <c r="J108" s="205">
        <v>0</v>
      </c>
      <c r="K108" s="465">
        <v>0</v>
      </c>
      <c r="L108" s="205">
        <v>0</v>
      </c>
      <c r="M108" s="465">
        <v>0</v>
      </c>
      <c r="N108" s="205">
        <v>0</v>
      </c>
      <c r="O108" s="249">
        <v>0</v>
      </c>
      <c r="P108" s="368">
        <v>0</v>
      </c>
      <c r="Q108" s="249">
        <v>0</v>
      </c>
      <c r="R108" s="368">
        <v>0</v>
      </c>
      <c r="S108" s="249">
        <v>0</v>
      </c>
      <c r="T108" s="368">
        <v>0</v>
      </c>
      <c r="U108" s="130">
        <v>0</v>
      </c>
      <c r="V108" s="368">
        <v>0</v>
      </c>
      <c r="W108" s="368">
        <v>922</v>
      </c>
      <c r="X108" s="368">
        <f t="shared" si="68"/>
        <v>2935620.34</v>
      </c>
      <c r="Y108" s="368">
        <v>0</v>
      </c>
      <c r="Z108" s="368">
        <v>0</v>
      </c>
      <c r="AA108" s="368">
        <v>0</v>
      </c>
      <c r="AB108" s="368">
        <v>0</v>
      </c>
      <c r="AC108" s="368">
        <v>0</v>
      </c>
      <c r="AD108" s="368">
        <v>0</v>
      </c>
      <c r="AE108" s="368">
        <v>0</v>
      </c>
      <c r="AF108" s="368">
        <v>0</v>
      </c>
      <c r="AG108" s="368">
        <v>0</v>
      </c>
      <c r="AH108" s="368">
        <v>0</v>
      </c>
      <c r="AI108" s="368">
        <v>0</v>
      </c>
      <c r="AJ108" s="370">
        <f t="shared" si="70"/>
        <v>92218.44</v>
      </c>
      <c r="AK108" s="370">
        <f t="shared" si="72"/>
        <v>46109.22</v>
      </c>
      <c r="AL108" s="370">
        <v>0</v>
      </c>
      <c r="AM108" s="447">
        <f t="shared" si="69"/>
        <v>3334</v>
      </c>
      <c r="AN108" s="227">
        <v>4814.95</v>
      </c>
      <c r="AP108" s="486" t="e">
        <f t="shared" si="42"/>
        <v>#DIV/0!</v>
      </c>
      <c r="AQ108" s="486" t="e">
        <f t="shared" si="46"/>
        <v>#DIV/0!</v>
      </c>
      <c r="AR108" s="486" t="e">
        <f t="shared" si="47"/>
        <v>#DIV/0!</v>
      </c>
      <c r="AS108" s="486" t="e">
        <f t="shared" si="48"/>
        <v>#DIV/0!</v>
      </c>
      <c r="AT108" s="486" t="e">
        <f t="shared" si="49"/>
        <v>#DIV/0!</v>
      </c>
      <c r="AU108" s="486" t="e">
        <f t="shared" si="50"/>
        <v>#DIV/0!</v>
      </c>
      <c r="AV108" s="486" t="e">
        <f t="shared" si="51"/>
        <v>#DIV/0!</v>
      </c>
      <c r="AW108" s="486">
        <f t="shared" si="52"/>
        <v>3183.97</v>
      </c>
      <c r="AX108" s="486" t="e">
        <f t="shared" si="53"/>
        <v>#DIV/0!</v>
      </c>
      <c r="AY108" s="486" t="e">
        <f t="shared" si="54"/>
        <v>#DIV/0!</v>
      </c>
      <c r="AZ108" s="486" t="e">
        <f t="shared" si="55"/>
        <v>#DIV/0!</v>
      </c>
      <c r="BA108" s="486">
        <f t="shared" si="43"/>
        <v>0</v>
      </c>
      <c r="BB108" s="494">
        <v>5155.41</v>
      </c>
      <c r="BC108" s="494">
        <v>2070.12</v>
      </c>
      <c r="BD108" s="494">
        <v>848.92</v>
      </c>
      <c r="BE108" s="494">
        <v>819.73</v>
      </c>
      <c r="BF108" s="494">
        <v>611.5</v>
      </c>
      <c r="BG108" s="494">
        <v>1080.04</v>
      </c>
      <c r="BH108" s="494">
        <v>2671800.0099999998</v>
      </c>
      <c r="BI108" s="494">
        <f t="shared" si="71"/>
        <v>4607.6000000000004</v>
      </c>
      <c r="BJ108" s="494">
        <v>14289.54</v>
      </c>
      <c r="BK108" s="494">
        <v>3389.61</v>
      </c>
      <c r="BL108" s="494">
        <v>5995.76</v>
      </c>
      <c r="BM108" s="494">
        <v>548.62</v>
      </c>
      <c r="BN108" s="495" t="e">
        <f t="shared" si="56"/>
        <v>#DIV/0!</v>
      </c>
      <c r="BO108" s="495" t="e">
        <f t="shared" si="57"/>
        <v>#DIV/0!</v>
      </c>
      <c r="BP108" s="495" t="e">
        <f t="shared" si="58"/>
        <v>#DIV/0!</v>
      </c>
      <c r="BQ108" s="495" t="e">
        <f t="shared" si="59"/>
        <v>#DIV/0!</v>
      </c>
      <c r="BR108" s="495" t="e">
        <f t="shared" si="60"/>
        <v>#DIV/0!</v>
      </c>
      <c r="BS108" s="495" t="e">
        <f t="shared" si="61"/>
        <v>#DIV/0!</v>
      </c>
      <c r="BT108" s="495" t="e">
        <f t="shared" si="62"/>
        <v>#DIV/0!</v>
      </c>
      <c r="BU108" s="495" t="str">
        <f t="shared" si="63"/>
        <v xml:space="preserve"> </v>
      </c>
      <c r="BV108" s="495" t="e">
        <f t="shared" si="64"/>
        <v>#DIV/0!</v>
      </c>
      <c r="BW108" s="495" t="e">
        <f t="shared" si="65"/>
        <v>#DIV/0!</v>
      </c>
      <c r="BX108" s="495" t="e">
        <f t="shared" si="66"/>
        <v>#DIV/0!</v>
      </c>
      <c r="BY108" s="495" t="str">
        <f t="shared" si="67"/>
        <v xml:space="preserve"> </v>
      </c>
    </row>
    <row r="109" spans="1:77" s="28" customFormat="1" ht="9" customHeight="1">
      <c r="A109" s="366">
        <v>93</v>
      </c>
      <c r="B109" s="200" t="s">
        <v>569</v>
      </c>
      <c r="C109" s="465">
        <v>1307.76</v>
      </c>
      <c r="D109" s="466"/>
      <c r="E109" s="201"/>
      <c r="F109" s="375">
        <f t="shared" si="41"/>
        <v>0</v>
      </c>
      <c r="G109" s="375">
        <v>3434125.45</v>
      </c>
      <c r="H109" s="205">
        <f>I109+AI109+AJ109+AK109</f>
        <v>3434125.4499999997</v>
      </c>
      <c r="I109" s="368">
        <f t="shared" si="44"/>
        <v>2876304.02</v>
      </c>
      <c r="J109" s="205">
        <f>ROUND(0.955*(C109*370),2)</f>
        <v>462097</v>
      </c>
      <c r="K109" s="465">
        <v>0</v>
      </c>
      <c r="L109" s="205">
        <f>ROUND(0.955*(C109*1200),2)</f>
        <v>1498692.96</v>
      </c>
      <c r="M109" s="465">
        <v>0</v>
      </c>
      <c r="N109" s="205">
        <f>ROUND(0.955*(C109*303.05)-0.01,2)</f>
        <v>378482.41</v>
      </c>
      <c r="O109" s="249">
        <v>0</v>
      </c>
      <c r="P109" s="368">
        <f>ROUND(0.955*(C109*210),2)</f>
        <v>262271.27</v>
      </c>
      <c r="Q109" s="249">
        <v>0</v>
      </c>
      <c r="R109" s="368">
        <v>0</v>
      </c>
      <c r="S109" s="249">
        <v>0</v>
      </c>
      <c r="T109" s="368">
        <f>ROUND(0.955*(C109*220),2)</f>
        <v>274760.38</v>
      </c>
      <c r="U109" s="130">
        <v>0</v>
      </c>
      <c r="V109" s="368">
        <v>0</v>
      </c>
      <c r="W109" s="368">
        <v>0</v>
      </c>
      <c r="X109" s="368">
        <v>0</v>
      </c>
      <c r="Y109" s="368">
        <v>0</v>
      </c>
      <c r="Z109" s="368">
        <v>0</v>
      </c>
      <c r="AA109" s="368">
        <v>0</v>
      </c>
      <c r="AB109" s="368">
        <v>0</v>
      </c>
      <c r="AC109" s="368">
        <v>0</v>
      </c>
      <c r="AD109" s="368">
        <v>0</v>
      </c>
      <c r="AE109" s="368">
        <v>0</v>
      </c>
      <c r="AF109" s="368">
        <v>0</v>
      </c>
      <c r="AG109" s="368">
        <v>0</v>
      </c>
      <c r="AH109" s="368">
        <v>0</v>
      </c>
      <c r="AI109" s="368">
        <f>ROUND(0.955*C109*322.91,2)</f>
        <v>403285.79</v>
      </c>
      <c r="AJ109" s="370">
        <f>ROUND(0.03*(210+220+1200+370+303.05+322.91)*C109,2)</f>
        <v>103023.76</v>
      </c>
      <c r="AK109" s="370">
        <f>ROUND(0.015*(210+220+1200+370+303.05+322.91)*C109,2)</f>
        <v>51511.88</v>
      </c>
      <c r="AL109" s="370">
        <v>0</v>
      </c>
      <c r="AM109" s="447"/>
      <c r="AN109" s="227"/>
      <c r="AP109" s="486" t="e">
        <f t="shared" si="42"/>
        <v>#DIV/0!</v>
      </c>
      <c r="AQ109" s="486" t="e">
        <f t="shared" si="46"/>
        <v>#DIV/0!</v>
      </c>
      <c r="AR109" s="486" t="e">
        <f t="shared" si="47"/>
        <v>#DIV/0!</v>
      </c>
      <c r="AS109" s="486" t="e">
        <f t="shared" si="48"/>
        <v>#DIV/0!</v>
      </c>
      <c r="AT109" s="486" t="e">
        <f t="shared" si="49"/>
        <v>#DIV/0!</v>
      </c>
      <c r="AU109" s="486" t="e">
        <f t="shared" si="50"/>
        <v>#DIV/0!</v>
      </c>
      <c r="AV109" s="486" t="e">
        <f t="shared" si="51"/>
        <v>#DIV/0!</v>
      </c>
      <c r="AW109" s="486" t="e">
        <f t="shared" si="52"/>
        <v>#DIV/0!</v>
      </c>
      <c r="AX109" s="486" t="e">
        <f t="shared" si="53"/>
        <v>#DIV/0!</v>
      </c>
      <c r="AY109" s="486" t="e">
        <f t="shared" si="54"/>
        <v>#DIV/0!</v>
      </c>
      <c r="AZ109" s="486" t="e">
        <f t="shared" si="55"/>
        <v>#DIV/0!</v>
      </c>
      <c r="BA109" s="486">
        <f t="shared" si="43"/>
        <v>308.37905273138801</v>
      </c>
      <c r="BB109" s="494">
        <v>5155.41</v>
      </c>
      <c r="BC109" s="494">
        <v>2070.12</v>
      </c>
      <c r="BD109" s="494">
        <v>848.92</v>
      </c>
      <c r="BE109" s="494">
        <v>819.73</v>
      </c>
      <c r="BF109" s="494">
        <v>611.5</v>
      </c>
      <c r="BG109" s="494">
        <v>1080.04</v>
      </c>
      <c r="BH109" s="494">
        <v>2671800.0099999998</v>
      </c>
      <c r="BI109" s="494">
        <f t="shared" si="71"/>
        <v>4422.8500000000004</v>
      </c>
      <c r="BJ109" s="494">
        <v>14289.54</v>
      </c>
      <c r="BK109" s="494">
        <v>3389.61</v>
      </c>
      <c r="BL109" s="494">
        <v>5995.76</v>
      </c>
      <c r="BM109" s="494">
        <v>548.62</v>
      </c>
      <c r="BN109" s="495" t="e">
        <f t="shared" si="56"/>
        <v>#DIV/0!</v>
      </c>
      <c r="BO109" s="495" t="e">
        <f t="shared" si="57"/>
        <v>#DIV/0!</v>
      </c>
      <c r="BP109" s="495" t="e">
        <f t="shared" si="58"/>
        <v>#DIV/0!</v>
      </c>
      <c r="BQ109" s="495" t="e">
        <f t="shared" si="59"/>
        <v>#DIV/0!</v>
      </c>
      <c r="BR109" s="495" t="e">
        <f t="shared" si="60"/>
        <v>#DIV/0!</v>
      </c>
      <c r="BS109" s="495" t="e">
        <f t="shared" si="61"/>
        <v>#DIV/0!</v>
      </c>
      <c r="BT109" s="495" t="e">
        <f t="shared" si="62"/>
        <v>#DIV/0!</v>
      </c>
      <c r="BU109" s="495" t="e">
        <f t="shared" si="63"/>
        <v>#DIV/0!</v>
      </c>
      <c r="BV109" s="495" t="e">
        <f t="shared" si="64"/>
        <v>#DIV/0!</v>
      </c>
      <c r="BW109" s="495" t="e">
        <f t="shared" si="65"/>
        <v>#DIV/0!</v>
      </c>
      <c r="BX109" s="495" t="e">
        <f t="shared" si="66"/>
        <v>#DIV/0!</v>
      </c>
      <c r="BY109" s="495" t="str">
        <f t="shared" si="67"/>
        <v xml:space="preserve"> </v>
      </c>
    </row>
    <row r="110" spans="1:77" s="28" customFormat="1" ht="9" customHeight="1">
      <c r="A110" s="366">
        <v>94</v>
      </c>
      <c r="B110" s="200" t="s">
        <v>570</v>
      </c>
      <c r="C110" s="465">
        <v>2918</v>
      </c>
      <c r="D110" s="308"/>
      <c r="E110" s="141" t="s">
        <v>1005</v>
      </c>
      <c r="F110" s="375">
        <f t="shared" si="41"/>
        <v>0</v>
      </c>
      <c r="G110" s="374">
        <v>2697206</v>
      </c>
      <c r="H110" s="205">
        <v>2697206</v>
      </c>
      <c r="I110" s="368">
        <f t="shared" si="44"/>
        <v>0</v>
      </c>
      <c r="J110" s="205">
        <v>0</v>
      </c>
      <c r="K110" s="465">
        <v>0</v>
      </c>
      <c r="L110" s="205">
        <v>0</v>
      </c>
      <c r="M110" s="465">
        <v>0</v>
      </c>
      <c r="N110" s="205">
        <v>0</v>
      </c>
      <c r="O110" s="249">
        <v>0</v>
      </c>
      <c r="P110" s="368">
        <v>0</v>
      </c>
      <c r="Q110" s="249">
        <v>0</v>
      </c>
      <c r="R110" s="368">
        <v>0</v>
      </c>
      <c r="S110" s="249">
        <v>0</v>
      </c>
      <c r="T110" s="368">
        <v>0</v>
      </c>
      <c r="U110" s="130">
        <v>0</v>
      </c>
      <c r="V110" s="368">
        <v>0</v>
      </c>
      <c r="W110" s="368">
        <v>809</v>
      </c>
      <c r="X110" s="368">
        <f t="shared" ref="X110:X121" si="73">ROUND(H110/100*95.5,2)</f>
        <v>2575831.73</v>
      </c>
      <c r="Y110" s="368">
        <v>0</v>
      </c>
      <c r="Z110" s="368">
        <v>0</v>
      </c>
      <c r="AA110" s="368">
        <v>0</v>
      </c>
      <c r="AB110" s="368">
        <v>0</v>
      </c>
      <c r="AC110" s="368">
        <v>0</v>
      </c>
      <c r="AD110" s="368">
        <v>0</v>
      </c>
      <c r="AE110" s="368">
        <v>0</v>
      </c>
      <c r="AF110" s="368">
        <v>0</v>
      </c>
      <c r="AG110" s="368">
        <v>0</v>
      </c>
      <c r="AH110" s="368">
        <v>0</v>
      </c>
      <c r="AI110" s="368">
        <v>0</v>
      </c>
      <c r="AJ110" s="370">
        <f t="shared" si="70"/>
        <v>80916.179999999993</v>
      </c>
      <c r="AK110" s="370">
        <f t="shared" si="72"/>
        <v>40458.089999999997</v>
      </c>
      <c r="AL110" s="370">
        <v>0</v>
      </c>
      <c r="AM110" s="447">
        <f t="shared" ref="AM110:AM121" si="74">H110/W110</f>
        <v>3334</v>
      </c>
      <c r="AN110" s="227">
        <v>4814.95</v>
      </c>
      <c r="AP110" s="486" t="e">
        <f t="shared" si="42"/>
        <v>#DIV/0!</v>
      </c>
      <c r="AQ110" s="486" t="e">
        <f t="shared" si="46"/>
        <v>#DIV/0!</v>
      </c>
      <c r="AR110" s="486" t="e">
        <f t="shared" si="47"/>
        <v>#DIV/0!</v>
      </c>
      <c r="AS110" s="486" t="e">
        <f t="shared" si="48"/>
        <v>#DIV/0!</v>
      </c>
      <c r="AT110" s="486" t="e">
        <f t="shared" si="49"/>
        <v>#DIV/0!</v>
      </c>
      <c r="AU110" s="486" t="e">
        <f t="shared" si="50"/>
        <v>#DIV/0!</v>
      </c>
      <c r="AV110" s="486" t="e">
        <f t="shared" si="51"/>
        <v>#DIV/0!</v>
      </c>
      <c r="AW110" s="486">
        <f t="shared" si="52"/>
        <v>3183.97</v>
      </c>
      <c r="AX110" s="486" t="e">
        <f t="shared" si="53"/>
        <v>#DIV/0!</v>
      </c>
      <c r="AY110" s="486" t="e">
        <f t="shared" si="54"/>
        <v>#DIV/0!</v>
      </c>
      <c r="AZ110" s="486" t="e">
        <f t="shared" si="55"/>
        <v>#DIV/0!</v>
      </c>
      <c r="BA110" s="486">
        <f t="shared" si="43"/>
        <v>0</v>
      </c>
      <c r="BB110" s="494">
        <v>5155.41</v>
      </c>
      <c r="BC110" s="494">
        <v>2070.12</v>
      </c>
      <c r="BD110" s="494">
        <v>848.92</v>
      </c>
      <c r="BE110" s="494">
        <v>819.73</v>
      </c>
      <c r="BF110" s="494">
        <v>611.5</v>
      </c>
      <c r="BG110" s="494">
        <v>1080.04</v>
      </c>
      <c r="BH110" s="494">
        <v>2671800.0099999998</v>
      </c>
      <c r="BI110" s="494">
        <f t="shared" si="71"/>
        <v>4607.6000000000004</v>
      </c>
      <c r="BJ110" s="494">
        <v>14289.54</v>
      </c>
      <c r="BK110" s="494">
        <v>3389.61</v>
      </c>
      <c r="BL110" s="494">
        <v>5995.76</v>
      </c>
      <c r="BM110" s="494">
        <v>548.62</v>
      </c>
      <c r="BN110" s="495" t="e">
        <f t="shared" si="56"/>
        <v>#DIV/0!</v>
      </c>
      <c r="BO110" s="495" t="e">
        <f t="shared" si="57"/>
        <v>#DIV/0!</v>
      </c>
      <c r="BP110" s="495" t="e">
        <f t="shared" si="58"/>
        <v>#DIV/0!</v>
      </c>
      <c r="BQ110" s="495" t="e">
        <f t="shared" si="59"/>
        <v>#DIV/0!</v>
      </c>
      <c r="BR110" s="495" t="e">
        <f t="shared" si="60"/>
        <v>#DIV/0!</v>
      </c>
      <c r="BS110" s="495" t="e">
        <f t="shared" si="61"/>
        <v>#DIV/0!</v>
      </c>
      <c r="BT110" s="495" t="e">
        <f t="shared" si="62"/>
        <v>#DIV/0!</v>
      </c>
      <c r="BU110" s="495" t="str">
        <f t="shared" si="63"/>
        <v xml:space="preserve"> </v>
      </c>
      <c r="BV110" s="495" t="e">
        <f t="shared" si="64"/>
        <v>#DIV/0!</v>
      </c>
      <c r="BW110" s="495" t="e">
        <f t="shared" si="65"/>
        <v>#DIV/0!</v>
      </c>
      <c r="BX110" s="495" t="e">
        <f t="shared" si="66"/>
        <v>#DIV/0!</v>
      </c>
      <c r="BY110" s="495" t="str">
        <f t="shared" si="67"/>
        <v xml:space="preserve"> </v>
      </c>
    </row>
    <row r="111" spans="1:77" s="28" customFormat="1" ht="9" customHeight="1">
      <c r="A111" s="366">
        <v>95</v>
      </c>
      <c r="B111" s="200" t="s">
        <v>571</v>
      </c>
      <c r="C111" s="465">
        <v>2457.8000000000002</v>
      </c>
      <c r="D111" s="466"/>
      <c r="E111" s="201" t="s">
        <v>1006</v>
      </c>
      <c r="F111" s="375">
        <f t="shared" si="41"/>
        <v>0</v>
      </c>
      <c r="G111" s="375">
        <v>2813580</v>
      </c>
      <c r="H111" s="205">
        <v>2813580</v>
      </c>
      <c r="I111" s="368">
        <f t="shared" si="44"/>
        <v>0</v>
      </c>
      <c r="J111" s="205">
        <v>0</v>
      </c>
      <c r="K111" s="465">
        <v>0</v>
      </c>
      <c r="L111" s="205">
        <v>0</v>
      </c>
      <c r="M111" s="465">
        <v>0</v>
      </c>
      <c r="N111" s="205">
        <v>0</v>
      </c>
      <c r="O111" s="249">
        <v>0</v>
      </c>
      <c r="P111" s="368">
        <v>0</v>
      </c>
      <c r="Q111" s="249">
        <v>0</v>
      </c>
      <c r="R111" s="368">
        <v>0</v>
      </c>
      <c r="S111" s="249">
        <v>0</v>
      </c>
      <c r="T111" s="368">
        <v>0</v>
      </c>
      <c r="U111" s="130">
        <v>0</v>
      </c>
      <c r="V111" s="368">
        <v>0</v>
      </c>
      <c r="W111" s="368">
        <v>870</v>
      </c>
      <c r="X111" s="368">
        <f t="shared" si="73"/>
        <v>2686968.9</v>
      </c>
      <c r="Y111" s="368">
        <v>0</v>
      </c>
      <c r="Z111" s="368">
        <v>0</v>
      </c>
      <c r="AA111" s="368">
        <v>0</v>
      </c>
      <c r="AB111" s="368">
        <v>0</v>
      </c>
      <c r="AC111" s="368">
        <v>0</v>
      </c>
      <c r="AD111" s="368">
        <v>0</v>
      </c>
      <c r="AE111" s="368">
        <v>0</v>
      </c>
      <c r="AF111" s="368">
        <v>0</v>
      </c>
      <c r="AG111" s="368">
        <v>0</v>
      </c>
      <c r="AH111" s="368">
        <v>0</v>
      </c>
      <c r="AI111" s="368">
        <v>0</v>
      </c>
      <c r="AJ111" s="370">
        <f t="shared" si="70"/>
        <v>84407.4</v>
      </c>
      <c r="AK111" s="370">
        <f t="shared" si="72"/>
        <v>42203.7</v>
      </c>
      <c r="AL111" s="370">
        <v>0</v>
      </c>
      <c r="AM111" s="447">
        <f t="shared" si="74"/>
        <v>3234</v>
      </c>
      <c r="AN111" s="227">
        <v>4621.88</v>
      </c>
      <c r="AP111" s="486" t="e">
        <f t="shared" si="42"/>
        <v>#DIV/0!</v>
      </c>
      <c r="AQ111" s="486" t="e">
        <f t="shared" si="46"/>
        <v>#DIV/0!</v>
      </c>
      <c r="AR111" s="486" t="e">
        <f t="shared" si="47"/>
        <v>#DIV/0!</v>
      </c>
      <c r="AS111" s="486" t="e">
        <f t="shared" si="48"/>
        <v>#DIV/0!</v>
      </c>
      <c r="AT111" s="486" t="e">
        <f t="shared" si="49"/>
        <v>#DIV/0!</v>
      </c>
      <c r="AU111" s="486" t="e">
        <f t="shared" si="50"/>
        <v>#DIV/0!</v>
      </c>
      <c r="AV111" s="486" t="e">
        <f t="shared" si="51"/>
        <v>#DIV/0!</v>
      </c>
      <c r="AW111" s="486">
        <f t="shared" si="52"/>
        <v>3088.47</v>
      </c>
      <c r="AX111" s="486" t="e">
        <f t="shared" si="53"/>
        <v>#DIV/0!</v>
      </c>
      <c r="AY111" s="486" t="e">
        <f t="shared" si="54"/>
        <v>#DIV/0!</v>
      </c>
      <c r="AZ111" s="486" t="e">
        <f t="shared" si="55"/>
        <v>#DIV/0!</v>
      </c>
      <c r="BA111" s="486">
        <f t="shared" si="43"/>
        <v>0</v>
      </c>
      <c r="BB111" s="494">
        <v>5155.41</v>
      </c>
      <c r="BC111" s="494">
        <v>2070.12</v>
      </c>
      <c r="BD111" s="494">
        <v>848.92</v>
      </c>
      <c r="BE111" s="494">
        <v>819.73</v>
      </c>
      <c r="BF111" s="494">
        <v>611.5</v>
      </c>
      <c r="BG111" s="494">
        <v>1080.04</v>
      </c>
      <c r="BH111" s="494">
        <v>2671800.0099999998</v>
      </c>
      <c r="BI111" s="494">
        <f t="shared" si="71"/>
        <v>4422.8500000000004</v>
      </c>
      <c r="BJ111" s="494">
        <v>14289.54</v>
      </c>
      <c r="BK111" s="494">
        <v>3389.61</v>
      </c>
      <c r="BL111" s="494">
        <v>5995.76</v>
      </c>
      <c r="BM111" s="494">
        <v>548.62</v>
      </c>
      <c r="BN111" s="495" t="e">
        <f t="shared" si="56"/>
        <v>#DIV/0!</v>
      </c>
      <c r="BO111" s="495" t="e">
        <f t="shared" si="57"/>
        <v>#DIV/0!</v>
      </c>
      <c r="BP111" s="495" t="e">
        <f t="shared" si="58"/>
        <v>#DIV/0!</v>
      </c>
      <c r="BQ111" s="495" t="e">
        <f t="shared" si="59"/>
        <v>#DIV/0!</v>
      </c>
      <c r="BR111" s="495" t="e">
        <f t="shared" si="60"/>
        <v>#DIV/0!</v>
      </c>
      <c r="BS111" s="495" t="e">
        <f t="shared" si="61"/>
        <v>#DIV/0!</v>
      </c>
      <c r="BT111" s="495" t="e">
        <f t="shared" si="62"/>
        <v>#DIV/0!</v>
      </c>
      <c r="BU111" s="495" t="str">
        <f t="shared" si="63"/>
        <v xml:space="preserve"> </v>
      </c>
      <c r="BV111" s="495" t="e">
        <f t="shared" si="64"/>
        <v>#DIV/0!</v>
      </c>
      <c r="BW111" s="495" t="e">
        <f t="shared" si="65"/>
        <v>#DIV/0!</v>
      </c>
      <c r="BX111" s="495" t="e">
        <f t="shared" si="66"/>
        <v>#DIV/0!</v>
      </c>
      <c r="BY111" s="495" t="str">
        <f t="shared" si="67"/>
        <v xml:space="preserve"> </v>
      </c>
    </row>
    <row r="112" spans="1:77" s="28" customFormat="1" ht="9" customHeight="1">
      <c r="A112" s="366">
        <v>96</v>
      </c>
      <c r="B112" s="200" t="s">
        <v>572</v>
      </c>
      <c r="C112" s="465">
        <v>3033.4</v>
      </c>
      <c r="D112" s="466"/>
      <c r="E112" s="201" t="s">
        <v>1006</v>
      </c>
      <c r="F112" s="375">
        <f t="shared" si="41"/>
        <v>0</v>
      </c>
      <c r="G112" s="375">
        <v>3719100</v>
      </c>
      <c r="H112" s="205">
        <v>3719100</v>
      </c>
      <c r="I112" s="368">
        <f t="shared" si="44"/>
        <v>0</v>
      </c>
      <c r="J112" s="205">
        <v>0</v>
      </c>
      <c r="K112" s="465">
        <v>0</v>
      </c>
      <c r="L112" s="205">
        <v>0</v>
      </c>
      <c r="M112" s="465">
        <v>0</v>
      </c>
      <c r="N112" s="205">
        <v>0</v>
      </c>
      <c r="O112" s="249">
        <v>0</v>
      </c>
      <c r="P112" s="368">
        <v>0</v>
      </c>
      <c r="Q112" s="249">
        <v>0</v>
      </c>
      <c r="R112" s="368">
        <v>0</v>
      </c>
      <c r="S112" s="249">
        <v>0</v>
      </c>
      <c r="T112" s="368">
        <v>0</v>
      </c>
      <c r="U112" s="130">
        <v>0</v>
      </c>
      <c r="V112" s="368">
        <v>0</v>
      </c>
      <c r="W112" s="368">
        <v>1150</v>
      </c>
      <c r="X112" s="368">
        <f t="shared" si="73"/>
        <v>3551740.5</v>
      </c>
      <c r="Y112" s="368">
        <v>0</v>
      </c>
      <c r="Z112" s="368">
        <v>0</v>
      </c>
      <c r="AA112" s="368">
        <v>0</v>
      </c>
      <c r="AB112" s="368">
        <v>0</v>
      </c>
      <c r="AC112" s="368">
        <v>0</v>
      </c>
      <c r="AD112" s="368">
        <v>0</v>
      </c>
      <c r="AE112" s="368">
        <v>0</v>
      </c>
      <c r="AF112" s="368">
        <v>0</v>
      </c>
      <c r="AG112" s="368">
        <v>0</v>
      </c>
      <c r="AH112" s="368">
        <v>0</v>
      </c>
      <c r="AI112" s="368">
        <v>0</v>
      </c>
      <c r="AJ112" s="370">
        <f t="shared" si="70"/>
        <v>111573</v>
      </c>
      <c r="AK112" s="370">
        <f t="shared" si="72"/>
        <v>55786.5</v>
      </c>
      <c r="AL112" s="370">
        <v>0</v>
      </c>
      <c r="AM112" s="447">
        <f t="shared" si="74"/>
        <v>3234</v>
      </c>
      <c r="AN112" s="227">
        <v>4621.88</v>
      </c>
      <c r="AP112" s="486" t="e">
        <f t="shared" si="42"/>
        <v>#DIV/0!</v>
      </c>
      <c r="AQ112" s="486" t="e">
        <f t="shared" si="46"/>
        <v>#DIV/0!</v>
      </c>
      <c r="AR112" s="486" t="e">
        <f t="shared" si="47"/>
        <v>#DIV/0!</v>
      </c>
      <c r="AS112" s="486" t="e">
        <f t="shared" si="48"/>
        <v>#DIV/0!</v>
      </c>
      <c r="AT112" s="486" t="e">
        <f t="shared" si="49"/>
        <v>#DIV/0!</v>
      </c>
      <c r="AU112" s="486" t="e">
        <f t="shared" si="50"/>
        <v>#DIV/0!</v>
      </c>
      <c r="AV112" s="486" t="e">
        <f t="shared" si="51"/>
        <v>#DIV/0!</v>
      </c>
      <c r="AW112" s="486">
        <f t="shared" si="52"/>
        <v>3088.47</v>
      </c>
      <c r="AX112" s="486" t="e">
        <f t="shared" si="53"/>
        <v>#DIV/0!</v>
      </c>
      <c r="AY112" s="486" t="e">
        <f t="shared" si="54"/>
        <v>#DIV/0!</v>
      </c>
      <c r="AZ112" s="486" t="e">
        <f t="shared" si="55"/>
        <v>#DIV/0!</v>
      </c>
      <c r="BA112" s="486">
        <f t="shared" si="43"/>
        <v>0</v>
      </c>
      <c r="BB112" s="494">
        <v>5155.41</v>
      </c>
      <c r="BC112" s="494">
        <v>2070.12</v>
      </c>
      <c r="BD112" s="494">
        <v>848.92</v>
      </c>
      <c r="BE112" s="494">
        <v>819.73</v>
      </c>
      <c r="BF112" s="494">
        <v>611.5</v>
      </c>
      <c r="BG112" s="494">
        <v>1080.04</v>
      </c>
      <c r="BH112" s="494">
        <v>2671800.0099999998</v>
      </c>
      <c r="BI112" s="494">
        <f t="shared" si="71"/>
        <v>4422.8500000000004</v>
      </c>
      <c r="BJ112" s="494">
        <v>14289.54</v>
      </c>
      <c r="BK112" s="494">
        <v>3389.61</v>
      </c>
      <c r="BL112" s="494">
        <v>5995.76</v>
      </c>
      <c r="BM112" s="494">
        <v>548.62</v>
      </c>
      <c r="BN112" s="495" t="e">
        <f t="shared" si="56"/>
        <v>#DIV/0!</v>
      </c>
      <c r="BO112" s="495" t="e">
        <f t="shared" si="57"/>
        <v>#DIV/0!</v>
      </c>
      <c r="BP112" s="495" t="e">
        <f t="shared" si="58"/>
        <v>#DIV/0!</v>
      </c>
      <c r="BQ112" s="495" t="e">
        <f t="shared" si="59"/>
        <v>#DIV/0!</v>
      </c>
      <c r="BR112" s="495" t="e">
        <f t="shared" si="60"/>
        <v>#DIV/0!</v>
      </c>
      <c r="BS112" s="495" t="e">
        <f t="shared" si="61"/>
        <v>#DIV/0!</v>
      </c>
      <c r="BT112" s="495" t="e">
        <f t="shared" si="62"/>
        <v>#DIV/0!</v>
      </c>
      <c r="BU112" s="495" t="str">
        <f t="shared" si="63"/>
        <v xml:space="preserve"> </v>
      </c>
      <c r="BV112" s="495" t="e">
        <f t="shared" si="64"/>
        <v>#DIV/0!</v>
      </c>
      <c r="BW112" s="495" t="e">
        <f t="shared" si="65"/>
        <v>#DIV/0!</v>
      </c>
      <c r="BX112" s="495" t="e">
        <f t="shared" si="66"/>
        <v>#DIV/0!</v>
      </c>
      <c r="BY112" s="495" t="str">
        <f t="shared" si="67"/>
        <v xml:space="preserve"> </v>
      </c>
    </row>
    <row r="113" spans="1:77" s="28" customFormat="1" ht="9" customHeight="1">
      <c r="A113" s="366">
        <v>97</v>
      </c>
      <c r="B113" s="200" t="s">
        <v>573</v>
      </c>
      <c r="C113" s="465">
        <v>2174.4</v>
      </c>
      <c r="D113" s="308"/>
      <c r="E113" s="141" t="s">
        <v>1005</v>
      </c>
      <c r="F113" s="375">
        <f t="shared" ref="F113:F144" si="75">H113-G113</f>
        <v>0</v>
      </c>
      <c r="G113" s="374">
        <v>3844102</v>
      </c>
      <c r="H113" s="205">
        <v>3844102</v>
      </c>
      <c r="I113" s="368">
        <f t="shared" si="44"/>
        <v>0</v>
      </c>
      <c r="J113" s="205">
        <v>0</v>
      </c>
      <c r="K113" s="465">
        <v>0</v>
      </c>
      <c r="L113" s="205">
        <v>0</v>
      </c>
      <c r="M113" s="465">
        <v>0</v>
      </c>
      <c r="N113" s="205">
        <v>0</v>
      </c>
      <c r="O113" s="249">
        <v>0</v>
      </c>
      <c r="P113" s="368">
        <v>0</v>
      </c>
      <c r="Q113" s="249">
        <v>0</v>
      </c>
      <c r="R113" s="368">
        <v>0</v>
      </c>
      <c r="S113" s="249">
        <v>0</v>
      </c>
      <c r="T113" s="368">
        <v>0</v>
      </c>
      <c r="U113" s="130">
        <v>0</v>
      </c>
      <c r="V113" s="368">
        <v>0</v>
      </c>
      <c r="W113" s="368">
        <v>1153</v>
      </c>
      <c r="X113" s="368">
        <f t="shared" si="73"/>
        <v>3671117.41</v>
      </c>
      <c r="Y113" s="368">
        <v>0</v>
      </c>
      <c r="Z113" s="368">
        <v>0</v>
      </c>
      <c r="AA113" s="368">
        <v>0</v>
      </c>
      <c r="AB113" s="368">
        <v>0</v>
      </c>
      <c r="AC113" s="368">
        <v>0</v>
      </c>
      <c r="AD113" s="368">
        <v>0</v>
      </c>
      <c r="AE113" s="368">
        <v>0</v>
      </c>
      <c r="AF113" s="368">
        <v>0</v>
      </c>
      <c r="AG113" s="368">
        <v>0</v>
      </c>
      <c r="AH113" s="368">
        <v>0</v>
      </c>
      <c r="AI113" s="368">
        <v>0</v>
      </c>
      <c r="AJ113" s="370">
        <f t="shared" si="70"/>
        <v>115323.06</v>
      </c>
      <c r="AK113" s="370">
        <f t="shared" si="72"/>
        <v>57661.53</v>
      </c>
      <c r="AL113" s="370">
        <v>0</v>
      </c>
      <c r="AM113" s="447">
        <f t="shared" si="74"/>
        <v>3334</v>
      </c>
      <c r="AN113" s="227">
        <v>4814.95</v>
      </c>
      <c r="AP113" s="486" t="e">
        <f t="shared" si="42"/>
        <v>#DIV/0!</v>
      </c>
      <c r="AQ113" s="486" t="e">
        <f t="shared" si="46"/>
        <v>#DIV/0!</v>
      </c>
      <c r="AR113" s="486" t="e">
        <f t="shared" si="47"/>
        <v>#DIV/0!</v>
      </c>
      <c r="AS113" s="486" t="e">
        <f t="shared" si="48"/>
        <v>#DIV/0!</v>
      </c>
      <c r="AT113" s="486" t="e">
        <f t="shared" si="49"/>
        <v>#DIV/0!</v>
      </c>
      <c r="AU113" s="486" t="e">
        <f t="shared" si="50"/>
        <v>#DIV/0!</v>
      </c>
      <c r="AV113" s="486" t="e">
        <f t="shared" si="51"/>
        <v>#DIV/0!</v>
      </c>
      <c r="AW113" s="486">
        <f t="shared" si="52"/>
        <v>3183.9700000000003</v>
      </c>
      <c r="AX113" s="486" t="e">
        <f t="shared" si="53"/>
        <v>#DIV/0!</v>
      </c>
      <c r="AY113" s="486" t="e">
        <f t="shared" si="54"/>
        <v>#DIV/0!</v>
      </c>
      <c r="AZ113" s="486" t="e">
        <f t="shared" si="55"/>
        <v>#DIV/0!</v>
      </c>
      <c r="BA113" s="486">
        <f t="shared" si="43"/>
        <v>0</v>
      </c>
      <c r="BB113" s="494">
        <v>5155.41</v>
      </c>
      <c r="BC113" s="494">
        <v>2070.12</v>
      </c>
      <c r="BD113" s="494">
        <v>848.92</v>
      </c>
      <c r="BE113" s="494">
        <v>819.73</v>
      </c>
      <c r="BF113" s="494">
        <v>611.5</v>
      </c>
      <c r="BG113" s="494">
        <v>1080.04</v>
      </c>
      <c r="BH113" s="494">
        <v>2671800.0099999998</v>
      </c>
      <c r="BI113" s="494">
        <f t="shared" si="71"/>
        <v>4607.6000000000004</v>
      </c>
      <c r="BJ113" s="494">
        <v>14289.54</v>
      </c>
      <c r="BK113" s="494">
        <v>3389.61</v>
      </c>
      <c r="BL113" s="494">
        <v>5995.76</v>
      </c>
      <c r="BM113" s="494">
        <v>548.62</v>
      </c>
      <c r="BN113" s="495" t="e">
        <f t="shared" si="56"/>
        <v>#DIV/0!</v>
      </c>
      <c r="BO113" s="495" t="e">
        <f t="shared" si="57"/>
        <v>#DIV/0!</v>
      </c>
      <c r="BP113" s="495" t="e">
        <f t="shared" si="58"/>
        <v>#DIV/0!</v>
      </c>
      <c r="BQ113" s="495" t="e">
        <f t="shared" si="59"/>
        <v>#DIV/0!</v>
      </c>
      <c r="BR113" s="495" t="e">
        <f t="shared" si="60"/>
        <v>#DIV/0!</v>
      </c>
      <c r="BS113" s="495" t="e">
        <f t="shared" si="61"/>
        <v>#DIV/0!</v>
      </c>
      <c r="BT113" s="495" t="e">
        <f t="shared" si="62"/>
        <v>#DIV/0!</v>
      </c>
      <c r="BU113" s="495" t="str">
        <f t="shared" si="63"/>
        <v xml:space="preserve"> </v>
      </c>
      <c r="BV113" s="495" t="e">
        <f t="shared" si="64"/>
        <v>#DIV/0!</v>
      </c>
      <c r="BW113" s="495" t="e">
        <f t="shared" si="65"/>
        <v>#DIV/0!</v>
      </c>
      <c r="BX113" s="495" t="e">
        <f t="shared" si="66"/>
        <v>#DIV/0!</v>
      </c>
      <c r="BY113" s="495" t="str">
        <f t="shared" si="67"/>
        <v xml:space="preserve"> </v>
      </c>
    </row>
    <row r="114" spans="1:77" s="28" customFormat="1" ht="9" customHeight="1">
      <c r="A114" s="366">
        <v>98</v>
      </c>
      <c r="B114" s="200" t="s">
        <v>574</v>
      </c>
      <c r="C114" s="465">
        <v>5672.1</v>
      </c>
      <c r="D114" s="308"/>
      <c r="E114" s="141" t="s">
        <v>1005</v>
      </c>
      <c r="F114" s="375">
        <f t="shared" si="75"/>
        <v>0</v>
      </c>
      <c r="G114" s="374">
        <v>5764486</v>
      </c>
      <c r="H114" s="205">
        <v>5764486</v>
      </c>
      <c r="I114" s="368">
        <f t="shared" si="44"/>
        <v>0</v>
      </c>
      <c r="J114" s="205">
        <v>0</v>
      </c>
      <c r="K114" s="465">
        <v>0</v>
      </c>
      <c r="L114" s="205">
        <v>0</v>
      </c>
      <c r="M114" s="465">
        <v>0</v>
      </c>
      <c r="N114" s="205">
        <v>0</v>
      </c>
      <c r="O114" s="249">
        <v>0</v>
      </c>
      <c r="P114" s="368">
        <v>0</v>
      </c>
      <c r="Q114" s="249">
        <v>0</v>
      </c>
      <c r="R114" s="368">
        <v>0</v>
      </c>
      <c r="S114" s="249">
        <v>0</v>
      </c>
      <c r="T114" s="368">
        <v>0</v>
      </c>
      <c r="U114" s="130">
        <v>0</v>
      </c>
      <c r="V114" s="368">
        <v>0</v>
      </c>
      <c r="W114" s="368">
        <v>1729</v>
      </c>
      <c r="X114" s="368">
        <f t="shared" si="73"/>
        <v>5505084.1299999999</v>
      </c>
      <c r="Y114" s="368">
        <v>0</v>
      </c>
      <c r="Z114" s="368">
        <v>0</v>
      </c>
      <c r="AA114" s="368">
        <v>0</v>
      </c>
      <c r="AB114" s="368">
        <v>0</v>
      </c>
      <c r="AC114" s="368">
        <v>0</v>
      </c>
      <c r="AD114" s="368">
        <v>0</v>
      </c>
      <c r="AE114" s="368">
        <v>0</v>
      </c>
      <c r="AF114" s="368">
        <v>0</v>
      </c>
      <c r="AG114" s="368">
        <v>0</v>
      </c>
      <c r="AH114" s="368">
        <v>0</v>
      </c>
      <c r="AI114" s="368">
        <v>0</v>
      </c>
      <c r="AJ114" s="370">
        <f t="shared" si="70"/>
        <v>172934.58</v>
      </c>
      <c r="AK114" s="370">
        <f t="shared" si="72"/>
        <v>86467.29</v>
      </c>
      <c r="AL114" s="370">
        <v>0</v>
      </c>
      <c r="AM114" s="447">
        <f t="shared" si="74"/>
        <v>3334</v>
      </c>
      <c r="AN114" s="227">
        <v>4814.95</v>
      </c>
      <c r="AP114" s="486" t="e">
        <f t="shared" si="42"/>
        <v>#DIV/0!</v>
      </c>
      <c r="AQ114" s="486" t="e">
        <f t="shared" si="46"/>
        <v>#DIV/0!</v>
      </c>
      <c r="AR114" s="486" t="e">
        <f t="shared" si="47"/>
        <v>#DIV/0!</v>
      </c>
      <c r="AS114" s="486" t="e">
        <f t="shared" si="48"/>
        <v>#DIV/0!</v>
      </c>
      <c r="AT114" s="486" t="e">
        <f t="shared" si="49"/>
        <v>#DIV/0!</v>
      </c>
      <c r="AU114" s="486" t="e">
        <f t="shared" si="50"/>
        <v>#DIV/0!</v>
      </c>
      <c r="AV114" s="486" t="e">
        <f t="shared" si="51"/>
        <v>#DIV/0!</v>
      </c>
      <c r="AW114" s="486">
        <f t="shared" si="52"/>
        <v>3183.97</v>
      </c>
      <c r="AX114" s="486" t="e">
        <f t="shared" si="53"/>
        <v>#DIV/0!</v>
      </c>
      <c r="AY114" s="486" t="e">
        <f t="shared" si="54"/>
        <v>#DIV/0!</v>
      </c>
      <c r="AZ114" s="486" t="e">
        <f t="shared" si="55"/>
        <v>#DIV/0!</v>
      </c>
      <c r="BA114" s="486">
        <f t="shared" si="43"/>
        <v>0</v>
      </c>
      <c r="BB114" s="494">
        <v>5155.41</v>
      </c>
      <c r="BC114" s="494">
        <v>2070.12</v>
      </c>
      <c r="BD114" s="494">
        <v>848.92</v>
      </c>
      <c r="BE114" s="494">
        <v>819.73</v>
      </c>
      <c r="BF114" s="494">
        <v>611.5</v>
      </c>
      <c r="BG114" s="494">
        <v>1080.04</v>
      </c>
      <c r="BH114" s="494">
        <v>2671800.0099999998</v>
      </c>
      <c r="BI114" s="494">
        <f t="shared" si="71"/>
        <v>4607.6000000000004</v>
      </c>
      <c r="BJ114" s="494">
        <v>14289.54</v>
      </c>
      <c r="BK114" s="494">
        <v>3389.61</v>
      </c>
      <c r="BL114" s="494">
        <v>5995.76</v>
      </c>
      <c r="BM114" s="494">
        <v>548.62</v>
      </c>
      <c r="BN114" s="495" t="e">
        <f t="shared" si="56"/>
        <v>#DIV/0!</v>
      </c>
      <c r="BO114" s="495" t="e">
        <f t="shared" si="57"/>
        <v>#DIV/0!</v>
      </c>
      <c r="BP114" s="495" t="e">
        <f t="shared" si="58"/>
        <v>#DIV/0!</v>
      </c>
      <c r="BQ114" s="495" t="e">
        <f t="shared" si="59"/>
        <v>#DIV/0!</v>
      </c>
      <c r="BR114" s="495" t="e">
        <f t="shared" si="60"/>
        <v>#DIV/0!</v>
      </c>
      <c r="BS114" s="495" t="e">
        <f t="shared" si="61"/>
        <v>#DIV/0!</v>
      </c>
      <c r="BT114" s="495" t="e">
        <f t="shared" si="62"/>
        <v>#DIV/0!</v>
      </c>
      <c r="BU114" s="495" t="str">
        <f t="shared" si="63"/>
        <v xml:space="preserve"> </v>
      </c>
      <c r="BV114" s="495" t="e">
        <f t="shared" si="64"/>
        <v>#DIV/0!</v>
      </c>
      <c r="BW114" s="495" t="e">
        <f t="shared" si="65"/>
        <v>#DIV/0!</v>
      </c>
      <c r="BX114" s="495" t="e">
        <f t="shared" si="66"/>
        <v>#DIV/0!</v>
      </c>
      <c r="BY114" s="495" t="str">
        <f t="shared" si="67"/>
        <v xml:space="preserve"> </v>
      </c>
    </row>
    <row r="115" spans="1:77" s="28" customFormat="1" ht="9" customHeight="1">
      <c r="A115" s="366">
        <v>99</v>
      </c>
      <c r="B115" s="200" t="s">
        <v>575</v>
      </c>
      <c r="C115" s="465">
        <v>5603.5</v>
      </c>
      <c r="D115" s="308"/>
      <c r="E115" s="141" t="s">
        <v>1005</v>
      </c>
      <c r="F115" s="375">
        <f t="shared" si="75"/>
        <v>0</v>
      </c>
      <c r="G115" s="374">
        <v>5157698</v>
      </c>
      <c r="H115" s="205">
        <v>5157698</v>
      </c>
      <c r="I115" s="368">
        <f t="shared" si="44"/>
        <v>0</v>
      </c>
      <c r="J115" s="205">
        <v>0</v>
      </c>
      <c r="K115" s="465">
        <v>0</v>
      </c>
      <c r="L115" s="205">
        <v>0</v>
      </c>
      <c r="M115" s="465">
        <v>0</v>
      </c>
      <c r="N115" s="205">
        <v>0</v>
      </c>
      <c r="O115" s="249">
        <v>0</v>
      </c>
      <c r="P115" s="368">
        <v>0</v>
      </c>
      <c r="Q115" s="249">
        <v>0</v>
      </c>
      <c r="R115" s="368">
        <v>0</v>
      </c>
      <c r="S115" s="249">
        <v>0</v>
      </c>
      <c r="T115" s="368">
        <v>0</v>
      </c>
      <c r="U115" s="130">
        <v>0</v>
      </c>
      <c r="V115" s="368">
        <v>0</v>
      </c>
      <c r="W115" s="368">
        <v>1547</v>
      </c>
      <c r="X115" s="368">
        <f t="shared" si="73"/>
        <v>4925601.59</v>
      </c>
      <c r="Y115" s="368">
        <v>0</v>
      </c>
      <c r="Z115" s="368">
        <v>0</v>
      </c>
      <c r="AA115" s="368">
        <v>0</v>
      </c>
      <c r="AB115" s="368">
        <v>0</v>
      </c>
      <c r="AC115" s="368">
        <v>0</v>
      </c>
      <c r="AD115" s="368">
        <v>0</v>
      </c>
      <c r="AE115" s="368">
        <v>0</v>
      </c>
      <c r="AF115" s="368">
        <v>0</v>
      </c>
      <c r="AG115" s="368">
        <v>0</v>
      </c>
      <c r="AH115" s="368">
        <v>0</v>
      </c>
      <c r="AI115" s="368">
        <v>0</v>
      </c>
      <c r="AJ115" s="370">
        <f t="shared" si="70"/>
        <v>154730.94</v>
      </c>
      <c r="AK115" s="370">
        <f t="shared" si="72"/>
        <v>77365.47</v>
      </c>
      <c r="AL115" s="370">
        <v>0</v>
      </c>
      <c r="AM115" s="447">
        <f t="shared" si="74"/>
        <v>3334</v>
      </c>
      <c r="AN115" s="227">
        <v>4814.95</v>
      </c>
      <c r="AP115" s="486" t="e">
        <f t="shared" si="42"/>
        <v>#DIV/0!</v>
      </c>
      <c r="AQ115" s="486" t="e">
        <f t="shared" si="46"/>
        <v>#DIV/0!</v>
      </c>
      <c r="AR115" s="486" t="e">
        <f t="shared" si="47"/>
        <v>#DIV/0!</v>
      </c>
      <c r="AS115" s="486" t="e">
        <f t="shared" si="48"/>
        <v>#DIV/0!</v>
      </c>
      <c r="AT115" s="486" t="e">
        <f t="shared" si="49"/>
        <v>#DIV/0!</v>
      </c>
      <c r="AU115" s="486" t="e">
        <f t="shared" si="50"/>
        <v>#DIV/0!</v>
      </c>
      <c r="AV115" s="486" t="e">
        <f t="shared" si="51"/>
        <v>#DIV/0!</v>
      </c>
      <c r="AW115" s="486">
        <f t="shared" si="52"/>
        <v>3183.97</v>
      </c>
      <c r="AX115" s="486" t="e">
        <f t="shared" si="53"/>
        <v>#DIV/0!</v>
      </c>
      <c r="AY115" s="486" t="e">
        <f t="shared" si="54"/>
        <v>#DIV/0!</v>
      </c>
      <c r="AZ115" s="486" t="e">
        <f t="shared" si="55"/>
        <v>#DIV/0!</v>
      </c>
      <c r="BA115" s="486">
        <f t="shared" si="43"/>
        <v>0</v>
      </c>
      <c r="BB115" s="494">
        <v>5155.41</v>
      </c>
      <c r="BC115" s="494">
        <v>2070.12</v>
      </c>
      <c r="BD115" s="494">
        <v>848.92</v>
      </c>
      <c r="BE115" s="494">
        <v>819.73</v>
      </c>
      <c r="BF115" s="494">
        <v>611.5</v>
      </c>
      <c r="BG115" s="494">
        <v>1080.04</v>
      </c>
      <c r="BH115" s="494">
        <v>2671800.0099999998</v>
      </c>
      <c r="BI115" s="494">
        <f t="shared" si="71"/>
        <v>4607.6000000000004</v>
      </c>
      <c r="BJ115" s="494">
        <v>14289.54</v>
      </c>
      <c r="BK115" s="494">
        <v>3389.61</v>
      </c>
      <c r="BL115" s="494">
        <v>5995.76</v>
      </c>
      <c r="BM115" s="494">
        <v>548.62</v>
      </c>
      <c r="BN115" s="495" t="e">
        <f t="shared" si="56"/>
        <v>#DIV/0!</v>
      </c>
      <c r="BO115" s="495" t="e">
        <f t="shared" si="57"/>
        <v>#DIV/0!</v>
      </c>
      <c r="BP115" s="495" t="e">
        <f t="shared" si="58"/>
        <v>#DIV/0!</v>
      </c>
      <c r="BQ115" s="495" t="e">
        <f t="shared" si="59"/>
        <v>#DIV/0!</v>
      </c>
      <c r="BR115" s="495" t="e">
        <f t="shared" si="60"/>
        <v>#DIV/0!</v>
      </c>
      <c r="BS115" s="495" t="e">
        <f t="shared" si="61"/>
        <v>#DIV/0!</v>
      </c>
      <c r="BT115" s="495" t="e">
        <f t="shared" si="62"/>
        <v>#DIV/0!</v>
      </c>
      <c r="BU115" s="495" t="str">
        <f t="shared" si="63"/>
        <v xml:space="preserve"> </v>
      </c>
      <c r="BV115" s="495" t="e">
        <f t="shared" si="64"/>
        <v>#DIV/0!</v>
      </c>
      <c r="BW115" s="495" t="e">
        <f t="shared" si="65"/>
        <v>#DIV/0!</v>
      </c>
      <c r="BX115" s="495" t="e">
        <f t="shared" si="66"/>
        <v>#DIV/0!</v>
      </c>
      <c r="BY115" s="495" t="str">
        <f t="shared" si="67"/>
        <v xml:space="preserve"> </v>
      </c>
    </row>
    <row r="116" spans="1:77" s="28" customFormat="1" ht="9" customHeight="1">
      <c r="A116" s="366">
        <v>100</v>
      </c>
      <c r="B116" s="200" t="s">
        <v>576</v>
      </c>
      <c r="C116" s="465">
        <v>5464.8</v>
      </c>
      <c r="D116" s="308"/>
      <c r="E116" s="141" t="s">
        <v>1005</v>
      </c>
      <c r="F116" s="375">
        <f t="shared" si="75"/>
        <v>0</v>
      </c>
      <c r="G116" s="374">
        <v>5104354</v>
      </c>
      <c r="H116" s="205">
        <v>5104354</v>
      </c>
      <c r="I116" s="368">
        <f t="shared" si="44"/>
        <v>0</v>
      </c>
      <c r="J116" s="205">
        <v>0</v>
      </c>
      <c r="K116" s="465">
        <v>0</v>
      </c>
      <c r="L116" s="205">
        <v>0</v>
      </c>
      <c r="M116" s="465">
        <v>0</v>
      </c>
      <c r="N116" s="205">
        <v>0</v>
      </c>
      <c r="O116" s="249">
        <v>0</v>
      </c>
      <c r="P116" s="368">
        <v>0</v>
      </c>
      <c r="Q116" s="249">
        <v>0</v>
      </c>
      <c r="R116" s="368">
        <v>0</v>
      </c>
      <c r="S116" s="249">
        <v>0</v>
      </c>
      <c r="T116" s="368">
        <v>0</v>
      </c>
      <c r="U116" s="130">
        <v>0</v>
      </c>
      <c r="V116" s="368">
        <v>0</v>
      </c>
      <c r="W116" s="368">
        <v>1531</v>
      </c>
      <c r="X116" s="368">
        <f t="shared" si="73"/>
        <v>4874658.07</v>
      </c>
      <c r="Y116" s="368">
        <v>0</v>
      </c>
      <c r="Z116" s="368">
        <v>0</v>
      </c>
      <c r="AA116" s="368">
        <v>0</v>
      </c>
      <c r="AB116" s="368">
        <v>0</v>
      </c>
      <c r="AC116" s="368">
        <v>0</v>
      </c>
      <c r="AD116" s="368">
        <v>0</v>
      </c>
      <c r="AE116" s="368">
        <v>0</v>
      </c>
      <c r="AF116" s="368">
        <v>0</v>
      </c>
      <c r="AG116" s="368">
        <v>0</v>
      </c>
      <c r="AH116" s="368">
        <v>0</v>
      </c>
      <c r="AI116" s="368">
        <v>0</v>
      </c>
      <c r="AJ116" s="370">
        <f t="shared" si="70"/>
        <v>153130.62</v>
      </c>
      <c r="AK116" s="370">
        <f t="shared" si="72"/>
        <v>76565.31</v>
      </c>
      <c r="AL116" s="370">
        <v>0</v>
      </c>
      <c r="AM116" s="447">
        <f t="shared" si="74"/>
        <v>3334</v>
      </c>
      <c r="AN116" s="227">
        <v>4814.95</v>
      </c>
      <c r="AP116" s="486" t="e">
        <f t="shared" si="42"/>
        <v>#DIV/0!</v>
      </c>
      <c r="AQ116" s="486" t="e">
        <f t="shared" si="46"/>
        <v>#DIV/0!</v>
      </c>
      <c r="AR116" s="486" t="e">
        <f t="shared" si="47"/>
        <v>#DIV/0!</v>
      </c>
      <c r="AS116" s="486" t="e">
        <f t="shared" si="48"/>
        <v>#DIV/0!</v>
      </c>
      <c r="AT116" s="486" t="e">
        <f t="shared" si="49"/>
        <v>#DIV/0!</v>
      </c>
      <c r="AU116" s="486" t="e">
        <f t="shared" si="50"/>
        <v>#DIV/0!</v>
      </c>
      <c r="AV116" s="486" t="e">
        <f t="shared" si="51"/>
        <v>#DIV/0!</v>
      </c>
      <c r="AW116" s="486">
        <f t="shared" si="52"/>
        <v>3183.9700000000003</v>
      </c>
      <c r="AX116" s="486" t="e">
        <f t="shared" si="53"/>
        <v>#DIV/0!</v>
      </c>
      <c r="AY116" s="486" t="e">
        <f t="shared" si="54"/>
        <v>#DIV/0!</v>
      </c>
      <c r="AZ116" s="486" t="e">
        <f t="shared" si="55"/>
        <v>#DIV/0!</v>
      </c>
      <c r="BA116" s="486">
        <f t="shared" si="43"/>
        <v>0</v>
      </c>
      <c r="BB116" s="494">
        <v>5155.41</v>
      </c>
      <c r="BC116" s="494">
        <v>2070.12</v>
      </c>
      <c r="BD116" s="494">
        <v>848.92</v>
      </c>
      <c r="BE116" s="494">
        <v>819.73</v>
      </c>
      <c r="BF116" s="494">
        <v>611.5</v>
      </c>
      <c r="BG116" s="494">
        <v>1080.04</v>
      </c>
      <c r="BH116" s="494">
        <v>2671800.0099999998</v>
      </c>
      <c r="BI116" s="494">
        <f t="shared" si="71"/>
        <v>4607.6000000000004</v>
      </c>
      <c r="BJ116" s="494">
        <v>14289.54</v>
      </c>
      <c r="BK116" s="494">
        <v>3389.61</v>
      </c>
      <c r="BL116" s="494">
        <v>5995.76</v>
      </c>
      <c r="BM116" s="494">
        <v>548.62</v>
      </c>
      <c r="BN116" s="495" t="e">
        <f t="shared" si="56"/>
        <v>#DIV/0!</v>
      </c>
      <c r="BO116" s="495" t="e">
        <f t="shared" si="57"/>
        <v>#DIV/0!</v>
      </c>
      <c r="BP116" s="495" t="e">
        <f t="shared" si="58"/>
        <v>#DIV/0!</v>
      </c>
      <c r="BQ116" s="495" t="e">
        <f t="shared" si="59"/>
        <v>#DIV/0!</v>
      </c>
      <c r="BR116" s="495" t="e">
        <f t="shared" si="60"/>
        <v>#DIV/0!</v>
      </c>
      <c r="BS116" s="495" t="e">
        <f t="shared" si="61"/>
        <v>#DIV/0!</v>
      </c>
      <c r="BT116" s="495" t="e">
        <f t="shared" si="62"/>
        <v>#DIV/0!</v>
      </c>
      <c r="BU116" s="495" t="str">
        <f t="shared" si="63"/>
        <v xml:space="preserve"> </v>
      </c>
      <c r="BV116" s="495" t="e">
        <f t="shared" si="64"/>
        <v>#DIV/0!</v>
      </c>
      <c r="BW116" s="495" t="e">
        <f t="shared" si="65"/>
        <v>#DIV/0!</v>
      </c>
      <c r="BX116" s="495" t="e">
        <f t="shared" si="66"/>
        <v>#DIV/0!</v>
      </c>
      <c r="BY116" s="495" t="str">
        <f t="shared" si="67"/>
        <v xml:space="preserve"> </v>
      </c>
    </row>
    <row r="117" spans="1:77" s="28" customFormat="1" ht="9" customHeight="1">
      <c r="A117" s="366">
        <v>101</v>
      </c>
      <c r="B117" s="200" t="s">
        <v>577</v>
      </c>
      <c r="C117" s="465">
        <v>2024.9</v>
      </c>
      <c r="D117" s="308"/>
      <c r="E117" s="141" t="s">
        <v>1005</v>
      </c>
      <c r="F117" s="375">
        <f t="shared" si="75"/>
        <v>0</v>
      </c>
      <c r="G117" s="374">
        <v>1220244</v>
      </c>
      <c r="H117" s="205">
        <v>1220244</v>
      </c>
      <c r="I117" s="368">
        <f t="shared" si="44"/>
        <v>0</v>
      </c>
      <c r="J117" s="205">
        <v>0</v>
      </c>
      <c r="K117" s="465">
        <v>0</v>
      </c>
      <c r="L117" s="205">
        <v>0</v>
      </c>
      <c r="M117" s="465">
        <v>0</v>
      </c>
      <c r="N117" s="205">
        <v>0</v>
      </c>
      <c r="O117" s="249">
        <v>0</v>
      </c>
      <c r="P117" s="368">
        <v>0</v>
      </c>
      <c r="Q117" s="249">
        <v>0</v>
      </c>
      <c r="R117" s="368">
        <v>0</v>
      </c>
      <c r="S117" s="249">
        <v>0</v>
      </c>
      <c r="T117" s="368">
        <v>0</v>
      </c>
      <c r="U117" s="130">
        <v>0</v>
      </c>
      <c r="V117" s="368">
        <v>0</v>
      </c>
      <c r="W117" s="368">
        <v>366</v>
      </c>
      <c r="X117" s="368">
        <f t="shared" si="73"/>
        <v>1165333.02</v>
      </c>
      <c r="Y117" s="368">
        <v>0</v>
      </c>
      <c r="Z117" s="368">
        <v>0</v>
      </c>
      <c r="AA117" s="368">
        <v>0</v>
      </c>
      <c r="AB117" s="368">
        <v>0</v>
      </c>
      <c r="AC117" s="368">
        <v>0</v>
      </c>
      <c r="AD117" s="368">
        <v>0</v>
      </c>
      <c r="AE117" s="368">
        <v>0</v>
      </c>
      <c r="AF117" s="368">
        <v>0</v>
      </c>
      <c r="AG117" s="368">
        <v>0</v>
      </c>
      <c r="AH117" s="368">
        <v>0</v>
      </c>
      <c r="AI117" s="368">
        <v>0</v>
      </c>
      <c r="AJ117" s="370">
        <f t="shared" si="70"/>
        <v>36607.32</v>
      </c>
      <c r="AK117" s="370">
        <f t="shared" si="72"/>
        <v>18303.66</v>
      </c>
      <c r="AL117" s="370">
        <v>0</v>
      </c>
      <c r="AM117" s="447">
        <f t="shared" si="74"/>
        <v>3334</v>
      </c>
      <c r="AN117" s="227">
        <v>4814.95</v>
      </c>
      <c r="AP117" s="486" t="e">
        <f t="shared" si="42"/>
        <v>#DIV/0!</v>
      </c>
      <c r="AQ117" s="486" t="e">
        <f t="shared" si="46"/>
        <v>#DIV/0!</v>
      </c>
      <c r="AR117" s="486" t="e">
        <f t="shared" si="47"/>
        <v>#DIV/0!</v>
      </c>
      <c r="AS117" s="486" t="e">
        <f t="shared" si="48"/>
        <v>#DIV/0!</v>
      </c>
      <c r="AT117" s="486" t="e">
        <f t="shared" si="49"/>
        <v>#DIV/0!</v>
      </c>
      <c r="AU117" s="486" t="e">
        <f t="shared" si="50"/>
        <v>#DIV/0!</v>
      </c>
      <c r="AV117" s="486" t="e">
        <f t="shared" si="51"/>
        <v>#DIV/0!</v>
      </c>
      <c r="AW117" s="486">
        <f t="shared" si="52"/>
        <v>3183.9700000000003</v>
      </c>
      <c r="AX117" s="486" t="e">
        <f t="shared" si="53"/>
        <v>#DIV/0!</v>
      </c>
      <c r="AY117" s="486" t="e">
        <f t="shared" si="54"/>
        <v>#DIV/0!</v>
      </c>
      <c r="AZ117" s="486" t="e">
        <f t="shared" si="55"/>
        <v>#DIV/0!</v>
      </c>
      <c r="BA117" s="486">
        <f t="shared" si="43"/>
        <v>0</v>
      </c>
      <c r="BB117" s="494">
        <v>5155.41</v>
      </c>
      <c r="BC117" s="494">
        <v>2070.12</v>
      </c>
      <c r="BD117" s="494">
        <v>848.92</v>
      </c>
      <c r="BE117" s="494">
        <v>819.73</v>
      </c>
      <c r="BF117" s="494">
        <v>611.5</v>
      </c>
      <c r="BG117" s="494">
        <v>1080.04</v>
      </c>
      <c r="BH117" s="494">
        <v>2671800.0099999998</v>
      </c>
      <c r="BI117" s="494">
        <f t="shared" si="71"/>
        <v>4607.6000000000004</v>
      </c>
      <c r="BJ117" s="494">
        <v>14289.54</v>
      </c>
      <c r="BK117" s="494">
        <v>3389.61</v>
      </c>
      <c r="BL117" s="494">
        <v>5995.76</v>
      </c>
      <c r="BM117" s="494">
        <v>548.62</v>
      </c>
      <c r="BN117" s="495" t="e">
        <f t="shared" si="56"/>
        <v>#DIV/0!</v>
      </c>
      <c r="BO117" s="495" t="e">
        <f t="shared" si="57"/>
        <v>#DIV/0!</v>
      </c>
      <c r="BP117" s="495" t="e">
        <f t="shared" si="58"/>
        <v>#DIV/0!</v>
      </c>
      <c r="BQ117" s="495" t="e">
        <f t="shared" si="59"/>
        <v>#DIV/0!</v>
      </c>
      <c r="BR117" s="495" t="e">
        <f t="shared" si="60"/>
        <v>#DIV/0!</v>
      </c>
      <c r="BS117" s="495" t="e">
        <f t="shared" si="61"/>
        <v>#DIV/0!</v>
      </c>
      <c r="BT117" s="495" t="e">
        <f t="shared" si="62"/>
        <v>#DIV/0!</v>
      </c>
      <c r="BU117" s="495" t="str">
        <f t="shared" si="63"/>
        <v xml:space="preserve"> </v>
      </c>
      <c r="BV117" s="495" t="e">
        <f t="shared" si="64"/>
        <v>#DIV/0!</v>
      </c>
      <c r="BW117" s="495" t="e">
        <f t="shared" si="65"/>
        <v>#DIV/0!</v>
      </c>
      <c r="BX117" s="495" t="e">
        <f t="shared" si="66"/>
        <v>#DIV/0!</v>
      </c>
      <c r="BY117" s="495" t="str">
        <f t="shared" si="67"/>
        <v xml:space="preserve"> </v>
      </c>
    </row>
    <row r="118" spans="1:77" s="28" customFormat="1" ht="9" customHeight="1">
      <c r="A118" s="366">
        <v>102</v>
      </c>
      <c r="B118" s="200" t="s">
        <v>578</v>
      </c>
      <c r="C118" s="465">
        <v>10031.799999999999</v>
      </c>
      <c r="D118" s="308"/>
      <c r="E118" s="141" t="s">
        <v>1005</v>
      </c>
      <c r="F118" s="375">
        <f t="shared" si="75"/>
        <v>0</v>
      </c>
      <c r="G118" s="374">
        <v>10129025.4</v>
      </c>
      <c r="H118" s="205">
        <v>10129025.4</v>
      </c>
      <c r="I118" s="368">
        <f t="shared" si="44"/>
        <v>0</v>
      </c>
      <c r="J118" s="205">
        <v>0</v>
      </c>
      <c r="K118" s="465">
        <v>0</v>
      </c>
      <c r="L118" s="205">
        <v>0</v>
      </c>
      <c r="M118" s="465">
        <v>0</v>
      </c>
      <c r="N118" s="205">
        <v>0</v>
      </c>
      <c r="O118" s="249">
        <v>0</v>
      </c>
      <c r="P118" s="368">
        <v>0</v>
      </c>
      <c r="Q118" s="249">
        <v>0</v>
      </c>
      <c r="R118" s="368">
        <v>0</v>
      </c>
      <c r="S118" s="249">
        <v>0</v>
      </c>
      <c r="T118" s="368">
        <v>0</v>
      </c>
      <c r="U118" s="130">
        <v>0</v>
      </c>
      <c r="V118" s="368">
        <v>0</v>
      </c>
      <c r="W118" s="368">
        <v>3038.1</v>
      </c>
      <c r="X118" s="368">
        <f t="shared" si="73"/>
        <v>9673219.2599999998</v>
      </c>
      <c r="Y118" s="368">
        <v>0</v>
      </c>
      <c r="Z118" s="368">
        <v>0</v>
      </c>
      <c r="AA118" s="368">
        <v>0</v>
      </c>
      <c r="AB118" s="368">
        <v>0</v>
      </c>
      <c r="AC118" s="368">
        <v>0</v>
      </c>
      <c r="AD118" s="368">
        <v>0</v>
      </c>
      <c r="AE118" s="368">
        <v>0</v>
      </c>
      <c r="AF118" s="368">
        <v>0</v>
      </c>
      <c r="AG118" s="368">
        <v>0</v>
      </c>
      <c r="AH118" s="368">
        <v>0</v>
      </c>
      <c r="AI118" s="368">
        <v>0</v>
      </c>
      <c r="AJ118" s="370">
        <f t="shared" si="70"/>
        <v>303870.76</v>
      </c>
      <c r="AK118" s="370">
        <f t="shared" si="72"/>
        <v>151935.38</v>
      </c>
      <c r="AL118" s="370">
        <v>0</v>
      </c>
      <c r="AM118" s="447">
        <f t="shared" si="74"/>
        <v>3334</v>
      </c>
      <c r="AN118" s="227">
        <v>4814.95</v>
      </c>
      <c r="AP118" s="486" t="e">
        <f t="shared" si="42"/>
        <v>#DIV/0!</v>
      </c>
      <c r="AQ118" s="486" t="e">
        <f t="shared" si="46"/>
        <v>#DIV/0!</v>
      </c>
      <c r="AR118" s="486" t="e">
        <f t="shared" si="47"/>
        <v>#DIV/0!</v>
      </c>
      <c r="AS118" s="486" t="e">
        <f t="shared" si="48"/>
        <v>#DIV/0!</v>
      </c>
      <c r="AT118" s="486" t="e">
        <f t="shared" si="49"/>
        <v>#DIV/0!</v>
      </c>
      <c r="AU118" s="486" t="e">
        <f t="shared" si="50"/>
        <v>#DIV/0!</v>
      </c>
      <c r="AV118" s="486" t="e">
        <f t="shared" si="51"/>
        <v>#DIV/0!</v>
      </c>
      <c r="AW118" s="486">
        <f t="shared" si="52"/>
        <v>3183.9700009874591</v>
      </c>
      <c r="AX118" s="486" t="e">
        <f t="shared" si="53"/>
        <v>#DIV/0!</v>
      </c>
      <c r="AY118" s="486" t="e">
        <f t="shared" si="54"/>
        <v>#DIV/0!</v>
      </c>
      <c r="AZ118" s="486" t="e">
        <f t="shared" si="55"/>
        <v>#DIV/0!</v>
      </c>
      <c r="BA118" s="486">
        <f t="shared" si="43"/>
        <v>0</v>
      </c>
      <c r="BB118" s="494">
        <v>5155.41</v>
      </c>
      <c r="BC118" s="494">
        <v>2070.12</v>
      </c>
      <c r="BD118" s="494">
        <v>848.92</v>
      </c>
      <c r="BE118" s="494">
        <v>819.73</v>
      </c>
      <c r="BF118" s="494">
        <v>611.5</v>
      </c>
      <c r="BG118" s="494">
        <v>1080.04</v>
      </c>
      <c r="BH118" s="494">
        <v>2671800.0099999998</v>
      </c>
      <c r="BI118" s="494">
        <f t="shared" si="71"/>
        <v>4607.6000000000004</v>
      </c>
      <c r="BJ118" s="494">
        <v>14289.54</v>
      </c>
      <c r="BK118" s="494">
        <v>3389.61</v>
      </c>
      <c r="BL118" s="494">
        <v>5995.76</v>
      </c>
      <c r="BM118" s="494">
        <v>548.62</v>
      </c>
      <c r="BN118" s="495" t="e">
        <f t="shared" si="56"/>
        <v>#DIV/0!</v>
      </c>
      <c r="BO118" s="495" t="e">
        <f t="shared" si="57"/>
        <v>#DIV/0!</v>
      </c>
      <c r="BP118" s="495" t="e">
        <f t="shared" si="58"/>
        <v>#DIV/0!</v>
      </c>
      <c r="BQ118" s="495" t="e">
        <f t="shared" si="59"/>
        <v>#DIV/0!</v>
      </c>
      <c r="BR118" s="495" t="e">
        <f t="shared" si="60"/>
        <v>#DIV/0!</v>
      </c>
      <c r="BS118" s="495" t="e">
        <f t="shared" si="61"/>
        <v>#DIV/0!</v>
      </c>
      <c r="BT118" s="495" t="e">
        <f t="shared" si="62"/>
        <v>#DIV/0!</v>
      </c>
      <c r="BU118" s="495" t="str">
        <f t="shared" si="63"/>
        <v xml:space="preserve"> </v>
      </c>
      <c r="BV118" s="495" t="e">
        <f t="shared" si="64"/>
        <v>#DIV/0!</v>
      </c>
      <c r="BW118" s="495" t="e">
        <f t="shared" si="65"/>
        <v>#DIV/0!</v>
      </c>
      <c r="BX118" s="495" t="e">
        <f t="shared" si="66"/>
        <v>#DIV/0!</v>
      </c>
      <c r="BY118" s="495" t="str">
        <f t="shared" si="67"/>
        <v xml:space="preserve"> </v>
      </c>
    </row>
    <row r="119" spans="1:77" s="28" customFormat="1" ht="9" customHeight="1">
      <c r="A119" s="366">
        <v>103</v>
      </c>
      <c r="B119" s="200" t="s">
        <v>579</v>
      </c>
      <c r="C119" s="465">
        <v>5535.1</v>
      </c>
      <c r="D119" s="308"/>
      <c r="E119" s="141" t="s">
        <v>1005</v>
      </c>
      <c r="F119" s="375">
        <f t="shared" si="75"/>
        <v>0</v>
      </c>
      <c r="G119" s="374">
        <v>5144362</v>
      </c>
      <c r="H119" s="205">
        <v>5144362</v>
      </c>
      <c r="I119" s="368">
        <f t="shared" si="44"/>
        <v>0</v>
      </c>
      <c r="J119" s="205">
        <v>0</v>
      </c>
      <c r="K119" s="465">
        <v>0</v>
      </c>
      <c r="L119" s="205">
        <v>0</v>
      </c>
      <c r="M119" s="465">
        <v>0</v>
      </c>
      <c r="N119" s="205">
        <v>0</v>
      </c>
      <c r="O119" s="249">
        <v>0</v>
      </c>
      <c r="P119" s="368">
        <v>0</v>
      </c>
      <c r="Q119" s="249">
        <v>0</v>
      </c>
      <c r="R119" s="368">
        <v>0</v>
      </c>
      <c r="S119" s="249">
        <v>0</v>
      </c>
      <c r="T119" s="368">
        <v>0</v>
      </c>
      <c r="U119" s="130">
        <v>0</v>
      </c>
      <c r="V119" s="368">
        <v>0</v>
      </c>
      <c r="W119" s="368">
        <v>1543</v>
      </c>
      <c r="X119" s="368">
        <f t="shared" si="73"/>
        <v>4912865.71</v>
      </c>
      <c r="Y119" s="368">
        <v>0</v>
      </c>
      <c r="Z119" s="368">
        <v>0</v>
      </c>
      <c r="AA119" s="368">
        <v>0</v>
      </c>
      <c r="AB119" s="368">
        <v>0</v>
      </c>
      <c r="AC119" s="368">
        <v>0</v>
      </c>
      <c r="AD119" s="368">
        <v>0</v>
      </c>
      <c r="AE119" s="368">
        <v>0</v>
      </c>
      <c r="AF119" s="368">
        <v>0</v>
      </c>
      <c r="AG119" s="368">
        <v>0</v>
      </c>
      <c r="AH119" s="368">
        <v>0</v>
      </c>
      <c r="AI119" s="368">
        <v>0</v>
      </c>
      <c r="AJ119" s="370">
        <f t="shared" si="70"/>
        <v>154330.85999999999</v>
      </c>
      <c r="AK119" s="370">
        <f t="shared" si="72"/>
        <v>77165.429999999993</v>
      </c>
      <c r="AL119" s="370">
        <v>0</v>
      </c>
      <c r="AM119" s="447">
        <f t="shared" si="74"/>
        <v>3334</v>
      </c>
      <c r="AN119" s="227">
        <v>4814.95</v>
      </c>
      <c r="AP119" s="486" t="e">
        <f t="shared" si="42"/>
        <v>#DIV/0!</v>
      </c>
      <c r="AQ119" s="486" t="e">
        <f t="shared" si="46"/>
        <v>#DIV/0!</v>
      </c>
      <c r="AR119" s="486" t="e">
        <f t="shared" si="47"/>
        <v>#DIV/0!</v>
      </c>
      <c r="AS119" s="486" t="e">
        <f t="shared" si="48"/>
        <v>#DIV/0!</v>
      </c>
      <c r="AT119" s="486" t="e">
        <f t="shared" si="49"/>
        <v>#DIV/0!</v>
      </c>
      <c r="AU119" s="486" t="e">
        <f t="shared" si="50"/>
        <v>#DIV/0!</v>
      </c>
      <c r="AV119" s="486" t="e">
        <f t="shared" si="51"/>
        <v>#DIV/0!</v>
      </c>
      <c r="AW119" s="486">
        <f t="shared" si="52"/>
        <v>3183.97</v>
      </c>
      <c r="AX119" s="486" t="e">
        <f t="shared" si="53"/>
        <v>#DIV/0!</v>
      </c>
      <c r="AY119" s="486" t="e">
        <f t="shared" si="54"/>
        <v>#DIV/0!</v>
      </c>
      <c r="AZ119" s="486" t="e">
        <f t="shared" si="55"/>
        <v>#DIV/0!</v>
      </c>
      <c r="BA119" s="486">
        <f t="shared" si="43"/>
        <v>0</v>
      </c>
      <c r="BB119" s="494">
        <v>5155.41</v>
      </c>
      <c r="BC119" s="494">
        <v>2070.12</v>
      </c>
      <c r="BD119" s="494">
        <v>848.92</v>
      </c>
      <c r="BE119" s="494">
        <v>819.73</v>
      </c>
      <c r="BF119" s="494">
        <v>611.5</v>
      </c>
      <c r="BG119" s="494">
        <v>1080.04</v>
      </c>
      <c r="BH119" s="494">
        <v>2671800.0099999998</v>
      </c>
      <c r="BI119" s="494">
        <f t="shared" si="71"/>
        <v>4607.6000000000004</v>
      </c>
      <c r="BJ119" s="494">
        <v>14289.54</v>
      </c>
      <c r="BK119" s="494">
        <v>3389.61</v>
      </c>
      <c r="BL119" s="494">
        <v>5995.76</v>
      </c>
      <c r="BM119" s="494">
        <v>548.62</v>
      </c>
      <c r="BN119" s="495" t="e">
        <f t="shared" si="56"/>
        <v>#DIV/0!</v>
      </c>
      <c r="BO119" s="495" t="e">
        <f t="shared" si="57"/>
        <v>#DIV/0!</v>
      </c>
      <c r="BP119" s="495" t="e">
        <f t="shared" si="58"/>
        <v>#DIV/0!</v>
      </c>
      <c r="BQ119" s="495" t="e">
        <f t="shared" si="59"/>
        <v>#DIV/0!</v>
      </c>
      <c r="BR119" s="495" t="e">
        <f t="shared" si="60"/>
        <v>#DIV/0!</v>
      </c>
      <c r="BS119" s="495" t="e">
        <f t="shared" si="61"/>
        <v>#DIV/0!</v>
      </c>
      <c r="BT119" s="495" t="e">
        <f t="shared" si="62"/>
        <v>#DIV/0!</v>
      </c>
      <c r="BU119" s="495" t="str">
        <f t="shared" si="63"/>
        <v xml:space="preserve"> </v>
      </c>
      <c r="BV119" s="495" t="e">
        <f t="shared" si="64"/>
        <v>#DIV/0!</v>
      </c>
      <c r="BW119" s="495" t="e">
        <f t="shared" si="65"/>
        <v>#DIV/0!</v>
      </c>
      <c r="BX119" s="495" t="e">
        <f t="shared" si="66"/>
        <v>#DIV/0!</v>
      </c>
      <c r="BY119" s="495" t="str">
        <f t="shared" si="67"/>
        <v xml:space="preserve"> </v>
      </c>
    </row>
    <row r="120" spans="1:77" s="28" customFormat="1" ht="9" customHeight="1">
      <c r="A120" s="366">
        <v>104</v>
      </c>
      <c r="B120" s="200" t="s">
        <v>580</v>
      </c>
      <c r="C120" s="465">
        <v>3217.9</v>
      </c>
      <c r="D120" s="308"/>
      <c r="E120" s="141" t="s">
        <v>1005</v>
      </c>
      <c r="F120" s="375">
        <f t="shared" si="75"/>
        <v>0</v>
      </c>
      <c r="G120" s="374">
        <v>3090618</v>
      </c>
      <c r="H120" s="205">
        <v>3090618</v>
      </c>
      <c r="I120" s="368">
        <f t="shared" si="44"/>
        <v>0</v>
      </c>
      <c r="J120" s="205">
        <v>0</v>
      </c>
      <c r="K120" s="465">
        <v>0</v>
      </c>
      <c r="L120" s="205">
        <v>0</v>
      </c>
      <c r="M120" s="465">
        <v>0</v>
      </c>
      <c r="N120" s="205">
        <v>0</v>
      </c>
      <c r="O120" s="249">
        <v>0</v>
      </c>
      <c r="P120" s="368">
        <v>0</v>
      </c>
      <c r="Q120" s="249">
        <v>0</v>
      </c>
      <c r="R120" s="368">
        <v>0</v>
      </c>
      <c r="S120" s="249">
        <v>0</v>
      </c>
      <c r="T120" s="368">
        <v>0</v>
      </c>
      <c r="U120" s="130">
        <v>0</v>
      </c>
      <c r="V120" s="368">
        <v>0</v>
      </c>
      <c r="W120" s="368">
        <v>927</v>
      </c>
      <c r="X120" s="368">
        <f t="shared" si="73"/>
        <v>2951540.19</v>
      </c>
      <c r="Y120" s="368">
        <v>0</v>
      </c>
      <c r="Z120" s="368">
        <v>0</v>
      </c>
      <c r="AA120" s="368">
        <v>0</v>
      </c>
      <c r="AB120" s="368">
        <v>0</v>
      </c>
      <c r="AC120" s="368">
        <v>0</v>
      </c>
      <c r="AD120" s="368">
        <v>0</v>
      </c>
      <c r="AE120" s="368">
        <v>0</v>
      </c>
      <c r="AF120" s="368">
        <v>0</v>
      </c>
      <c r="AG120" s="368">
        <v>0</v>
      </c>
      <c r="AH120" s="368">
        <v>0</v>
      </c>
      <c r="AI120" s="368">
        <v>0</v>
      </c>
      <c r="AJ120" s="370">
        <f t="shared" si="70"/>
        <v>92718.54</v>
      </c>
      <c r="AK120" s="370">
        <f t="shared" si="72"/>
        <v>46359.27</v>
      </c>
      <c r="AL120" s="370">
        <v>0</v>
      </c>
      <c r="AM120" s="447">
        <f t="shared" si="74"/>
        <v>3334</v>
      </c>
      <c r="AN120" s="227">
        <v>4814.95</v>
      </c>
      <c r="AP120" s="486" t="e">
        <f t="shared" si="42"/>
        <v>#DIV/0!</v>
      </c>
      <c r="AQ120" s="486" t="e">
        <f t="shared" si="46"/>
        <v>#DIV/0!</v>
      </c>
      <c r="AR120" s="486" t="e">
        <f t="shared" si="47"/>
        <v>#DIV/0!</v>
      </c>
      <c r="AS120" s="486" t="e">
        <f t="shared" si="48"/>
        <v>#DIV/0!</v>
      </c>
      <c r="AT120" s="486" t="e">
        <f t="shared" si="49"/>
        <v>#DIV/0!</v>
      </c>
      <c r="AU120" s="486" t="e">
        <f t="shared" si="50"/>
        <v>#DIV/0!</v>
      </c>
      <c r="AV120" s="486" t="e">
        <f t="shared" si="51"/>
        <v>#DIV/0!</v>
      </c>
      <c r="AW120" s="486">
        <f t="shared" si="52"/>
        <v>3183.97</v>
      </c>
      <c r="AX120" s="486" t="e">
        <f t="shared" si="53"/>
        <v>#DIV/0!</v>
      </c>
      <c r="AY120" s="486" t="e">
        <f t="shared" si="54"/>
        <v>#DIV/0!</v>
      </c>
      <c r="AZ120" s="486" t="e">
        <f t="shared" si="55"/>
        <v>#DIV/0!</v>
      </c>
      <c r="BA120" s="486">
        <f t="shared" si="43"/>
        <v>0</v>
      </c>
      <c r="BB120" s="494">
        <v>5155.41</v>
      </c>
      <c r="BC120" s="494">
        <v>2070.12</v>
      </c>
      <c r="BD120" s="494">
        <v>848.92</v>
      </c>
      <c r="BE120" s="494">
        <v>819.73</v>
      </c>
      <c r="BF120" s="494">
        <v>611.5</v>
      </c>
      <c r="BG120" s="494">
        <v>1080.04</v>
      </c>
      <c r="BH120" s="494">
        <v>2671800.0099999998</v>
      </c>
      <c r="BI120" s="494">
        <f t="shared" si="71"/>
        <v>4607.6000000000004</v>
      </c>
      <c r="BJ120" s="494">
        <v>14289.54</v>
      </c>
      <c r="BK120" s="494">
        <v>3389.61</v>
      </c>
      <c r="BL120" s="494">
        <v>5995.76</v>
      </c>
      <c r="BM120" s="494">
        <v>548.62</v>
      </c>
      <c r="BN120" s="495" t="e">
        <f t="shared" si="56"/>
        <v>#DIV/0!</v>
      </c>
      <c r="BO120" s="495" t="e">
        <f t="shared" si="57"/>
        <v>#DIV/0!</v>
      </c>
      <c r="BP120" s="495" t="e">
        <f t="shared" si="58"/>
        <v>#DIV/0!</v>
      </c>
      <c r="BQ120" s="495" t="e">
        <f t="shared" si="59"/>
        <v>#DIV/0!</v>
      </c>
      <c r="BR120" s="495" t="e">
        <f t="shared" si="60"/>
        <v>#DIV/0!</v>
      </c>
      <c r="BS120" s="495" t="e">
        <f t="shared" si="61"/>
        <v>#DIV/0!</v>
      </c>
      <c r="BT120" s="495" t="e">
        <f t="shared" si="62"/>
        <v>#DIV/0!</v>
      </c>
      <c r="BU120" s="495" t="str">
        <f t="shared" si="63"/>
        <v xml:space="preserve"> </v>
      </c>
      <c r="BV120" s="495" t="e">
        <f t="shared" si="64"/>
        <v>#DIV/0!</v>
      </c>
      <c r="BW120" s="495" t="e">
        <f t="shared" si="65"/>
        <v>#DIV/0!</v>
      </c>
      <c r="BX120" s="495" t="e">
        <f t="shared" si="66"/>
        <v>#DIV/0!</v>
      </c>
      <c r="BY120" s="495" t="str">
        <f t="shared" si="67"/>
        <v xml:space="preserve"> </v>
      </c>
    </row>
    <row r="121" spans="1:77" s="28" customFormat="1" ht="9" customHeight="1">
      <c r="A121" s="366">
        <v>105</v>
      </c>
      <c r="B121" s="200" t="s">
        <v>581</v>
      </c>
      <c r="C121" s="465">
        <v>5718.1</v>
      </c>
      <c r="D121" s="308"/>
      <c r="E121" s="141" t="s">
        <v>1005</v>
      </c>
      <c r="F121" s="375">
        <f t="shared" si="75"/>
        <v>0</v>
      </c>
      <c r="G121" s="374">
        <v>4884310</v>
      </c>
      <c r="H121" s="205">
        <v>4884310</v>
      </c>
      <c r="I121" s="368">
        <f t="shared" si="44"/>
        <v>0</v>
      </c>
      <c r="J121" s="205">
        <v>0</v>
      </c>
      <c r="K121" s="465">
        <v>0</v>
      </c>
      <c r="L121" s="205">
        <v>0</v>
      </c>
      <c r="M121" s="465">
        <v>0</v>
      </c>
      <c r="N121" s="205">
        <v>0</v>
      </c>
      <c r="O121" s="249">
        <v>0</v>
      </c>
      <c r="P121" s="368">
        <v>0</v>
      </c>
      <c r="Q121" s="249">
        <v>0</v>
      </c>
      <c r="R121" s="368">
        <v>0</v>
      </c>
      <c r="S121" s="249">
        <v>0</v>
      </c>
      <c r="T121" s="368">
        <v>0</v>
      </c>
      <c r="U121" s="130">
        <v>0</v>
      </c>
      <c r="V121" s="368">
        <v>0</v>
      </c>
      <c r="W121" s="368">
        <v>1465</v>
      </c>
      <c r="X121" s="368">
        <f t="shared" si="73"/>
        <v>4664516.05</v>
      </c>
      <c r="Y121" s="368">
        <v>0</v>
      </c>
      <c r="Z121" s="368">
        <v>0</v>
      </c>
      <c r="AA121" s="368">
        <v>0</v>
      </c>
      <c r="AB121" s="368">
        <v>0</v>
      </c>
      <c r="AC121" s="368">
        <v>0</v>
      </c>
      <c r="AD121" s="368">
        <v>0</v>
      </c>
      <c r="AE121" s="368">
        <v>0</v>
      </c>
      <c r="AF121" s="368">
        <v>0</v>
      </c>
      <c r="AG121" s="368">
        <v>0</v>
      </c>
      <c r="AH121" s="368">
        <v>0</v>
      </c>
      <c r="AI121" s="368">
        <v>0</v>
      </c>
      <c r="AJ121" s="370">
        <f t="shared" si="70"/>
        <v>146529.29999999999</v>
      </c>
      <c r="AK121" s="370">
        <f>ROUND(X121/95.5*1.5,2)</f>
        <v>73264.649999999994</v>
      </c>
      <c r="AL121" s="370">
        <v>0</v>
      </c>
      <c r="AM121" s="447">
        <f t="shared" si="74"/>
        <v>3334</v>
      </c>
      <c r="AN121" s="227">
        <v>4814.95</v>
      </c>
      <c r="AP121" s="486" t="e">
        <f t="shared" si="42"/>
        <v>#DIV/0!</v>
      </c>
      <c r="AQ121" s="486" t="e">
        <f t="shared" si="46"/>
        <v>#DIV/0!</v>
      </c>
      <c r="AR121" s="486" t="e">
        <f t="shared" si="47"/>
        <v>#DIV/0!</v>
      </c>
      <c r="AS121" s="486" t="e">
        <f t="shared" si="48"/>
        <v>#DIV/0!</v>
      </c>
      <c r="AT121" s="486" t="e">
        <f t="shared" si="49"/>
        <v>#DIV/0!</v>
      </c>
      <c r="AU121" s="486" t="e">
        <f t="shared" si="50"/>
        <v>#DIV/0!</v>
      </c>
      <c r="AV121" s="486" t="e">
        <f t="shared" si="51"/>
        <v>#DIV/0!</v>
      </c>
      <c r="AW121" s="486">
        <f t="shared" si="52"/>
        <v>3183.97</v>
      </c>
      <c r="AX121" s="486" t="e">
        <f t="shared" si="53"/>
        <v>#DIV/0!</v>
      </c>
      <c r="AY121" s="486" t="e">
        <f t="shared" si="54"/>
        <v>#DIV/0!</v>
      </c>
      <c r="AZ121" s="486" t="e">
        <f t="shared" si="55"/>
        <v>#DIV/0!</v>
      </c>
      <c r="BA121" s="486">
        <f t="shared" si="43"/>
        <v>0</v>
      </c>
      <c r="BB121" s="494">
        <v>5155.41</v>
      </c>
      <c r="BC121" s="494">
        <v>2070.12</v>
      </c>
      <c r="BD121" s="494">
        <v>848.92</v>
      </c>
      <c r="BE121" s="494">
        <v>819.73</v>
      </c>
      <c r="BF121" s="494">
        <v>611.5</v>
      </c>
      <c r="BG121" s="494">
        <v>1080.04</v>
      </c>
      <c r="BH121" s="494">
        <v>2671800.0099999998</v>
      </c>
      <c r="BI121" s="494">
        <f t="shared" si="71"/>
        <v>4607.6000000000004</v>
      </c>
      <c r="BJ121" s="494">
        <v>14289.54</v>
      </c>
      <c r="BK121" s="494">
        <v>3389.61</v>
      </c>
      <c r="BL121" s="494">
        <v>5995.76</v>
      </c>
      <c r="BM121" s="494">
        <v>548.62</v>
      </c>
      <c r="BN121" s="495" t="e">
        <f t="shared" si="56"/>
        <v>#DIV/0!</v>
      </c>
      <c r="BO121" s="495" t="e">
        <f t="shared" si="57"/>
        <v>#DIV/0!</v>
      </c>
      <c r="BP121" s="495" t="e">
        <f t="shared" si="58"/>
        <v>#DIV/0!</v>
      </c>
      <c r="BQ121" s="495" t="e">
        <f t="shared" si="59"/>
        <v>#DIV/0!</v>
      </c>
      <c r="BR121" s="495" t="e">
        <f t="shared" si="60"/>
        <v>#DIV/0!</v>
      </c>
      <c r="BS121" s="495" t="e">
        <f t="shared" si="61"/>
        <v>#DIV/0!</v>
      </c>
      <c r="BT121" s="495" t="e">
        <f t="shared" si="62"/>
        <v>#DIV/0!</v>
      </c>
      <c r="BU121" s="495" t="str">
        <f t="shared" si="63"/>
        <v xml:space="preserve"> </v>
      </c>
      <c r="BV121" s="495" t="e">
        <f t="shared" si="64"/>
        <v>#DIV/0!</v>
      </c>
      <c r="BW121" s="495" t="e">
        <f t="shared" si="65"/>
        <v>#DIV/0!</v>
      </c>
      <c r="BX121" s="495" t="e">
        <f t="shared" si="66"/>
        <v>#DIV/0!</v>
      </c>
      <c r="BY121" s="495" t="str">
        <f t="shared" si="67"/>
        <v xml:space="preserve"> </v>
      </c>
    </row>
    <row r="122" spans="1:77" s="28" customFormat="1" ht="9" customHeight="1">
      <c r="A122" s="366">
        <v>106</v>
      </c>
      <c r="B122" s="200" t="s">
        <v>582</v>
      </c>
      <c r="C122" s="465">
        <v>811.3</v>
      </c>
      <c r="D122" s="466"/>
      <c r="E122" s="201"/>
      <c r="F122" s="375">
        <f t="shared" si="75"/>
        <v>0</v>
      </c>
      <c r="G122" s="375">
        <v>1502687.34</v>
      </c>
      <c r="H122" s="205">
        <f>AB122+AJ122+AK122</f>
        <v>1502687.34</v>
      </c>
      <c r="I122" s="368">
        <f t="shared" si="44"/>
        <v>0</v>
      </c>
      <c r="J122" s="205">
        <v>0</v>
      </c>
      <c r="K122" s="465">
        <v>0</v>
      </c>
      <c r="L122" s="205">
        <v>0</v>
      </c>
      <c r="M122" s="465">
        <v>0</v>
      </c>
      <c r="N122" s="205">
        <v>0</v>
      </c>
      <c r="O122" s="249">
        <v>0</v>
      </c>
      <c r="P122" s="368">
        <v>0</v>
      </c>
      <c r="Q122" s="249">
        <v>0</v>
      </c>
      <c r="R122" s="368">
        <v>0</v>
      </c>
      <c r="S122" s="249">
        <v>0</v>
      </c>
      <c r="T122" s="368">
        <v>0</v>
      </c>
      <c r="U122" s="130">
        <v>0</v>
      </c>
      <c r="V122" s="368">
        <v>0</v>
      </c>
      <c r="W122" s="368">
        <v>0</v>
      </c>
      <c r="X122" s="368">
        <v>0</v>
      </c>
      <c r="Y122" s="368">
        <v>0</v>
      </c>
      <c r="Z122" s="368">
        <v>0</v>
      </c>
      <c r="AA122" s="370">
        <v>693</v>
      </c>
      <c r="AB122" s="370">
        <f>ROUND(0.955*AA122*2168.38,2)</f>
        <v>1435066.41</v>
      </c>
      <c r="AC122" s="368">
        <v>0</v>
      </c>
      <c r="AD122" s="368">
        <v>0</v>
      </c>
      <c r="AE122" s="368">
        <v>0</v>
      </c>
      <c r="AF122" s="368">
        <v>0</v>
      </c>
      <c r="AG122" s="368">
        <v>0</v>
      </c>
      <c r="AH122" s="368">
        <v>0</v>
      </c>
      <c r="AI122" s="368">
        <v>0</v>
      </c>
      <c r="AJ122" s="370">
        <f>ROUND(AB122/0.955*0.03,2)</f>
        <v>45080.62</v>
      </c>
      <c r="AK122" s="370">
        <f>ROUND(AB122/0.955*0.015,2)</f>
        <v>22540.31</v>
      </c>
      <c r="AL122" s="370">
        <v>0</v>
      </c>
      <c r="AM122" s="447"/>
      <c r="AN122" s="227"/>
      <c r="AP122" s="486" t="e">
        <f t="shared" si="42"/>
        <v>#DIV/0!</v>
      </c>
      <c r="AQ122" s="486" t="e">
        <f t="shared" si="46"/>
        <v>#DIV/0!</v>
      </c>
      <c r="AR122" s="486" t="e">
        <f t="shared" si="47"/>
        <v>#DIV/0!</v>
      </c>
      <c r="AS122" s="486" t="e">
        <f t="shared" si="48"/>
        <v>#DIV/0!</v>
      </c>
      <c r="AT122" s="486" t="e">
        <f t="shared" si="49"/>
        <v>#DIV/0!</v>
      </c>
      <c r="AU122" s="486" t="e">
        <f t="shared" si="50"/>
        <v>#DIV/0!</v>
      </c>
      <c r="AV122" s="486" t="e">
        <f t="shared" si="51"/>
        <v>#DIV/0!</v>
      </c>
      <c r="AW122" s="486" t="e">
        <f t="shared" si="52"/>
        <v>#DIV/0!</v>
      </c>
      <c r="AX122" s="486" t="e">
        <f t="shared" si="53"/>
        <v>#DIV/0!</v>
      </c>
      <c r="AY122" s="486">
        <f t="shared" si="54"/>
        <v>2070.8029004329005</v>
      </c>
      <c r="AZ122" s="486" t="e">
        <f t="shared" si="55"/>
        <v>#DIV/0!</v>
      </c>
      <c r="BA122" s="486">
        <f t="shared" si="43"/>
        <v>0</v>
      </c>
      <c r="BB122" s="494">
        <v>5155.41</v>
      </c>
      <c r="BC122" s="494">
        <v>2070.12</v>
      </c>
      <c r="BD122" s="494">
        <v>848.92</v>
      </c>
      <c r="BE122" s="494">
        <v>819.73</v>
      </c>
      <c r="BF122" s="494">
        <v>611.5</v>
      </c>
      <c r="BG122" s="494">
        <v>1080.04</v>
      </c>
      <c r="BH122" s="494">
        <v>2671800.0099999998</v>
      </c>
      <c r="BI122" s="494">
        <f t="shared" si="71"/>
        <v>4422.8500000000004</v>
      </c>
      <c r="BJ122" s="494">
        <v>14289.54</v>
      </c>
      <c r="BK122" s="494">
        <v>3389.61</v>
      </c>
      <c r="BL122" s="494">
        <v>5995.76</v>
      </c>
      <c r="BM122" s="494">
        <v>548.62</v>
      </c>
      <c r="BN122" s="495" t="e">
        <f t="shared" si="56"/>
        <v>#DIV/0!</v>
      </c>
      <c r="BO122" s="495" t="e">
        <f t="shared" si="57"/>
        <v>#DIV/0!</v>
      </c>
      <c r="BP122" s="495" t="e">
        <f t="shared" si="58"/>
        <v>#DIV/0!</v>
      </c>
      <c r="BQ122" s="495" t="e">
        <f t="shared" si="59"/>
        <v>#DIV/0!</v>
      </c>
      <c r="BR122" s="495" t="e">
        <f t="shared" si="60"/>
        <v>#DIV/0!</v>
      </c>
      <c r="BS122" s="495" t="e">
        <f t="shared" si="61"/>
        <v>#DIV/0!</v>
      </c>
      <c r="BT122" s="495" t="e">
        <f t="shared" si="62"/>
        <v>#DIV/0!</v>
      </c>
      <c r="BU122" s="495" t="e">
        <f t="shared" si="63"/>
        <v>#DIV/0!</v>
      </c>
      <c r="BV122" s="495" t="e">
        <f t="shared" si="64"/>
        <v>#DIV/0!</v>
      </c>
      <c r="BW122" s="495" t="str">
        <f t="shared" si="65"/>
        <v xml:space="preserve"> </v>
      </c>
      <c r="BX122" s="495" t="e">
        <f t="shared" si="66"/>
        <v>#DIV/0!</v>
      </c>
      <c r="BY122" s="495" t="str">
        <f t="shared" si="67"/>
        <v xml:space="preserve"> </v>
      </c>
    </row>
    <row r="123" spans="1:77" s="28" customFormat="1" ht="9" customHeight="1">
      <c r="A123" s="366">
        <v>107</v>
      </c>
      <c r="B123" s="200" t="s">
        <v>583</v>
      </c>
      <c r="C123" s="465">
        <v>2638.9</v>
      </c>
      <c r="D123" s="308"/>
      <c r="E123" s="141" t="s">
        <v>1005</v>
      </c>
      <c r="F123" s="375">
        <f t="shared" si="75"/>
        <v>0</v>
      </c>
      <c r="G123" s="374">
        <v>2513836</v>
      </c>
      <c r="H123" s="205">
        <v>2513836</v>
      </c>
      <c r="I123" s="368">
        <f t="shared" si="44"/>
        <v>0</v>
      </c>
      <c r="J123" s="205">
        <v>0</v>
      </c>
      <c r="K123" s="465">
        <v>0</v>
      </c>
      <c r="L123" s="205">
        <v>0</v>
      </c>
      <c r="M123" s="465">
        <v>0</v>
      </c>
      <c r="N123" s="205">
        <v>0</v>
      </c>
      <c r="O123" s="249">
        <v>0</v>
      </c>
      <c r="P123" s="368">
        <v>0</v>
      </c>
      <c r="Q123" s="249">
        <v>0</v>
      </c>
      <c r="R123" s="368">
        <v>0</v>
      </c>
      <c r="S123" s="249">
        <v>0</v>
      </c>
      <c r="T123" s="368">
        <v>0</v>
      </c>
      <c r="U123" s="130">
        <v>0</v>
      </c>
      <c r="V123" s="368">
        <v>0</v>
      </c>
      <c r="W123" s="368">
        <v>754</v>
      </c>
      <c r="X123" s="368">
        <f>ROUND(H123/100*95.5,2)</f>
        <v>2400713.38</v>
      </c>
      <c r="Y123" s="368">
        <v>0</v>
      </c>
      <c r="Z123" s="368">
        <v>0</v>
      </c>
      <c r="AA123" s="368">
        <v>0</v>
      </c>
      <c r="AB123" s="368">
        <v>0</v>
      </c>
      <c r="AC123" s="368">
        <v>0</v>
      </c>
      <c r="AD123" s="368">
        <v>0</v>
      </c>
      <c r="AE123" s="368">
        <v>0</v>
      </c>
      <c r="AF123" s="368">
        <v>0</v>
      </c>
      <c r="AG123" s="368">
        <v>0</v>
      </c>
      <c r="AH123" s="368">
        <v>0</v>
      </c>
      <c r="AI123" s="368">
        <v>0</v>
      </c>
      <c r="AJ123" s="370">
        <f t="shared" si="70"/>
        <v>75415.08</v>
      </c>
      <c r="AK123" s="370">
        <f>ROUND(X123/95.5*1.5,2)</f>
        <v>37707.54</v>
      </c>
      <c r="AL123" s="370">
        <v>0</v>
      </c>
      <c r="AM123" s="447">
        <f>H123/W123</f>
        <v>3334</v>
      </c>
      <c r="AN123" s="227">
        <v>4814.95</v>
      </c>
      <c r="AP123" s="486" t="e">
        <f t="shared" si="42"/>
        <v>#DIV/0!</v>
      </c>
      <c r="AQ123" s="486" t="e">
        <f t="shared" si="46"/>
        <v>#DIV/0!</v>
      </c>
      <c r="AR123" s="486" t="e">
        <f t="shared" si="47"/>
        <v>#DIV/0!</v>
      </c>
      <c r="AS123" s="486" t="e">
        <f t="shared" si="48"/>
        <v>#DIV/0!</v>
      </c>
      <c r="AT123" s="486" t="e">
        <f t="shared" si="49"/>
        <v>#DIV/0!</v>
      </c>
      <c r="AU123" s="486" t="e">
        <f t="shared" si="50"/>
        <v>#DIV/0!</v>
      </c>
      <c r="AV123" s="486" t="e">
        <f t="shared" si="51"/>
        <v>#DIV/0!</v>
      </c>
      <c r="AW123" s="486">
        <f t="shared" si="52"/>
        <v>3183.97</v>
      </c>
      <c r="AX123" s="486" t="e">
        <f t="shared" si="53"/>
        <v>#DIV/0!</v>
      </c>
      <c r="AY123" s="486" t="e">
        <f t="shared" si="54"/>
        <v>#DIV/0!</v>
      </c>
      <c r="AZ123" s="486" t="e">
        <f t="shared" si="55"/>
        <v>#DIV/0!</v>
      </c>
      <c r="BA123" s="486">
        <f t="shared" si="43"/>
        <v>0</v>
      </c>
      <c r="BB123" s="494">
        <v>5155.41</v>
      </c>
      <c r="BC123" s="494">
        <v>2070.12</v>
      </c>
      <c r="BD123" s="494">
        <v>848.92</v>
      </c>
      <c r="BE123" s="494">
        <v>819.73</v>
      </c>
      <c r="BF123" s="494">
        <v>611.5</v>
      </c>
      <c r="BG123" s="494">
        <v>1080.04</v>
      </c>
      <c r="BH123" s="494">
        <v>2671800.0099999998</v>
      </c>
      <c r="BI123" s="494">
        <f t="shared" si="71"/>
        <v>4607.6000000000004</v>
      </c>
      <c r="BJ123" s="494">
        <v>14289.54</v>
      </c>
      <c r="BK123" s="494">
        <v>3389.61</v>
      </c>
      <c r="BL123" s="494">
        <v>5995.76</v>
      </c>
      <c r="BM123" s="494">
        <v>548.62</v>
      </c>
      <c r="BN123" s="495" t="e">
        <f t="shared" si="56"/>
        <v>#DIV/0!</v>
      </c>
      <c r="BO123" s="495" t="e">
        <f t="shared" si="57"/>
        <v>#DIV/0!</v>
      </c>
      <c r="BP123" s="495" t="e">
        <f t="shared" si="58"/>
        <v>#DIV/0!</v>
      </c>
      <c r="BQ123" s="495" t="e">
        <f t="shared" si="59"/>
        <v>#DIV/0!</v>
      </c>
      <c r="BR123" s="495" t="e">
        <f t="shared" si="60"/>
        <v>#DIV/0!</v>
      </c>
      <c r="BS123" s="495" t="e">
        <f t="shared" si="61"/>
        <v>#DIV/0!</v>
      </c>
      <c r="BT123" s="495" t="e">
        <f t="shared" si="62"/>
        <v>#DIV/0!</v>
      </c>
      <c r="BU123" s="495" t="str">
        <f t="shared" si="63"/>
        <v xml:space="preserve"> </v>
      </c>
      <c r="BV123" s="495" t="e">
        <f t="shared" si="64"/>
        <v>#DIV/0!</v>
      </c>
      <c r="BW123" s="495" t="e">
        <f t="shared" si="65"/>
        <v>#DIV/0!</v>
      </c>
      <c r="BX123" s="495" t="e">
        <f t="shared" si="66"/>
        <v>#DIV/0!</v>
      </c>
      <c r="BY123" s="495" t="str">
        <f t="shared" si="67"/>
        <v xml:space="preserve"> </v>
      </c>
    </row>
    <row r="124" spans="1:77" s="28" customFormat="1" ht="9" customHeight="1">
      <c r="A124" s="366">
        <v>108</v>
      </c>
      <c r="B124" s="200" t="s">
        <v>584</v>
      </c>
      <c r="C124" s="465">
        <v>5639.6</v>
      </c>
      <c r="D124" s="308"/>
      <c r="E124" s="141" t="s">
        <v>1005</v>
      </c>
      <c r="F124" s="375">
        <f t="shared" si="75"/>
        <v>0</v>
      </c>
      <c r="G124" s="374">
        <v>5541108</v>
      </c>
      <c r="H124" s="205">
        <v>5541108</v>
      </c>
      <c r="I124" s="368">
        <f t="shared" si="44"/>
        <v>0</v>
      </c>
      <c r="J124" s="205">
        <v>0</v>
      </c>
      <c r="K124" s="465">
        <v>0</v>
      </c>
      <c r="L124" s="205">
        <v>0</v>
      </c>
      <c r="M124" s="465">
        <v>0</v>
      </c>
      <c r="N124" s="205">
        <v>0</v>
      </c>
      <c r="O124" s="249">
        <v>0</v>
      </c>
      <c r="P124" s="368">
        <v>0</v>
      </c>
      <c r="Q124" s="249">
        <v>0</v>
      </c>
      <c r="R124" s="368">
        <v>0</v>
      </c>
      <c r="S124" s="249">
        <v>0</v>
      </c>
      <c r="T124" s="368">
        <v>0</v>
      </c>
      <c r="U124" s="130">
        <v>0</v>
      </c>
      <c r="V124" s="368">
        <v>0</v>
      </c>
      <c r="W124" s="368">
        <v>1662</v>
      </c>
      <c r="X124" s="368">
        <f>ROUND(H124/100*95.5,2)</f>
        <v>5291758.1399999997</v>
      </c>
      <c r="Y124" s="368">
        <v>0</v>
      </c>
      <c r="Z124" s="368">
        <v>0</v>
      </c>
      <c r="AA124" s="368">
        <v>0</v>
      </c>
      <c r="AB124" s="368">
        <v>0</v>
      </c>
      <c r="AC124" s="368">
        <v>0</v>
      </c>
      <c r="AD124" s="368">
        <v>0</v>
      </c>
      <c r="AE124" s="368">
        <v>0</v>
      </c>
      <c r="AF124" s="368">
        <v>0</v>
      </c>
      <c r="AG124" s="368">
        <v>0</v>
      </c>
      <c r="AH124" s="368">
        <v>0</v>
      </c>
      <c r="AI124" s="368">
        <v>0</v>
      </c>
      <c r="AJ124" s="370">
        <f t="shared" si="70"/>
        <v>166233.24</v>
      </c>
      <c r="AK124" s="370">
        <f>ROUND(X124/95.5*1.5,2)</f>
        <v>83116.62</v>
      </c>
      <c r="AL124" s="370">
        <v>0</v>
      </c>
      <c r="AM124" s="447">
        <f>H124/W124</f>
        <v>3334</v>
      </c>
      <c r="AN124" s="227">
        <v>4814.95</v>
      </c>
      <c r="AP124" s="486" t="e">
        <f t="shared" si="42"/>
        <v>#DIV/0!</v>
      </c>
      <c r="AQ124" s="486" t="e">
        <f t="shared" si="46"/>
        <v>#DIV/0!</v>
      </c>
      <c r="AR124" s="486" t="e">
        <f t="shared" si="47"/>
        <v>#DIV/0!</v>
      </c>
      <c r="AS124" s="486" t="e">
        <f t="shared" si="48"/>
        <v>#DIV/0!</v>
      </c>
      <c r="AT124" s="486" t="e">
        <f t="shared" si="49"/>
        <v>#DIV/0!</v>
      </c>
      <c r="AU124" s="486" t="e">
        <f t="shared" si="50"/>
        <v>#DIV/0!</v>
      </c>
      <c r="AV124" s="486" t="e">
        <f t="shared" si="51"/>
        <v>#DIV/0!</v>
      </c>
      <c r="AW124" s="486">
        <f t="shared" si="52"/>
        <v>3183.97</v>
      </c>
      <c r="AX124" s="486" t="e">
        <f t="shared" si="53"/>
        <v>#DIV/0!</v>
      </c>
      <c r="AY124" s="486" t="e">
        <f t="shared" si="54"/>
        <v>#DIV/0!</v>
      </c>
      <c r="AZ124" s="486" t="e">
        <f t="shared" si="55"/>
        <v>#DIV/0!</v>
      </c>
      <c r="BA124" s="486">
        <f t="shared" si="43"/>
        <v>0</v>
      </c>
      <c r="BB124" s="494">
        <v>5155.41</v>
      </c>
      <c r="BC124" s="494">
        <v>2070.12</v>
      </c>
      <c r="BD124" s="494">
        <v>848.92</v>
      </c>
      <c r="BE124" s="494">
        <v>819.73</v>
      </c>
      <c r="BF124" s="494">
        <v>611.5</v>
      </c>
      <c r="BG124" s="494">
        <v>1080.04</v>
      </c>
      <c r="BH124" s="494">
        <v>2671800.0099999998</v>
      </c>
      <c r="BI124" s="494">
        <f t="shared" si="71"/>
        <v>4607.6000000000004</v>
      </c>
      <c r="BJ124" s="494">
        <v>14289.54</v>
      </c>
      <c r="BK124" s="494">
        <v>3389.61</v>
      </c>
      <c r="BL124" s="494">
        <v>5995.76</v>
      </c>
      <c r="BM124" s="494">
        <v>548.62</v>
      </c>
      <c r="BN124" s="495" t="e">
        <f t="shared" si="56"/>
        <v>#DIV/0!</v>
      </c>
      <c r="BO124" s="495" t="e">
        <f t="shared" si="57"/>
        <v>#DIV/0!</v>
      </c>
      <c r="BP124" s="495" t="e">
        <f t="shared" si="58"/>
        <v>#DIV/0!</v>
      </c>
      <c r="BQ124" s="495" t="e">
        <f t="shared" si="59"/>
        <v>#DIV/0!</v>
      </c>
      <c r="BR124" s="495" t="e">
        <f t="shared" si="60"/>
        <v>#DIV/0!</v>
      </c>
      <c r="BS124" s="495" t="e">
        <f t="shared" si="61"/>
        <v>#DIV/0!</v>
      </c>
      <c r="BT124" s="495" t="e">
        <f t="shared" si="62"/>
        <v>#DIV/0!</v>
      </c>
      <c r="BU124" s="495" t="str">
        <f t="shared" si="63"/>
        <v xml:space="preserve"> </v>
      </c>
      <c r="BV124" s="495" t="e">
        <f t="shared" si="64"/>
        <v>#DIV/0!</v>
      </c>
      <c r="BW124" s="495" t="e">
        <f t="shared" si="65"/>
        <v>#DIV/0!</v>
      </c>
      <c r="BX124" s="495" t="e">
        <f t="shared" si="66"/>
        <v>#DIV/0!</v>
      </c>
      <c r="BY124" s="495" t="str">
        <f t="shared" si="67"/>
        <v xml:space="preserve"> </v>
      </c>
    </row>
    <row r="125" spans="1:77" s="28" customFormat="1" ht="9" customHeight="1">
      <c r="A125" s="366">
        <v>109</v>
      </c>
      <c r="B125" s="200" t="s">
        <v>585</v>
      </c>
      <c r="C125" s="465">
        <v>616</v>
      </c>
      <c r="D125" s="466"/>
      <c r="E125" s="201"/>
      <c r="F125" s="375">
        <f t="shared" si="75"/>
        <v>0</v>
      </c>
      <c r="G125" s="375">
        <v>1617591.36</v>
      </c>
      <c r="H125" s="205">
        <f>I125+AJ125+AK125+AI125</f>
        <v>1617591.36</v>
      </c>
      <c r="I125" s="368">
        <f t="shared" si="44"/>
        <v>1354838.26</v>
      </c>
      <c r="J125" s="205">
        <f>ROUND(0.955*(C125*370),2)</f>
        <v>217663.6</v>
      </c>
      <c r="K125" s="465">
        <v>0</v>
      </c>
      <c r="L125" s="205">
        <f>ROUND(0.955*(C125*1200)+0.01,2)</f>
        <v>705936.01</v>
      </c>
      <c r="M125" s="465">
        <v>0</v>
      </c>
      <c r="N125" s="205">
        <f>ROUND(0.955*(C125*303.05),2)</f>
        <v>178278.25</v>
      </c>
      <c r="O125" s="249">
        <v>0</v>
      </c>
      <c r="P125" s="368">
        <f>ROUND(0.955*(C125*210),2)</f>
        <v>123538.8</v>
      </c>
      <c r="Q125" s="249">
        <v>0</v>
      </c>
      <c r="R125" s="368">
        <v>0</v>
      </c>
      <c r="S125" s="249">
        <v>0</v>
      </c>
      <c r="T125" s="368">
        <f>ROUND(0.955*(C125*220),2)</f>
        <v>129421.6</v>
      </c>
      <c r="U125" s="130">
        <v>0</v>
      </c>
      <c r="V125" s="368">
        <v>0</v>
      </c>
      <c r="W125" s="368">
        <v>0</v>
      </c>
      <c r="X125" s="368">
        <v>0</v>
      </c>
      <c r="Y125" s="368">
        <v>0</v>
      </c>
      <c r="Z125" s="368">
        <v>0</v>
      </c>
      <c r="AA125" s="368">
        <v>0</v>
      </c>
      <c r="AB125" s="368">
        <v>0</v>
      </c>
      <c r="AC125" s="368">
        <v>0</v>
      </c>
      <c r="AD125" s="368">
        <v>0</v>
      </c>
      <c r="AE125" s="368">
        <v>0</v>
      </c>
      <c r="AF125" s="368">
        <v>0</v>
      </c>
      <c r="AG125" s="368">
        <v>0</v>
      </c>
      <c r="AH125" s="368">
        <v>0</v>
      </c>
      <c r="AI125" s="368">
        <f>ROUND(0.955*C125*322.91,2)</f>
        <v>189961.49</v>
      </c>
      <c r="AJ125" s="370">
        <f>ROUND(0.03*(210+220+1200+370+303.05+322.91)*C125,2)</f>
        <v>48527.74</v>
      </c>
      <c r="AK125" s="370">
        <f>ROUND(0.015*(210+220+1200+370+303.05+322.91)*C125,2)</f>
        <v>24263.87</v>
      </c>
      <c r="AL125" s="370">
        <v>0</v>
      </c>
      <c r="AM125" s="447"/>
      <c r="AN125" s="227"/>
      <c r="AP125" s="486" t="e">
        <f t="shared" si="42"/>
        <v>#DIV/0!</v>
      </c>
      <c r="AQ125" s="486" t="e">
        <f t="shared" si="46"/>
        <v>#DIV/0!</v>
      </c>
      <c r="AR125" s="486" t="e">
        <f t="shared" si="47"/>
        <v>#DIV/0!</v>
      </c>
      <c r="AS125" s="486" t="e">
        <f t="shared" si="48"/>
        <v>#DIV/0!</v>
      </c>
      <c r="AT125" s="486" t="e">
        <f t="shared" si="49"/>
        <v>#DIV/0!</v>
      </c>
      <c r="AU125" s="486" t="e">
        <f t="shared" si="50"/>
        <v>#DIV/0!</v>
      </c>
      <c r="AV125" s="486" t="e">
        <f t="shared" si="51"/>
        <v>#DIV/0!</v>
      </c>
      <c r="AW125" s="486" t="e">
        <f t="shared" si="52"/>
        <v>#DIV/0!</v>
      </c>
      <c r="AX125" s="486" t="e">
        <f t="shared" si="53"/>
        <v>#DIV/0!</v>
      </c>
      <c r="AY125" s="486" t="e">
        <f t="shared" si="54"/>
        <v>#DIV/0!</v>
      </c>
      <c r="AZ125" s="486" t="e">
        <f t="shared" si="55"/>
        <v>#DIV/0!</v>
      </c>
      <c r="BA125" s="486">
        <f t="shared" si="43"/>
        <v>308.37904220779217</v>
      </c>
      <c r="BB125" s="494">
        <v>5155.41</v>
      </c>
      <c r="BC125" s="494">
        <v>2070.12</v>
      </c>
      <c r="BD125" s="494">
        <v>848.92</v>
      </c>
      <c r="BE125" s="494">
        <v>819.73</v>
      </c>
      <c r="BF125" s="494">
        <v>611.5</v>
      </c>
      <c r="BG125" s="494">
        <v>1080.04</v>
      </c>
      <c r="BH125" s="494">
        <v>2671800.0099999998</v>
      </c>
      <c r="BI125" s="494">
        <f t="shared" si="71"/>
        <v>4422.8500000000004</v>
      </c>
      <c r="BJ125" s="494">
        <v>14289.54</v>
      </c>
      <c r="BK125" s="494">
        <v>3389.61</v>
      </c>
      <c r="BL125" s="494">
        <v>5995.76</v>
      </c>
      <c r="BM125" s="494">
        <v>548.62</v>
      </c>
      <c r="BN125" s="495" t="e">
        <f t="shared" si="56"/>
        <v>#DIV/0!</v>
      </c>
      <c r="BO125" s="495" t="e">
        <f t="shared" si="57"/>
        <v>#DIV/0!</v>
      </c>
      <c r="BP125" s="495" t="e">
        <f t="shared" si="58"/>
        <v>#DIV/0!</v>
      </c>
      <c r="BQ125" s="495" t="e">
        <f t="shared" si="59"/>
        <v>#DIV/0!</v>
      </c>
      <c r="BR125" s="495" t="e">
        <f t="shared" si="60"/>
        <v>#DIV/0!</v>
      </c>
      <c r="BS125" s="495" t="e">
        <f t="shared" si="61"/>
        <v>#DIV/0!</v>
      </c>
      <c r="BT125" s="495" t="e">
        <f t="shared" si="62"/>
        <v>#DIV/0!</v>
      </c>
      <c r="BU125" s="495" t="e">
        <f t="shared" si="63"/>
        <v>#DIV/0!</v>
      </c>
      <c r="BV125" s="495" t="e">
        <f t="shared" si="64"/>
        <v>#DIV/0!</v>
      </c>
      <c r="BW125" s="495" t="e">
        <f t="shared" si="65"/>
        <v>#DIV/0!</v>
      </c>
      <c r="BX125" s="495" t="e">
        <f t="shared" si="66"/>
        <v>#DIV/0!</v>
      </c>
      <c r="BY125" s="495" t="str">
        <f t="shared" si="67"/>
        <v xml:space="preserve"> </v>
      </c>
    </row>
    <row r="126" spans="1:77" s="28" customFormat="1" ht="9" customHeight="1">
      <c r="A126" s="366">
        <v>110</v>
      </c>
      <c r="B126" s="200" t="s">
        <v>586</v>
      </c>
      <c r="C126" s="465">
        <v>3661</v>
      </c>
      <c r="D126" s="466"/>
      <c r="E126" s="201"/>
      <c r="F126" s="375">
        <f t="shared" si="75"/>
        <v>0</v>
      </c>
      <c r="G126" s="375">
        <v>9613639.5600000005</v>
      </c>
      <c r="H126" s="205">
        <f>I126+AJ126+AK126+AI126</f>
        <v>9613639.5599999987</v>
      </c>
      <c r="I126" s="368">
        <f t="shared" si="44"/>
        <v>8052050.0799999991</v>
      </c>
      <c r="J126" s="205">
        <f>ROUND(0.955*(C126*370),2)</f>
        <v>1293614.3500000001</v>
      </c>
      <c r="K126" s="465">
        <v>0</v>
      </c>
      <c r="L126" s="205">
        <f>ROUND(0.955*(C126*1200),2)</f>
        <v>4195506</v>
      </c>
      <c r="M126" s="465">
        <v>0</v>
      </c>
      <c r="N126" s="205">
        <f>ROUND(0.955*(C126*303.05),2)</f>
        <v>1059540.08</v>
      </c>
      <c r="O126" s="249">
        <v>0</v>
      </c>
      <c r="P126" s="368">
        <f>ROUND(0.955*(C126*210),2)</f>
        <v>734213.55</v>
      </c>
      <c r="Q126" s="249">
        <v>0</v>
      </c>
      <c r="R126" s="368">
        <v>0</v>
      </c>
      <c r="S126" s="249">
        <v>0</v>
      </c>
      <c r="T126" s="368">
        <f>ROUND(0.955*(C126*220),2)</f>
        <v>769176.1</v>
      </c>
      <c r="U126" s="130">
        <v>0</v>
      </c>
      <c r="V126" s="368">
        <v>0</v>
      </c>
      <c r="W126" s="368">
        <v>0</v>
      </c>
      <c r="X126" s="368">
        <v>0</v>
      </c>
      <c r="Y126" s="368">
        <v>0</v>
      </c>
      <c r="Z126" s="368">
        <v>0</v>
      </c>
      <c r="AA126" s="368">
        <v>0</v>
      </c>
      <c r="AB126" s="368">
        <v>0</v>
      </c>
      <c r="AC126" s="368">
        <v>0</v>
      </c>
      <c r="AD126" s="368">
        <v>0</v>
      </c>
      <c r="AE126" s="368">
        <v>0</v>
      </c>
      <c r="AF126" s="368">
        <v>0</v>
      </c>
      <c r="AG126" s="368">
        <v>0</v>
      </c>
      <c r="AH126" s="368">
        <v>0</v>
      </c>
      <c r="AI126" s="368">
        <f>ROUND(0.955*C126*322.91,2)</f>
        <v>1128975.7</v>
      </c>
      <c r="AJ126" s="370">
        <f>ROUND(0.03*(210+220+1200+370+303.05+322.91)*C126,2)</f>
        <v>288409.19</v>
      </c>
      <c r="AK126" s="370">
        <f>ROUND(0.015*(210+220+1200+370+303.05+322.91)*C126,2)</f>
        <v>144204.59</v>
      </c>
      <c r="AL126" s="370">
        <v>0</v>
      </c>
      <c r="AM126" s="447"/>
      <c r="AN126" s="227"/>
      <c r="AP126" s="486" t="e">
        <f t="shared" si="42"/>
        <v>#DIV/0!</v>
      </c>
      <c r="AQ126" s="486" t="e">
        <f t="shared" si="46"/>
        <v>#DIV/0!</v>
      </c>
      <c r="AR126" s="486" t="e">
        <f t="shared" si="47"/>
        <v>#DIV/0!</v>
      </c>
      <c r="AS126" s="486" t="e">
        <f t="shared" si="48"/>
        <v>#DIV/0!</v>
      </c>
      <c r="AT126" s="486" t="e">
        <f t="shared" si="49"/>
        <v>#DIV/0!</v>
      </c>
      <c r="AU126" s="486" t="e">
        <f t="shared" si="50"/>
        <v>#DIV/0!</v>
      </c>
      <c r="AV126" s="486" t="e">
        <f t="shared" si="51"/>
        <v>#DIV/0!</v>
      </c>
      <c r="AW126" s="486" t="e">
        <f t="shared" si="52"/>
        <v>#DIV/0!</v>
      </c>
      <c r="AX126" s="486" t="e">
        <f t="shared" si="53"/>
        <v>#DIV/0!</v>
      </c>
      <c r="AY126" s="486" t="e">
        <f t="shared" si="54"/>
        <v>#DIV/0!</v>
      </c>
      <c r="AZ126" s="486" t="e">
        <f t="shared" si="55"/>
        <v>#DIV/0!</v>
      </c>
      <c r="BA126" s="486">
        <f t="shared" si="43"/>
        <v>308.37904944004367</v>
      </c>
      <c r="BB126" s="494">
        <v>5155.41</v>
      </c>
      <c r="BC126" s="494">
        <v>2070.12</v>
      </c>
      <c r="BD126" s="494">
        <v>848.92</v>
      </c>
      <c r="BE126" s="494">
        <v>819.73</v>
      </c>
      <c r="BF126" s="494">
        <v>611.5</v>
      </c>
      <c r="BG126" s="494">
        <v>1080.04</v>
      </c>
      <c r="BH126" s="494">
        <v>2671800.0099999998</v>
      </c>
      <c r="BI126" s="494">
        <f t="shared" si="71"/>
        <v>4422.8500000000004</v>
      </c>
      <c r="BJ126" s="494">
        <v>14289.54</v>
      </c>
      <c r="BK126" s="494">
        <v>3389.61</v>
      </c>
      <c r="BL126" s="494">
        <v>5995.76</v>
      </c>
      <c r="BM126" s="494">
        <v>548.62</v>
      </c>
      <c r="BN126" s="495" t="e">
        <f t="shared" si="56"/>
        <v>#DIV/0!</v>
      </c>
      <c r="BO126" s="495" t="e">
        <f t="shared" si="57"/>
        <v>#DIV/0!</v>
      </c>
      <c r="BP126" s="495" t="e">
        <f t="shared" si="58"/>
        <v>#DIV/0!</v>
      </c>
      <c r="BQ126" s="495" t="e">
        <f t="shared" si="59"/>
        <v>#DIV/0!</v>
      </c>
      <c r="BR126" s="495" t="e">
        <f t="shared" si="60"/>
        <v>#DIV/0!</v>
      </c>
      <c r="BS126" s="495" t="e">
        <f t="shared" si="61"/>
        <v>#DIV/0!</v>
      </c>
      <c r="BT126" s="495" t="e">
        <f t="shared" si="62"/>
        <v>#DIV/0!</v>
      </c>
      <c r="BU126" s="495" t="e">
        <f t="shared" si="63"/>
        <v>#DIV/0!</v>
      </c>
      <c r="BV126" s="495" t="e">
        <f t="shared" si="64"/>
        <v>#DIV/0!</v>
      </c>
      <c r="BW126" s="495" t="e">
        <f t="shared" si="65"/>
        <v>#DIV/0!</v>
      </c>
      <c r="BX126" s="495" t="e">
        <f t="shared" si="66"/>
        <v>#DIV/0!</v>
      </c>
      <c r="BY126" s="495" t="str">
        <f t="shared" si="67"/>
        <v xml:space="preserve"> </v>
      </c>
    </row>
    <row r="127" spans="1:77" s="28" customFormat="1" ht="9" customHeight="1">
      <c r="A127" s="366">
        <v>111</v>
      </c>
      <c r="B127" s="200" t="s">
        <v>587</v>
      </c>
      <c r="C127" s="465">
        <v>1621.5</v>
      </c>
      <c r="D127" s="308"/>
      <c r="E127" s="141" t="s">
        <v>1005</v>
      </c>
      <c r="F127" s="375">
        <f t="shared" si="75"/>
        <v>0</v>
      </c>
      <c r="G127" s="374">
        <v>3712632</v>
      </c>
      <c r="H127" s="205">
        <v>3712632</v>
      </c>
      <c r="I127" s="368">
        <f t="shared" si="44"/>
        <v>0</v>
      </c>
      <c r="J127" s="205">
        <v>0</v>
      </c>
      <c r="K127" s="465">
        <v>0</v>
      </c>
      <c r="L127" s="205">
        <v>0</v>
      </c>
      <c r="M127" s="465">
        <v>0</v>
      </c>
      <c r="N127" s="205">
        <v>0</v>
      </c>
      <c r="O127" s="249">
        <v>0</v>
      </c>
      <c r="P127" s="368">
        <v>0</v>
      </c>
      <c r="Q127" s="249">
        <v>0</v>
      </c>
      <c r="R127" s="368">
        <v>0</v>
      </c>
      <c r="S127" s="249">
        <v>0</v>
      </c>
      <c r="T127" s="368">
        <v>0</v>
      </c>
      <c r="U127" s="130">
        <v>0</v>
      </c>
      <c r="V127" s="368">
        <v>0</v>
      </c>
      <c r="W127" s="368">
        <v>1148</v>
      </c>
      <c r="X127" s="368">
        <f>ROUND(H127/100*95.5,2)</f>
        <v>3545563.56</v>
      </c>
      <c r="Y127" s="368">
        <v>0</v>
      </c>
      <c r="Z127" s="368">
        <v>0</v>
      </c>
      <c r="AA127" s="368">
        <v>0</v>
      </c>
      <c r="AB127" s="368">
        <v>0</v>
      </c>
      <c r="AC127" s="368">
        <v>0</v>
      </c>
      <c r="AD127" s="368">
        <v>0</v>
      </c>
      <c r="AE127" s="368">
        <v>0</v>
      </c>
      <c r="AF127" s="368">
        <v>0</v>
      </c>
      <c r="AG127" s="368">
        <v>0</v>
      </c>
      <c r="AH127" s="368">
        <v>0</v>
      </c>
      <c r="AI127" s="368">
        <v>0</v>
      </c>
      <c r="AJ127" s="370">
        <f t="shared" ref="AJ127:AJ128" si="76">ROUND(X127/95.5*3,2)</f>
        <v>111378.96</v>
      </c>
      <c r="AK127" s="370">
        <f>ROUND(X127/95.5*1.5,2)</f>
        <v>55689.48</v>
      </c>
      <c r="AL127" s="370">
        <v>0</v>
      </c>
      <c r="AM127" s="447">
        <f>H127/W127</f>
        <v>3234</v>
      </c>
      <c r="AN127" s="227"/>
      <c r="AP127" s="486" t="e">
        <f t="shared" si="42"/>
        <v>#DIV/0!</v>
      </c>
      <c r="AQ127" s="486" t="e">
        <f t="shared" si="46"/>
        <v>#DIV/0!</v>
      </c>
      <c r="AR127" s="486" t="e">
        <f t="shared" si="47"/>
        <v>#DIV/0!</v>
      </c>
      <c r="AS127" s="486" t="e">
        <f t="shared" si="48"/>
        <v>#DIV/0!</v>
      </c>
      <c r="AT127" s="486" t="e">
        <f t="shared" si="49"/>
        <v>#DIV/0!</v>
      </c>
      <c r="AU127" s="486" t="e">
        <f t="shared" si="50"/>
        <v>#DIV/0!</v>
      </c>
      <c r="AV127" s="486" t="e">
        <f t="shared" si="51"/>
        <v>#DIV/0!</v>
      </c>
      <c r="AW127" s="486">
        <f t="shared" si="52"/>
        <v>3088.4700000000003</v>
      </c>
      <c r="AX127" s="486" t="e">
        <f t="shared" si="53"/>
        <v>#DIV/0!</v>
      </c>
      <c r="AY127" s="486" t="e">
        <f t="shared" si="54"/>
        <v>#DIV/0!</v>
      </c>
      <c r="AZ127" s="486" t="e">
        <f t="shared" si="55"/>
        <v>#DIV/0!</v>
      </c>
      <c r="BA127" s="486">
        <f t="shared" si="43"/>
        <v>0</v>
      </c>
      <c r="BB127" s="494">
        <v>5155.41</v>
      </c>
      <c r="BC127" s="494">
        <v>2070.12</v>
      </c>
      <c r="BD127" s="494">
        <v>848.92</v>
      </c>
      <c r="BE127" s="494">
        <v>819.73</v>
      </c>
      <c r="BF127" s="494">
        <v>611.5</v>
      </c>
      <c r="BG127" s="494">
        <v>1080.04</v>
      </c>
      <c r="BH127" s="494">
        <v>2671800.0099999998</v>
      </c>
      <c r="BI127" s="494">
        <f t="shared" si="71"/>
        <v>4607.6000000000004</v>
      </c>
      <c r="BJ127" s="494">
        <v>14289.54</v>
      </c>
      <c r="BK127" s="494">
        <v>3389.61</v>
      </c>
      <c r="BL127" s="494">
        <v>5995.76</v>
      </c>
      <c r="BM127" s="494">
        <v>548.62</v>
      </c>
      <c r="BN127" s="495" t="e">
        <f t="shared" si="56"/>
        <v>#DIV/0!</v>
      </c>
      <c r="BO127" s="495" t="e">
        <f t="shared" si="57"/>
        <v>#DIV/0!</v>
      </c>
      <c r="BP127" s="495" t="e">
        <f t="shared" si="58"/>
        <v>#DIV/0!</v>
      </c>
      <c r="BQ127" s="495" t="e">
        <f t="shared" si="59"/>
        <v>#DIV/0!</v>
      </c>
      <c r="BR127" s="495" t="e">
        <f t="shared" si="60"/>
        <v>#DIV/0!</v>
      </c>
      <c r="BS127" s="495" t="e">
        <f t="shared" si="61"/>
        <v>#DIV/0!</v>
      </c>
      <c r="BT127" s="495" t="e">
        <f t="shared" si="62"/>
        <v>#DIV/0!</v>
      </c>
      <c r="BU127" s="495" t="str">
        <f t="shared" si="63"/>
        <v xml:space="preserve"> </v>
      </c>
      <c r="BV127" s="495" t="e">
        <f t="shared" si="64"/>
        <v>#DIV/0!</v>
      </c>
      <c r="BW127" s="495" t="e">
        <f t="shared" si="65"/>
        <v>#DIV/0!</v>
      </c>
      <c r="BX127" s="495" t="e">
        <f t="shared" si="66"/>
        <v>#DIV/0!</v>
      </c>
      <c r="BY127" s="495" t="str">
        <f t="shared" si="67"/>
        <v xml:space="preserve"> </v>
      </c>
    </row>
    <row r="128" spans="1:77" s="28" customFormat="1" ht="9" customHeight="1">
      <c r="A128" s="366">
        <v>112</v>
      </c>
      <c r="B128" s="200" t="s">
        <v>588</v>
      </c>
      <c r="C128" s="465">
        <v>3465</v>
      </c>
      <c r="D128" s="308"/>
      <c r="E128" s="141" t="s">
        <v>1005</v>
      </c>
      <c r="F128" s="375">
        <f t="shared" si="75"/>
        <v>0</v>
      </c>
      <c r="G128" s="374">
        <v>3300660</v>
      </c>
      <c r="H128" s="205">
        <v>3300660</v>
      </c>
      <c r="I128" s="368">
        <f t="shared" si="44"/>
        <v>0</v>
      </c>
      <c r="J128" s="205">
        <v>0</v>
      </c>
      <c r="K128" s="465">
        <v>0</v>
      </c>
      <c r="L128" s="205">
        <v>0</v>
      </c>
      <c r="M128" s="465">
        <v>0</v>
      </c>
      <c r="N128" s="205">
        <v>0</v>
      </c>
      <c r="O128" s="249">
        <v>0</v>
      </c>
      <c r="P128" s="368">
        <v>0</v>
      </c>
      <c r="Q128" s="249">
        <v>0</v>
      </c>
      <c r="R128" s="368">
        <v>0</v>
      </c>
      <c r="S128" s="249">
        <v>0</v>
      </c>
      <c r="T128" s="368">
        <v>0</v>
      </c>
      <c r="U128" s="130">
        <v>0</v>
      </c>
      <c r="V128" s="368">
        <v>0</v>
      </c>
      <c r="W128" s="368">
        <v>990</v>
      </c>
      <c r="X128" s="368">
        <f>ROUND(H128/100*95.5,2)</f>
        <v>3152130.3</v>
      </c>
      <c r="Y128" s="368">
        <v>0</v>
      </c>
      <c r="Z128" s="368">
        <v>0</v>
      </c>
      <c r="AA128" s="368">
        <v>0</v>
      </c>
      <c r="AB128" s="368">
        <v>0</v>
      </c>
      <c r="AC128" s="368">
        <v>0</v>
      </c>
      <c r="AD128" s="368">
        <v>0</v>
      </c>
      <c r="AE128" s="368">
        <v>0</v>
      </c>
      <c r="AF128" s="368">
        <v>0</v>
      </c>
      <c r="AG128" s="368">
        <v>0</v>
      </c>
      <c r="AH128" s="368">
        <v>0</v>
      </c>
      <c r="AI128" s="368">
        <v>0</v>
      </c>
      <c r="AJ128" s="370">
        <f t="shared" si="76"/>
        <v>99019.8</v>
      </c>
      <c r="AK128" s="370">
        <f>ROUND(X128/95.5*1.5,2)</f>
        <v>49509.9</v>
      </c>
      <c r="AL128" s="370">
        <v>0</v>
      </c>
      <c r="AM128" s="447">
        <f>H128/W128</f>
        <v>3334</v>
      </c>
      <c r="AN128" s="227">
        <v>4814.95</v>
      </c>
      <c r="AP128" s="486" t="e">
        <f t="shared" si="42"/>
        <v>#DIV/0!</v>
      </c>
      <c r="AQ128" s="486" t="e">
        <f t="shared" si="46"/>
        <v>#DIV/0!</v>
      </c>
      <c r="AR128" s="486" t="e">
        <f t="shared" si="47"/>
        <v>#DIV/0!</v>
      </c>
      <c r="AS128" s="486" t="e">
        <f t="shared" si="48"/>
        <v>#DIV/0!</v>
      </c>
      <c r="AT128" s="486" t="e">
        <f t="shared" si="49"/>
        <v>#DIV/0!</v>
      </c>
      <c r="AU128" s="486" t="e">
        <f t="shared" si="50"/>
        <v>#DIV/0!</v>
      </c>
      <c r="AV128" s="486" t="e">
        <f t="shared" si="51"/>
        <v>#DIV/0!</v>
      </c>
      <c r="AW128" s="486">
        <f t="shared" si="52"/>
        <v>3183.97</v>
      </c>
      <c r="AX128" s="486" t="e">
        <f t="shared" si="53"/>
        <v>#DIV/0!</v>
      </c>
      <c r="AY128" s="486" t="e">
        <f t="shared" si="54"/>
        <v>#DIV/0!</v>
      </c>
      <c r="AZ128" s="486" t="e">
        <f t="shared" si="55"/>
        <v>#DIV/0!</v>
      </c>
      <c r="BA128" s="486">
        <f t="shared" si="43"/>
        <v>0</v>
      </c>
      <c r="BB128" s="494">
        <v>5155.41</v>
      </c>
      <c r="BC128" s="494">
        <v>2070.12</v>
      </c>
      <c r="BD128" s="494">
        <v>848.92</v>
      </c>
      <c r="BE128" s="494">
        <v>819.73</v>
      </c>
      <c r="BF128" s="494">
        <v>611.5</v>
      </c>
      <c r="BG128" s="494">
        <v>1080.04</v>
      </c>
      <c r="BH128" s="494">
        <v>2671800.0099999998</v>
      </c>
      <c r="BI128" s="494">
        <f t="shared" si="71"/>
        <v>4607.6000000000004</v>
      </c>
      <c r="BJ128" s="494">
        <v>14289.54</v>
      </c>
      <c r="BK128" s="494">
        <v>3389.61</v>
      </c>
      <c r="BL128" s="494">
        <v>5995.76</v>
      </c>
      <c r="BM128" s="494">
        <v>548.62</v>
      </c>
      <c r="BN128" s="495" t="e">
        <f t="shared" si="56"/>
        <v>#DIV/0!</v>
      </c>
      <c r="BO128" s="495" t="e">
        <f t="shared" si="57"/>
        <v>#DIV/0!</v>
      </c>
      <c r="BP128" s="495" t="e">
        <f t="shared" si="58"/>
        <v>#DIV/0!</v>
      </c>
      <c r="BQ128" s="495" t="e">
        <f t="shared" si="59"/>
        <v>#DIV/0!</v>
      </c>
      <c r="BR128" s="495" t="e">
        <f t="shared" si="60"/>
        <v>#DIV/0!</v>
      </c>
      <c r="BS128" s="495" t="e">
        <f t="shared" si="61"/>
        <v>#DIV/0!</v>
      </c>
      <c r="BT128" s="495" t="e">
        <f t="shared" si="62"/>
        <v>#DIV/0!</v>
      </c>
      <c r="BU128" s="495" t="str">
        <f t="shared" si="63"/>
        <v xml:space="preserve"> </v>
      </c>
      <c r="BV128" s="495" t="e">
        <f t="shared" si="64"/>
        <v>#DIV/0!</v>
      </c>
      <c r="BW128" s="495" t="e">
        <f t="shared" si="65"/>
        <v>#DIV/0!</v>
      </c>
      <c r="BX128" s="495" t="e">
        <f t="shared" si="66"/>
        <v>#DIV/0!</v>
      </c>
      <c r="BY128" s="495" t="str">
        <f t="shared" si="67"/>
        <v xml:space="preserve"> </v>
      </c>
    </row>
    <row r="129" spans="1:77" s="28" customFormat="1" ht="9" customHeight="1">
      <c r="A129" s="366">
        <v>113</v>
      </c>
      <c r="B129" s="206" t="s">
        <v>638</v>
      </c>
      <c r="C129" s="465">
        <v>2311.8000000000002</v>
      </c>
      <c r="D129" s="467"/>
      <c r="E129" s="207"/>
      <c r="F129" s="375">
        <f t="shared" si="75"/>
        <v>0</v>
      </c>
      <c r="G129" s="376">
        <v>1963596.8</v>
      </c>
      <c r="H129" s="211">
        <f>V129+AJ129+AK129</f>
        <v>1963596.7999999998</v>
      </c>
      <c r="I129" s="368">
        <f t="shared" si="44"/>
        <v>0</v>
      </c>
      <c r="J129" s="205">
        <v>0</v>
      </c>
      <c r="K129" s="465">
        <v>0</v>
      </c>
      <c r="L129" s="205">
        <v>0</v>
      </c>
      <c r="M129" s="465">
        <v>0</v>
      </c>
      <c r="N129" s="205">
        <v>0</v>
      </c>
      <c r="O129" s="249">
        <v>0</v>
      </c>
      <c r="P129" s="368">
        <v>0</v>
      </c>
      <c r="Q129" s="249">
        <v>0</v>
      </c>
      <c r="R129" s="368">
        <v>0</v>
      </c>
      <c r="S129" s="249">
        <v>0</v>
      </c>
      <c r="T129" s="368">
        <v>0</v>
      </c>
      <c r="U129" s="130">
        <v>1</v>
      </c>
      <c r="V129" s="368">
        <f>ROUND(0.955*1*1963596.8+0.01,2)</f>
        <v>1875234.95</v>
      </c>
      <c r="W129" s="368">
        <v>0</v>
      </c>
      <c r="X129" s="368">
        <v>0</v>
      </c>
      <c r="Y129" s="368">
        <v>0</v>
      </c>
      <c r="Z129" s="368">
        <v>0</v>
      </c>
      <c r="AA129" s="368">
        <v>0</v>
      </c>
      <c r="AB129" s="368">
        <v>0</v>
      </c>
      <c r="AC129" s="368">
        <v>0</v>
      </c>
      <c r="AD129" s="368">
        <v>0</v>
      </c>
      <c r="AE129" s="368">
        <v>0</v>
      </c>
      <c r="AF129" s="368">
        <v>0</v>
      </c>
      <c r="AG129" s="368">
        <v>0</v>
      </c>
      <c r="AH129" s="368">
        <v>0</v>
      </c>
      <c r="AI129" s="368">
        <v>0</v>
      </c>
      <c r="AJ129" s="370">
        <f>ROUND(0.03*1*1963596.8,2)</f>
        <v>58907.9</v>
      </c>
      <c r="AK129" s="370">
        <f>ROUND(0.015*1*1963596.8,2)</f>
        <v>29453.95</v>
      </c>
      <c r="AL129" s="370">
        <v>0</v>
      </c>
      <c r="AM129" s="447"/>
      <c r="AN129" s="227"/>
      <c r="AP129" s="486" t="e">
        <f t="shared" si="42"/>
        <v>#DIV/0!</v>
      </c>
      <c r="AQ129" s="486" t="e">
        <f t="shared" si="46"/>
        <v>#DIV/0!</v>
      </c>
      <c r="AR129" s="486" t="e">
        <f t="shared" si="47"/>
        <v>#DIV/0!</v>
      </c>
      <c r="AS129" s="486" t="e">
        <f t="shared" si="48"/>
        <v>#DIV/0!</v>
      </c>
      <c r="AT129" s="486" t="e">
        <f t="shared" si="49"/>
        <v>#DIV/0!</v>
      </c>
      <c r="AU129" s="486" t="e">
        <f t="shared" si="50"/>
        <v>#DIV/0!</v>
      </c>
      <c r="AV129" s="486">
        <f t="shared" si="51"/>
        <v>1875234.95</v>
      </c>
      <c r="AW129" s="486" t="e">
        <f t="shared" si="52"/>
        <v>#DIV/0!</v>
      </c>
      <c r="AX129" s="486" t="e">
        <f t="shared" si="53"/>
        <v>#DIV/0!</v>
      </c>
      <c r="AY129" s="486" t="e">
        <f t="shared" si="54"/>
        <v>#DIV/0!</v>
      </c>
      <c r="AZ129" s="486" t="e">
        <f t="shared" si="55"/>
        <v>#DIV/0!</v>
      </c>
      <c r="BA129" s="486">
        <f t="shared" si="43"/>
        <v>0</v>
      </c>
      <c r="BB129" s="494">
        <v>5155.41</v>
      </c>
      <c r="BC129" s="494">
        <v>2070.12</v>
      </c>
      <c r="BD129" s="494">
        <v>848.92</v>
      </c>
      <c r="BE129" s="494">
        <v>819.73</v>
      </c>
      <c r="BF129" s="494">
        <v>611.5</v>
      </c>
      <c r="BG129" s="494">
        <v>1080.04</v>
      </c>
      <c r="BH129" s="494">
        <v>2671800.0099999998</v>
      </c>
      <c r="BI129" s="494">
        <f t="shared" si="71"/>
        <v>4422.8500000000004</v>
      </c>
      <c r="BJ129" s="494">
        <v>14289.54</v>
      </c>
      <c r="BK129" s="494">
        <v>3389.61</v>
      </c>
      <c r="BL129" s="494">
        <v>5995.76</v>
      </c>
      <c r="BM129" s="494">
        <v>548.62</v>
      </c>
      <c r="BN129" s="495" t="e">
        <f t="shared" si="56"/>
        <v>#DIV/0!</v>
      </c>
      <c r="BO129" s="495" t="e">
        <f t="shared" si="57"/>
        <v>#DIV/0!</v>
      </c>
      <c r="BP129" s="495" t="e">
        <f t="shared" si="58"/>
        <v>#DIV/0!</v>
      </c>
      <c r="BQ129" s="495" t="e">
        <f t="shared" si="59"/>
        <v>#DIV/0!</v>
      </c>
      <c r="BR129" s="495" t="e">
        <f t="shared" si="60"/>
        <v>#DIV/0!</v>
      </c>
      <c r="BS129" s="495" t="e">
        <f t="shared" si="61"/>
        <v>#DIV/0!</v>
      </c>
      <c r="BT129" s="495" t="str">
        <f t="shared" si="62"/>
        <v xml:space="preserve"> </v>
      </c>
      <c r="BU129" s="495" t="e">
        <f t="shared" si="63"/>
        <v>#DIV/0!</v>
      </c>
      <c r="BV129" s="495" t="e">
        <f t="shared" si="64"/>
        <v>#DIV/0!</v>
      </c>
      <c r="BW129" s="495" t="e">
        <f t="shared" si="65"/>
        <v>#DIV/0!</v>
      </c>
      <c r="BX129" s="495" t="e">
        <f t="shared" si="66"/>
        <v>#DIV/0!</v>
      </c>
      <c r="BY129" s="495" t="str">
        <f t="shared" si="67"/>
        <v xml:space="preserve"> </v>
      </c>
    </row>
    <row r="130" spans="1:77" s="28" customFormat="1" ht="9" customHeight="1">
      <c r="A130" s="366">
        <v>114</v>
      </c>
      <c r="B130" s="206" t="s">
        <v>1036</v>
      </c>
      <c r="C130" s="465">
        <v>3544.6</v>
      </c>
      <c r="D130" s="308"/>
      <c r="E130" s="141" t="s">
        <v>1005</v>
      </c>
      <c r="F130" s="375">
        <f t="shared" si="75"/>
        <v>0</v>
      </c>
      <c r="G130" s="374">
        <v>4220844</v>
      </c>
      <c r="H130" s="205">
        <v>4220844</v>
      </c>
      <c r="I130" s="368">
        <f t="shared" si="44"/>
        <v>0</v>
      </c>
      <c r="J130" s="205">
        <v>0</v>
      </c>
      <c r="K130" s="465">
        <v>0</v>
      </c>
      <c r="L130" s="205">
        <v>0</v>
      </c>
      <c r="M130" s="465">
        <v>0</v>
      </c>
      <c r="N130" s="205">
        <v>0</v>
      </c>
      <c r="O130" s="249">
        <v>0</v>
      </c>
      <c r="P130" s="368">
        <v>0</v>
      </c>
      <c r="Q130" s="249">
        <v>0</v>
      </c>
      <c r="R130" s="368">
        <v>0</v>
      </c>
      <c r="S130" s="249">
        <v>0</v>
      </c>
      <c r="T130" s="368">
        <v>0</v>
      </c>
      <c r="U130" s="130">
        <v>0</v>
      </c>
      <c r="V130" s="368">
        <v>0</v>
      </c>
      <c r="W130" s="368">
        <v>1266</v>
      </c>
      <c r="X130" s="368">
        <f>ROUND(H130/100*95.5,2)</f>
        <v>4030906.02</v>
      </c>
      <c r="Y130" s="368">
        <v>0</v>
      </c>
      <c r="Z130" s="368">
        <v>0</v>
      </c>
      <c r="AA130" s="368">
        <v>0</v>
      </c>
      <c r="AB130" s="368">
        <v>0</v>
      </c>
      <c r="AC130" s="368">
        <v>0</v>
      </c>
      <c r="AD130" s="368">
        <v>0</v>
      </c>
      <c r="AE130" s="368">
        <v>0</v>
      </c>
      <c r="AF130" s="368">
        <v>0</v>
      </c>
      <c r="AG130" s="368">
        <v>0</v>
      </c>
      <c r="AH130" s="368">
        <v>0</v>
      </c>
      <c r="AI130" s="368">
        <v>0</v>
      </c>
      <c r="AJ130" s="370">
        <f t="shared" ref="AJ130" si="77">ROUND(X130/95.5*3,2)</f>
        <v>126625.32</v>
      </c>
      <c r="AK130" s="370">
        <f>ROUND(X130/95.5*1.5,2)</f>
        <v>63312.66</v>
      </c>
      <c r="AL130" s="370">
        <v>0</v>
      </c>
      <c r="AM130" s="447">
        <f>H130/W130</f>
        <v>3334</v>
      </c>
      <c r="AN130" s="227">
        <v>4814.95</v>
      </c>
      <c r="AP130" s="486" t="e">
        <f t="shared" si="42"/>
        <v>#DIV/0!</v>
      </c>
      <c r="AQ130" s="486" t="e">
        <f t="shared" si="46"/>
        <v>#DIV/0!</v>
      </c>
      <c r="AR130" s="486" t="e">
        <f t="shared" si="47"/>
        <v>#DIV/0!</v>
      </c>
      <c r="AS130" s="486" t="e">
        <f t="shared" si="48"/>
        <v>#DIV/0!</v>
      </c>
      <c r="AT130" s="486" t="e">
        <f t="shared" si="49"/>
        <v>#DIV/0!</v>
      </c>
      <c r="AU130" s="486" t="e">
        <f t="shared" si="50"/>
        <v>#DIV/0!</v>
      </c>
      <c r="AV130" s="486" t="e">
        <f t="shared" si="51"/>
        <v>#DIV/0!</v>
      </c>
      <c r="AW130" s="486">
        <f t="shared" si="52"/>
        <v>3183.97</v>
      </c>
      <c r="AX130" s="486" t="e">
        <f t="shared" si="53"/>
        <v>#DIV/0!</v>
      </c>
      <c r="AY130" s="486" t="e">
        <f t="shared" si="54"/>
        <v>#DIV/0!</v>
      </c>
      <c r="AZ130" s="486" t="e">
        <f t="shared" si="55"/>
        <v>#DIV/0!</v>
      </c>
      <c r="BA130" s="486">
        <f t="shared" si="43"/>
        <v>0</v>
      </c>
      <c r="BB130" s="494">
        <v>5155.41</v>
      </c>
      <c r="BC130" s="494">
        <v>2070.12</v>
      </c>
      <c r="BD130" s="494">
        <v>848.92</v>
      </c>
      <c r="BE130" s="494">
        <v>819.73</v>
      </c>
      <c r="BF130" s="494">
        <v>611.5</v>
      </c>
      <c r="BG130" s="494">
        <v>1080.04</v>
      </c>
      <c r="BH130" s="494">
        <v>2671800.0099999998</v>
      </c>
      <c r="BI130" s="494">
        <f t="shared" si="71"/>
        <v>4607.6000000000004</v>
      </c>
      <c r="BJ130" s="494">
        <v>14289.54</v>
      </c>
      <c r="BK130" s="494">
        <v>3389.61</v>
      </c>
      <c r="BL130" s="494">
        <v>5995.76</v>
      </c>
      <c r="BM130" s="494">
        <v>548.62</v>
      </c>
      <c r="BN130" s="495" t="e">
        <f t="shared" si="56"/>
        <v>#DIV/0!</v>
      </c>
      <c r="BO130" s="495" t="e">
        <f t="shared" si="57"/>
        <v>#DIV/0!</v>
      </c>
      <c r="BP130" s="495" t="e">
        <f t="shared" si="58"/>
        <v>#DIV/0!</v>
      </c>
      <c r="BQ130" s="495" t="e">
        <f t="shared" si="59"/>
        <v>#DIV/0!</v>
      </c>
      <c r="BR130" s="495" t="e">
        <f t="shared" si="60"/>
        <v>#DIV/0!</v>
      </c>
      <c r="BS130" s="495" t="e">
        <f t="shared" si="61"/>
        <v>#DIV/0!</v>
      </c>
      <c r="BT130" s="495" t="e">
        <f t="shared" si="62"/>
        <v>#DIV/0!</v>
      </c>
      <c r="BU130" s="495" t="str">
        <f t="shared" si="63"/>
        <v xml:space="preserve"> </v>
      </c>
      <c r="BV130" s="495" t="e">
        <f t="shared" si="64"/>
        <v>#DIV/0!</v>
      </c>
      <c r="BW130" s="495" t="e">
        <f t="shared" si="65"/>
        <v>#DIV/0!</v>
      </c>
      <c r="BX130" s="495" t="e">
        <f t="shared" si="66"/>
        <v>#DIV/0!</v>
      </c>
      <c r="BY130" s="495" t="str">
        <f t="shared" si="67"/>
        <v xml:space="preserve"> </v>
      </c>
    </row>
    <row r="131" spans="1:77" s="28" customFormat="1" ht="9" customHeight="1">
      <c r="A131" s="366">
        <v>115</v>
      </c>
      <c r="B131" s="206" t="s">
        <v>203</v>
      </c>
      <c r="C131" s="465">
        <v>2024.8</v>
      </c>
      <c r="D131" s="467"/>
      <c r="E131" s="207"/>
      <c r="F131" s="375">
        <f t="shared" si="75"/>
        <v>0</v>
      </c>
      <c r="G131" s="376">
        <v>5250124.17</v>
      </c>
      <c r="H131" s="205">
        <f>I131+AI131+AJ131+AK131</f>
        <v>5250124.1700000009</v>
      </c>
      <c r="I131" s="368">
        <f t="shared" si="44"/>
        <v>4389462.68</v>
      </c>
      <c r="J131" s="205">
        <f>ROUND(0.955*(C131*370),2)</f>
        <v>715463.08</v>
      </c>
      <c r="K131" s="465">
        <v>0</v>
      </c>
      <c r="L131" s="205">
        <f>ROUND(0.955*(C131*1200),2)</f>
        <v>2320420.7999999998</v>
      </c>
      <c r="M131" s="465">
        <v>0</v>
      </c>
      <c r="N131" s="205">
        <v>0</v>
      </c>
      <c r="O131" s="249">
        <v>0</v>
      </c>
      <c r="P131" s="368">
        <f>ROUND(0.955*(C131*210),2)</f>
        <v>406073.64</v>
      </c>
      <c r="Q131" s="249">
        <v>0</v>
      </c>
      <c r="R131" s="368">
        <f>ROUND(0.955*(C131*270),2)</f>
        <v>522094.68</v>
      </c>
      <c r="S131" s="249">
        <v>0</v>
      </c>
      <c r="T131" s="368">
        <f>ROUND(0.955*(C131*220),2)</f>
        <v>425410.48</v>
      </c>
      <c r="U131" s="130">
        <v>0</v>
      </c>
      <c r="V131" s="368">
        <v>0</v>
      </c>
      <c r="W131" s="368">
        <v>0</v>
      </c>
      <c r="X131" s="368">
        <v>0</v>
      </c>
      <c r="Y131" s="368">
        <v>0</v>
      </c>
      <c r="Z131" s="368">
        <v>0</v>
      </c>
      <c r="AA131" s="368">
        <v>0</v>
      </c>
      <c r="AB131" s="368">
        <v>0</v>
      </c>
      <c r="AC131" s="368">
        <v>0</v>
      </c>
      <c r="AD131" s="368">
        <v>0</v>
      </c>
      <c r="AE131" s="368">
        <v>0</v>
      </c>
      <c r="AF131" s="368">
        <v>0</v>
      </c>
      <c r="AG131" s="368">
        <v>0</v>
      </c>
      <c r="AH131" s="368">
        <v>0</v>
      </c>
      <c r="AI131" s="368">
        <f>ROUND(0.955*C131*322.91,2)</f>
        <v>624405.9</v>
      </c>
      <c r="AJ131" s="370">
        <f>ROUND(0.03*(210+220+1200+370+270+322.91)*C131,2)</f>
        <v>157503.73000000001</v>
      </c>
      <c r="AK131" s="370">
        <f>ROUND(0.015*(210+220+1200+370+270+322.91)*C131,2)</f>
        <v>78751.86</v>
      </c>
      <c r="AL131" s="370">
        <v>0</v>
      </c>
      <c r="AM131" s="447"/>
      <c r="AN131" s="227"/>
      <c r="AP131" s="486" t="e">
        <f t="shared" si="42"/>
        <v>#DIV/0!</v>
      </c>
      <c r="AQ131" s="486" t="e">
        <f t="shared" si="46"/>
        <v>#DIV/0!</v>
      </c>
      <c r="AR131" s="486" t="e">
        <f t="shared" si="47"/>
        <v>#DIV/0!</v>
      </c>
      <c r="AS131" s="486" t="e">
        <f t="shared" si="48"/>
        <v>#DIV/0!</v>
      </c>
      <c r="AT131" s="486" t="e">
        <f t="shared" si="49"/>
        <v>#DIV/0!</v>
      </c>
      <c r="AU131" s="486" t="e">
        <f t="shared" si="50"/>
        <v>#DIV/0!</v>
      </c>
      <c r="AV131" s="486" t="e">
        <f t="shared" si="51"/>
        <v>#DIV/0!</v>
      </c>
      <c r="AW131" s="486" t="e">
        <f t="shared" si="52"/>
        <v>#DIV/0!</v>
      </c>
      <c r="AX131" s="486" t="e">
        <f t="shared" si="53"/>
        <v>#DIV/0!</v>
      </c>
      <c r="AY131" s="486" t="e">
        <f t="shared" si="54"/>
        <v>#DIV/0!</v>
      </c>
      <c r="AZ131" s="486" t="e">
        <f t="shared" si="55"/>
        <v>#DIV/0!</v>
      </c>
      <c r="BA131" s="486">
        <f t="shared" si="43"/>
        <v>308.37904978269461</v>
      </c>
      <c r="BB131" s="494">
        <v>5155.41</v>
      </c>
      <c r="BC131" s="494">
        <v>2070.12</v>
      </c>
      <c r="BD131" s="494">
        <v>848.92</v>
      </c>
      <c r="BE131" s="494">
        <v>819.73</v>
      </c>
      <c r="BF131" s="494">
        <v>611.5</v>
      </c>
      <c r="BG131" s="494">
        <v>1080.04</v>
      </c>
      <c r="BH131" s="494">
        <v>2671800.0099999998</v>
      </c>
      <c r="BI131" s="494">
        <f t="shared" si="71"/>
        <v>4422.8500000000004</v>
      </c>
      <c r="BJ131" s="494">
        <v>14289.54</v>
      </c>
      <c r="BK131" s="494">
        <v>3389.61</v>
      </c>
      <c r="BL131" s="494">
        <v>5995.76</v>
      </c>
      <c r="BM131" s="494">
        <v>548.62</v>
      </c>
      <c r="BN131" s="495" t="e">
        <f t="shared" si="56"/>
        <v>#DIV/0!</v>
      </c>
      <c r="BO131" s="495" t="e">
        <f t="shared" si="57"/>
        <v>#DIV/0!</v>
      </c>
      <c r="BP131" s="495" t="e">
        <f t="shared" si="58"/>
        <v>#DIV/0!</v>
      </c>
      <c r="BQ131" s="495" t="e">
        <f t="shared" si="59"/>
        <v>#DIV/0!</v>
      </c>
      <c r="BR131" s="495" t="e">
        <f t="shared" si="60"/>
        <v>#DIV/0!</v>
      </c>
      <c r="BS131" s="495" t="e">
        <f t="shared" si="61"/>
        <v>#DIV/0!</v>
      </c>
      <c r="BT131" s="495" t="e">
        <f t="shared" si="62"/>
        <v>#DIV/0!</v>
      </c>
      <c r="BU131" s="495" t="e">
        <f t="shared" si="63"/>
        <v>#DIV/0!</v>
      </c>
      <c r="BV131" s="495" t="e">
        <f t="shared" si="64"/>
        <v>#DIV/0!</v>
      </c>
      <c r="BW131" s="495" t="e">
        <f t="shared" si="65"/>
        <v>#DIV/0!</v>
      </c>
      <c r="BX131" s="495" t="e">
        <f t="shared" si="66"/>
        <v>#DIV/0!</v>
      </c>
      <c r="BY131" s="495" t="str">
        <f t="shared" si="67"/>
        <v xml:space="preserve"> </v>
      </c>
    </row>
    <row r="132" spans="1:77" s="28" customFormat="1" ht="9" customHeight="1">
      <c r="A132" s="366">
        <v>116</v>
      </c>
      <c r="B132" s="206" t="s">
        <v>1044</v>
      </c>
      <c r="C132" s="465">
        <v>5532.6</v>
      </c>
      <c r="D132" s="308"/>
      <c r="E132" s="141" t="s">
        <v>1005</v>
      </c>
      <c r="F132" s="375">
        <f t="shared" si="75"/>
        <v>0</v>
      </c>
      <c r="G132" s="374">
        <v>5177702</v>
      </c>
      <c r="H132" s="205">
        <v>5177702</v>
      </c>
      <c r="I132" s="368">
        <f t="shared" si="44"/>
        <v>0</v>
      </c>
      <c r="J132" s="205">
        <v>0</v>
      </c>
      <c r="K132" s="465">
        <v>0</v>
      </c>
      <c r="L132" s="205">
        <v>0</v>
      </c>
      <c r="M132" s="465">
        <v>0</v>
      </c>
      <c r="N132" s="205">
        <v>0</v>
      </c>
      <c r="O132" s="249">
        <v>0</v>
      </c>
      <c r="P132" s="368">
        <v>0</v>
      </c>
      <c r="Q132" s="249">
        <v>0</v>
      </c>
      <c r="R132" s="368">
        <v>0</v>
      </c>
      <c r="S132" s="249">
        <v>0</v>
      </c>
      <c r="T132" s="368">
        <v>0</v>
      </c>
      <c r="U132" s="130">
        <v>0</v>
      </c>
      <c r="V132" s="368">
        <v>0</v>
      </c>
      <c r="W132" s="368">
        <v>1553</v>
      </c>
      <c r="X132" s="368">
        <f>ROUND(H132/100*95.5,2)</f>
        <v>4944705.41</v>
      </c>
      <c r="Y132" s="368">
        <v>0</v>
      </c>
      <c r="Z132" s="368">
        <v>0</v>
      </c>
      <c r="AA132" s="368">
        <v>0</v>
      </c>
      <c r="AB132" s="368">
        <v>0</v>
      </c>
      <c r="AC132" s="368">
        <v>0</v>
      </c>
      <c r="AD132" s="368">
        <v>0</v>
      </c>
      <c r="AE132" s="368">
        <v>0</v>
      </c>
      <c r="AF132" s="368">
        <v>0</v>
      </c>
      <c r="AG132" s="368">
        <v>0</v>
      </c>
      <c r="AH132" s="368">
        <v>0</v>
      </c>
      <c r="AI132" s="368">
        <v>0</v>
      </c>
      <c r="AJ132" s="370">
        <f t="shared" ref="AJ132" si="78">ROUND(X132/95.5*3,2)</f>
        <v>155331.06</v>
      </c>
      <c r="AK132" s="370">
        <f>ROUND(X132/95.5*1.5,2)</f>
        <v>77665.53</v>
      </c>
      <c r="AL132" s="370">
        <v>0</v>
      </c>
      <c r="AM132" s="447">
        <f>H132/W132</f>
        <v>3334</v>
      </c>
      <c r="AN132" s="227">
        <v>4814.95</v>
      </c>
      <c r="AP132" s="486" t="e">
        <f t="shared" si="42"/>
        <v>#DIV/0!</v>
      </c>
      <c r="AQ132" s="486" t="e">
        <f t="shared" si="46"/>
        <v>#DIV/0!</v>
      </c>
      <c r="AR132" s="486" t="e">
        <f t="shared" si="47"/>
        <v>#DIV/0!</v>
      </c>
      <c r="AS132" s="486" t="e">
        <f t="shared" si="48"/>
        <v>#DIV/0!</v>
      </c>
      <c r="AT132" s="486" t="e">
        <f t="shared" si="49"/>
        <v>#DIV/0!</v>
      </c>
      <c r="AU132" s="486" t="e">
        <f t="shared" si="50"/>
        <v>#DIV/0!</v>
      </c>
      <c r="AV132" s="486" t="e">
        <f t="shared" si="51"/>
        <v>#DIV/0!</v>
      </c>
      <c r="AW132" s="486">
        <f t="shared" si="52"/>
        <v>3183.9700000000003</v>
      </c>
      <c r="AX132" s="486" t="e">
        <f t="shared" si="53"/>
        <v>#DIV/0!</v>
      </c>
      <c r="AY132" s="486" t="e">
        <f t="shared" si="54"/>
        <v>#DIV/0!</v>
      </c>
      <c r="AZ132" s="486" t="e">
        <f t="shared" si="55"/>
        <v>#DIV/0!</v>
      </c>
      <c r="BA132" s="486">
        <f t="shared" si="43"/>
        <v>0</v>
      </c>
      <c r="BB132" s="494">
        <v>5155.41</v>
      </c>
      <c r="BC132" s="494">
        <v>2070.12</v>
      </c>
      <c r="BD132" s="494">
        <v>848.92</v>
      </c>
      <c r="BE132" s="494">
        <v>819.73</v>
      </c>
      <c r="BF132" s="494">
        <v>611.5</v>
      </c>
      <c r="BG132" s="494">
        <v>1080.04</v>
      </c>
      <c r="BH132" s="494">
        <v>2671800.0099999998</v>
      </c>
      <c r="BI132" s="494">
        <f t="shared" si="71"/>
        <v>4607.6000000000004</v>
      </c>
      <c r="BJ132" s="494">
        <v>14289.54</v>
      </c>
      <c r="BK132" s="494">
        <v>3389.61</v>
      </c>
      <c r="BL132" s="494">
        <v>5995.76</v>
      </c>
      <c r="BM132" s="494">
        <v>548.62</v>
      </c>
      <c r="BN132" s="495" t="e">
        <f t="shared" si="56"/>
        <v>#DIV/0!</v>
      </c>
      <c r="BO132" s="495" t="e">
        <f t="shared" si="57"/>
        <v>#DIV/0!</v>
      </c>
      <c r="BP132" s="495" t="e">
        <f t="shared" si="58"/>
        <v>#DIV/0!</v>
      </c>
      <c r="BQ132" s="495" t="e">
        <f t="shared" si="59"/>
        <v>#DIV/0!</v>
      </c>
      <c r="BR132" s="495" t="e">
        <f t="shared" si="60"/>
        <v>#DIV/0!</v>
      </c>
      <c r="BS132" s="495" t="e">
        <f t="shared" si="61"/>
        <v>#DIV/0!</v>
      </c>
      <c r="BT132" s="495" t="e">
        <f t="shared" si="62"/>
        <v>#DIV/0!</v>
      </c>
      <c r="BU132" s="495" t="str">
        <f t="shared" si="63"/>
        <v xml:space="preserve"> </v>
      </c>
      <c r="BV132" s="495" t="e">
        <f t="shared" si="64"/>
        <v>#DIV/0!</v>
      </c>
      <c r="BW132" s="495" t="e">
        <f t="shared" si="65"/>
        <v>#DIV/0!</v>
      </c>
      <c r="BX132" s="495" t="e">
        <f t="shared" si="66"/>
        <v>#DIV/0!</v>
      </c>
      <c r="BY132" s="495" t="str">
        <f t="shared" si="67"/>
        <v xml:space="preserve"> </v>
      </c>
    </row>
    <row r="133" spans="1:77" s="28" customFormat="1" ht="9" customHeight="1">
      <c r="A133" s="366">
        <v>117</v>
      </c>
      <c r="B133" s="150" t="s">
        <v>1052</v>
      </c>
      <c r="C133" s="465">
        <v>2856</v>
      </c>
      <c r="D133" s="308"/>
      <c r="E133" s="141"/>
      <c r="F133" s="375">
        <f t="shared" si="75"/>
        <v>0</v>
      </c>
      <c r="G133" s="374">
        <v>1685040</v>
      </c>
      <c r="H133" s="205">
        <f>I133+AJ133+AK133</f>
        <v>1685040</v>
      </c>
      <c r="I133" s="368">
        <f t="shared" si="44"/>
        <v>1609213.2</v>
      </c>
      <c r="J133" s="205">
        <f>ROUND(0.955*(C133*370),2)</f>
        <v>1009167.6</v>
      </c>
      <c r="K133" s="465">
        <v>0</v>
      </c>
      <c r="L133" s="205">
        <v>0</v>
      </c>
      <c r="M133" s="465">
        <v>0</v>
      </c>
      <c r="N133" s="205">
        <v>0</v>
      </c>
      <c r="O133" s="249">
        <v>0</v>
      </c>
      <c r="P133" s="368">
        <v>0</v>
      </c>
      <c r="Q133" s="249">
        <v>0</v>
      </c>
      <c r="R133" s="368">
        <v>0</v>
      </c>
      <c r="S133" s="249">
        <v>0</v>
      </c>
      <c r="T133" s="368">
        <f>ROUND(0.955*(C133*220),2)</f>
        <v>600045.6</v>
      </c>
      <c r="U133" s="130">
        <v>0</v>
      </c>
      <c r="V133" s="368">
        <v>0</v>
      </c>
      <c r="W133" s="368">
        <v>0</v>
      </c>
      <c r="X133" s="368">
        <v>0</v>
      </c>
      <c r="Y133" s="368">
        <v>0</v>
      </c>
      <c r="Z133" s="368">
        <v>0</v>
      </c>
      <c r="AA133" s="368">
        <v>0</v>
      </c>
      <c r="AB133" s="368">
        <v>0</v>
      </c>
      <c r="AC133" s="368">
        <v>0</v>
      </c>
      <c r="AD133" s="368">
        <v>0</v>
      </c>
      <c r="AE133" s="368">
        <v>0</v>
      </c>
      <c r="AF133" s="368">
        <v>0</v>
      </c>
      <c r="AG133" s="368">
        <v>0</v>
      </c>
      <c r="AH133" s="368">
        <v>0</v>
      </c>
      <c r="AI133" s="368">
        <v>0</v>
      </c>
      <c r="AJ133" s="370">
        <f>ROUND(0.03*(220+370)*C133,2)</f>
        <v>50551.199999999997</v>
      </c>
      <c r="AK133" s="370">
        <f>ROUND(0.015*(220+370)*C133,2)</f>
        <v>25275.599999999999</v>
      </c>
      <c r="AL133" s="370">
        <v>0</v>
      </c>
      <c r="AM133" s="447"/>
      <c r="AN133" s="227"/>
      <c r="AP133" s="486" t="e">
        <f t="shared" si="42"/>
        <v>#DIV/0!</v>
      </c>
      <c r="AQ133" s="486" t="e">
        <f t="shared" si="46"/>
        <v>#DIV/0!</v>
      </c>
      <c r="AR133" s="486" t="e">
        <f t="shared" si="47"/>
        <v>#DIV/0!</v>
      </c>
      <c r="AS133" s="486" t="e">
        <f t="shared" si="48"/>
        <v>#DIV/0!</v>
      </c>
      <c r="AT133" s="486" t="e">
        <f t="shared" si="49"/>
        <v>#DIV/0!</v>
      </c>
      <c r="AU133" s="486" t="e">
        <f t="shared" si="50"/>
        <v>#DIV/0!</v>
      </c>
      <c r="AV133" s="486" t="e">
        <f t="shared" si="51"/>
        <v>#DIV/0!</v>
      </c>
      <c r="AW133" s="486" t="e">
        <f t="shared" si="52"/>
        <v>#DIV/0!</v>
      </c>
      <c r="AX133" s="486" t="e">
        <f t="shared" si="53"/>
        <v>#DIV/0!</v>
      </c>
      <c r="AY133" s="486" t="e">
        <f t="shared" si="54"/>
        <v>#DIV/0!</v>
      </c>
      <c r="AZ133" s="486" t="e">
        <f t="shared" si="55"/>
        <v>#DIV/0!</v>
      </c>
      <c r="BA133" s="486">
        <f t="shared" si="43"/>
        <v>0</v>
      </c>
      <c r="BB133" s="494">
        <v>5155.41</v>
      </c>
      <c r="BC133" s="494">
        <v>2070.12</v>
      </c>
      <c r="BD133" s="494">
        <v>848.92</v>
      </c>
      <c r="BE133" s="494">
        <v>819.73</v>
      </c>
      <c r="BF133" s="494">
        <v>611.5</v>
      </c>
      <c r="BG133" s="494">
        <v>1080.04</v>
      </c>
      <c r="BH133" s="494">
        <v>2671800.0099999998</v>
      </c>
      <c r="BI133" s="494">
        <f t="shared" si="71"/>
        <v>4422.8500000000004</v>
      </c>
      <c r="BJ133" s="494">
        <v>14289.54</v>
      </c>
      <c r="BK133" s="494">
        <v>3389.61</v>
      </c>
      <c r="BL133" s="494">
        <v>5995.76</v>
      </c>
      <c r="BM133" s="494">
        <v>548.62</v>
      </c>
      <c r="BN133" s="495" t="e">
        <f t="shared" si="56"/>
        <v>#DIV/0!</v>
      </c>
      <c r="BO133" s="495" t="e">
        <f t="shared" si="57"/>
        <v>#DIV/0!</v>
      </c>
      <c r="BP133" s="495" t="e">
        <f t="shared" si="58"/>
        <v>#DIV/0!</v>
      </c>
      <c r="BQ133" s="495" t="e">
        <f t="shared" si="59"/>
        <v>#DIV/0!</v>
      </c>
      <c r="BR133" s="495" t="e">
        <f t="shared" si="60"/>
        <v>#DIV/0!</v>
      </c>
      <c r="BS133" s="495" t="e">
        <f t="shared" si="61"/>
        <v>#DIV/0!</v>
      </c>
      <c r="BT133" s="495" t="e">
        <f t="shared" si="62"/>
        <v>#DIV/0!</v>
      </c>
      <c r="BU133" s="495" t="e">
        <f t="shared" si="63"/>
        <v>#DIV/0!</v>
      </c>
      <c r="BV133" s="495" t="e">
        <f t="shared" si="64"/>
        <v>#DIV/0!</v>
      </c>
      <c r="BW133" s="495" t="e">
        <f t="shared" si="65"/>
        <v>#DIV/0!</v>
      </c>
      <c r="BX133" s="495" t="e">
        <f t="shared" si="66"/>
        <v>#DIV/0!</v>
      </c>
      <c r="BY133" s="495" t="str">
        <f t="shared" si="67"/>
        <v xml:space="preserve"> </v>
      </c>
    </row>
    <row r="134" spans="1:77" s="28" customFormat="1" ht="9" customHeight="1">
      <c r="A134" s="366">
        <v>118</v>
      </c>
      <c r="B134" s="150" t="s">
        <v>1053</v>
      </c>
      <c r="C134" s="465">
        <v>1259.0999999999999</v>
      </c>
      <c r="D134" s="467"/>
      <c r="E134" s="207"/>
      <c r="F134" s="375">
        <f t="shared" si="75"/>
        <v>0</v>
      </c>
      <c r="G134" s="376">
        <v>3646303.2399999998</v>
      </c>
      <c r="H134" s="205">
        <f>I134+AI134+AJ134+AK134</f>
        <v>3646303.2399999998</v>
      </c>
      <c r="I134" s="368">
        <f t="shared" si="44"/>
        <v>3093939.53</v>
      </c>
      <c r="J134" s="205">
        <f>ROUND(0.955*(C134*370),2)</f>
        <v>444902.99</v>
      </c>
      <c r="K134" s="465">
        <v>0</v>
      </c>
      <c r="L134" s="205">
        <f>ROUND(0.955*(C134*1200),2)</f>
        <v>1442928.6</v>
      </c>
      <c r="M134" s="465">
        <v>0</v>
      </c>
      <c r="N134" s="205">
        <f>ROUND((0.955*(C134*303.05)-0.01),2)</f>
        <v>364399.58</v>
      </c>
      <c r="O134" s="249">
        <v>0</v>
      </c>
      <c r="P134" s="368">
        <f>ROUND(0.955*(C134*210),2)</f>
        <v>252512.51</v>
      </c>
      <c r="Q134" s="249">
        <v>0</v>
      </c>
      <c r="R134" s="368">
        <f>ROUND(0.955*(C134*270),2)</f>
        <v>324658.94</v>
      </c>
      <c r="S134" s="249">
        <v>0</v>
      </c>
      <c r="T134" s="368">
        <f>ROUND(0.955*(C134*220),2)</f>
        <v>264536.90999999997</v>
      </c>
      <c r="U134" s="130">
        <v>0</v>
      </c>
      <c r="V134" s="368">
        <v>0</v>
      </c>
      <c r="W134" s="368">
        <v>0</v>
      </c>
      <c r="X134" s="368">
        <v>0</v>
      </c>
      <c r="Y134" s="368">
        <v>0</v>
      </c>
      <c r="Z134" s="368">
        <v>0</v>
      </c>
      <c r="AA134" s="368">
        <v>0</v>
      </c>
      <c r="AB134" s="368">
        <v>0</v>
      </c>
      <c r="AC134" s="368">
        <v>0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f>ROUND(0.955*C134*322.91,2)</f>
        <v>388280.06</v>
      </c>
      <c r="AJ134" s="370">
        <f>ROUND(0.03*(210+220+1200+370+270+303.05+322.91)*C134,2)</f>
        <v>109389.1</v>
      </c>
      <c r="AK134" s="370">
        <f>ROUND(0.015*(210+220+1200+270+370+303.05+322.91)*C134,2)</f>
        <v>54694.55</v>
      </c>
      <c r="AL134" s="370">
        <v>0</v>
      </c>
      <c r="AM134" s="447" t="e">
        <f>H134/W134</f>
        <v>#DIV/0!</v>
      </c>
      <c r="AN134" s="227"/>
      <c r="AP134" s="486" t="e">
        <f t="shared" si="42"/>
        <v>#DIV/0!</v>
      </c>
      <c r="AQ134" s="486" t="e">
        <f t="shared" si="46"/>
        <v>#DIV/0!</v>
      </c>
      <c r="AR134" s="486" t="e">
        <f t="shared" si="47"/>
        <v>#DIV/0!</v>
      </c>
      <c r="AS134" s="486" t="e">
        <f t="shared" si="48"/>
        <v>#DIV/0!</v>
      </c>
      <c r="AT134" s="486" t="e">
        <f t="shared" si="49"/>
        <v>#DIV/0!</v>
      </c>
      <c r="AU134" s="486" t="e">
        <f t="shared" si="50"/>
        <v>#DIV/0!</v>
      </c>
      <c r="AV134" s="486" t="e">
        <f t="shared" si="51"/>
        <v>#DIV/0!</v>
      </c>
      <c r="AW134" s="486" t="e">
        <f t="shared" si="52"/>
        <v>#DIV/0!</v>
      </c>
      <c r="AX134" s="486" t="e">
        <f t="shared" si="53"/>
        <v>#DIV/0!</v>
      </c>
      <c r="AY134" s="486" t="e">
        <f t="shared" si="54"/>
        <v>#DIV/0!</v>
      </c>
      <c r="AZ134" s="486" t="e">
        <f t="shared" si="55"/>
        <v>#DIV/0!</v>
      </c>
      <c r="BA134" s="486">
        <f t="shared" si="43"/>
        <v>308.37904852672546</v>
      </c>
      <c r="BB134" s="494">
        <v>5155.41</v>
      </c>
      <c r="BC134" s="494">
        <v>2070.12</v>
      </c>
      <c r="BD134" s="494">
        <v>848.92</v>
      </c>
      <c r="BE134" s="494">
        <v>819.73</v>
      </c>
      <c r="BF134" s="494">
        <v>611.5</v>
      </c>
      <c r="BG134" s="494">
        <v>1080.04</v>
      </c>
      <c r="BH134" s="494">
        <v>2671800.0099999998</v>
      </c>
      <c r="BI134" s="494">
        <f t="shared" si="71"/>
        <v>4422.8500000000004</v>
      </c>
      <c r="BJ134" s="494">
        <v>14289.54</v>
      </c>
      <c r="BK134" s="494">
        <v>3389.61</v>
      </c>
      <c r="BL134" s="494">
        <v>5995.76</v>
      </c>
      <c r="BM134" s="494">
        <v>548.62</v>
      </c>
      <c r="BN134" s="495" t="e">
        <f t="shared" si="56"/>
        <v>#DIV/0!</v>
      </c>
      <c r="BO134" s="495" t="e">
        <f t="shared" si="57"/>
        <v>#DIV/0!</v>
      </c>
      <c r="BP134" s="495" t="e">
        <f t="shared" si="58"/>
        <v>#DIV/0!</v>
      </c>
      <c r="BQ134" s="495" t="e">
        <f t="shared" si="59"/>
        <v>#DIV/0!</v>
      </c>
      <c r="BR134" s="495" t="e">
        <f t="shared" si="60"/>
        <v>#DIV/0!</v>
      </c>
      <c r="BS134" s="495" t="e">
        <f t="shared" si="61"/>
        <v>#DIV/0!</v>
      </c>
      <c r="BT134" s="495" t="e">
        <f t="shared" si="62"/>
        <v>#DIV/0!</v>
      </c>
      <c r="BU134" s="495" t="e">
        <f t="shared" si="63"/>
        <v>#DIV/0!</v>
      </c>
      <c r="BV134" s="495" t="e">
        <f t="shared" si="64"/>
        <v>#DIV/0!</v>
      </c>
      <c r="BW134" s="495" t="e">
        <f t="shared" si="65"/>
        <v>#DIV/0!</v>
      </c>
      <c r="BX134" s="495" t="e">
        <f t="shared" si="66"/>
        <v>#DIV/0!</v>
      </c>
      <c r="BY134" s="495" t="str">
        <f t="shared" si="67"/>
        <v xml:space="preserve"> </v>
      </c>
    </row>
    <row r="135" spans="1:77" s="28" customFormat="1" ht="9" customHeight="1">
      <c r="A135" s="366">
        <v>119</v>
      </c>
      <c r="B135" s="150" t="s">
        <v>1078</v>
      </c>
      <c r="C135" s="465">
        <v>11532.2</v>
      </c>
      <c r="D135" s="467"/>
      <c r="E135" s="207"/>
      <c r="F135" s="375">
        <f t="shared" si="75"/>
        <v>0</v>
      </c>
      <c r="G135" s="376">
        <v>11781580.800000001</v>
      </c>
      <c r="H135" s="205">
        <f>V135+AJ135+AK135</f>
        <v>11781580.800000001</v>
      </c>
      <c r="I135" s="368">
        <f t="shared" si="44"/>
        <v>0</v>
      </c>
      <c r="J135" s="205">
        <v>0</v>
      </c>
      <c r="K135" s="465">
        <v>0</v>
      </c>
      <c r="L135" s="205">
        <v>0</v>
      </c>
      <c r="M135" s="465">
        <v>0</v>
      </c>
      <c r="N135" s="205">
        <v>0</v>
      </c>
      <c r="O135" s="249">
        <v>0</v>
      </c>
      <c r="P135" s="368">
        <v>0</v>
      </c>
      <c r="Q135" s="249">
        <v>0</v>
      </c>
      <c r="R135" s="368">
        <v>0</v>
      </c>
      <c r="S135" s="249">
        <v>0</v>
      </c>
      <c r="T135" s="368">
        <v>0</v>
      </c>
      <c r="U135" s="285">
        <v>6</v>
      </c>
      <c r="V135" s="368">
        <f>ROUND(0.955*U135*1963596.8+0.01,2)</f>
        <v>11251409.67</v>
      </c>
      <c r="W135" s="368">
        <v>0</v>
      </c>
      <c r="X135" s="368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70">
        <f>ROUND(0.03*U135*1963596.8,2)</f>
        <v>353447.42</v>
      </c>
      <c r="AK135" s="370">
        <f>ROUND(0.015*U135*1963596.8,2)</f>
        <v>176723.71</v>
      </c>
      <c r="AL135" s="370">
        <v>0</v>
      </c>
      <c r="AM135" s="447" t="e">
        <f>H135/W135</f>
        <v>#DIV/0!</v>
      </c>
      <c r="AN135" s="227"/>
      <c r="AP135" s="486" t="e">
        <f t="shared" si="42"/>
        <v>#DIV/0!</v>
      </c>
      <c r="AQ135" s="486" t="e">
        <f t="shared" si="46"/>
        <v>#DIV/0!</v>
      </c>
      <c r="AR135" s="486" t="e">
        <f t="shared" si="47"/>
        <v>#DIV/0!</v>
      </c>
      <c r="AS135" s="486" t="e">
        <f t="shared" si="48"/>
        <v>#DIV/0!</v>
      </c>
      <c r="AT135" s="486" t="e">
        <f t="shared" si="49"/>
        <v>#DIV/0!</v>
      </c>
      <c r="AU135" s="486" t="e">
        <f t="shared" si="50"/>
        <v>#DIV/0!</v>
      </c>
      <c r="AV135" s="486">
        <f t="shared" si="51"/>
        <v>1875234.9450000001</v>
      </c>
      <c r="AW135" s="486" t="e">
        <f t="shared" si="52"/>
        <v>#DIV/0!</v>
      </c>
      <c r="AX135" s="486" t="e">
        <f t="shared" si="53"/>
        <v>#DIV/0!</v>
      </c>
      <c r="AY135" s="486" t="e">
        <f t="shared" si="54"/>
        <v>#DIV/0!</v>
      </c>
      <c r="AZ135" s="486" t="e">
        <f t="shared" si="55"/>
        <v>#DIV/0!</v>
      </c>
      <c r="BA135" s="486">
        <f t="shared" si="43"/>
        <v>0</v>
      </c>
      <c r="BB135" s="494">
        <v>5155.41</v>
      </c>
      <c r="BC135" s="494">
        <v>2070.12</v>
      </c>
      <c r="BD135" s="494">
        <v>848.92</v>
      </c>
      <c r="BE135" s="494">
        <v>819.73</v>
      </c>
      <c r="BF135" s="494">
        <v>611.5</v>
      </c>
      <c r="BG135" s="494">
        <v>1080.04</v>
      </c>
      <c r="BH135" s="494">
        <v>2671800.0099999998</v>
      </c>
      <c r="BI135" s="494">
        <f t="shared" si="71"/>
        <v>4422.8500000000004</v>
      </c>
      <c r="BJ135" s="494">
        <v>14289.54</v>
      </c>
      <c r="BK135" s="494">
        <v>3389.61</v>
      </c>
      <c r="BL135" s="494">
        <v>5995.76</v>
      </c>
      <c r="BM135" s="494">
        <v>548.62</v>
      </c>
      <c r="BN135" s="495" t="e">
        <f t="shared" si="56"/>
        <v>#DIV/0!</v>
      </c>
      <c r="BO135" s="495" t="e">
        <f t="shared" si="57"/>
        <v>#DIV/0!</v>
      </c>
      <c r="BP135" s="495" t="e">
        <f t="shared" si="58"/>
        <v>#DIV/0!</v>
      </c>
      <c r="BQ135" s="495" t="e">
        <f t="shared" si="59"/>
        <v>#DIV/0!</v>
      </c>
      <c r="BR135" s="495" t="e">
        <f t="shared" si="60"/>
        <v>#DIV/0!</v>
      </c>
      <c r="BS135" s="495" t="e">
        <f t="shared" si="61"/>
        <v>#DIV/0!</v>
      </c>
      <c r="BT135" s="495" t="str">
        <f t="shared" si="62"/>
        <v xml:space="preserve"> </v>
      </c>
      <c r="BU135" s="495" t="e">
        <f t="shared" si="63"/>
        <v>#DIV/0!</v>
      </c>
      <c r="BV135" s="495" t="e">
        <f t="shared" si="64"/>
        <v>#DIV/0!</v>
      </c>
      <c r="BW135" s="495" t="e">
        <f t="shared" si="65"/>
        <v>#DIV/0!</v>
      </c>
      <c r="BX135" s="495" t="e">
        <f t="shared" si="66"/>
        <v>#DIV/0!</v>
      </c>
      <c r="BY135" s="495" t="str">
        <f t="shared" si="67"/>
        <v xml:space="preserve"> </v>
      </c>
    </row>
    <row r="136" spans="1:77" s="28" customFormat="1" ht="9" customHeight="1">
      <c r="A136" s="366">
        <v>120</v>
      </c>
      <c r="B136" s="200" t="s">
        <v>510</v>
      </c>
      <c r="C136" s="465">
        <v>3981.4</v>
      </c>
      <c r="D136" s="467"/>
      <c r="E136" s="207"/>
      <c r="F136" s="375">
        <f t="shared" si="75"/>
        <v>0</v>
      </c>
      <c r="G136" s="376">
        <v>3927193.6000000001</v>
      </c>
      <c r="H136" s="205">
        <f t="shared" ref="H136:H138" si="79">V136+AJ136+AK136</f>
        <v>3927193.6000000001</v>
      </c>
      <c r="I136" s="368">
        <f t="shared" si="44"/>
        <v>0</v>
      </c>
      <c r="J136" s="205">
        <v>0</v>
      </c>
      <c r="K136" s="465">
        <v>0</v>
      </c>
      <c r="L136" s="205">
        <v>0</v>
      </c>
      <c r="M136" s="465">
        <v>0</v>
      </c>
      <c r="N136" s="205">
        <v>0</v>
      </c>
      <c r="O136" s="249">
        <v>0</v>
      </c>
      <c r="P136" s="368">
        <v>0</v>
      </c>
      <c r="Q136" s="249">
        <v>0</v>
      </c>
      <c r="R136" s="368">
        <v>0</v>
      </c>
      <c r="S136" s="249">
        <v>0</v>
      </c>
      <c r="T136" s="368">
        <v>0</v>
      </c>
      <c r="U136" s="285">
        <v>2</v>
      </c>
      <c r="V136" s="368">
        <f>ROUND(0.955*U136*1963596.8,2)</f>
        <v>3750469.89</v>
      </c>
      <c r="W136" s="368">
        <v>0</v>
      </c>
      <c r="X136" s="368">
        <v>0</v>
      </c>
      <c r="Y136" s="368">
        <v>0</v>
      </c>
      <c r="Z136" s="368">
        <v>0</v>
      </c>
      <c r="AA136" s="368">
        <v>0</v>
      </c>
      <c r="AB136" s="368">
        <v>0</v>
      </c>
      <c r="AC136" s="368">
        <v>0</v>
      </c>
      <c r="AD136" s="368">
        <v>0</v>
      </c>
      <c r="AE136" s="368">
        <v>0</v>
      </c>
      <c r="AF136" s="368">
        <v>0</v>
      </c>
      <c r="AG136" s="368">
        <v>0</v>
      </c>
      <c r="AH136" s="368">
        <v>0</v>
      </c>
      <c r="AI136" s="368">
        <v>0</v>
      </c>
      <c r="AJ136" s="370">
        <f t="shared" ref="AJ136:AJ138" si="80">ROUND(0.03*U136*1963596.8,2)</f>
        <v>117815.81</v>
      </c>
      <c r="AK136" s="370">
        <f t="shared" ref="AK136:AK138" si="81">ROUND(0.015*U136*1963596.8,2)</f>
        <v>58907.9</v>
      </c>
      <c r="AL136" s="370">
        <v>0</v>
      </c>
      <c r="AM136" s="447" t="e">
        <f>H136/W136</f>
        <v>#DIV/0!</v>
      </c>
      <c r="AN136" s="227"/>
      <c r="AP136" s="486" t="e">
        <f t="shared" si="42"/>
        <v>#DIV/0!</v>
      </c>
      <c r="AQ136" s="486" t="e">
        <f t="shared" si="46"/>
        <v>#DIV/0!</v>
      </c>
      <c r="AR136" s="486" t="e">
        <f t="shared" si="47"/>
        <v>#DIV/0!</v>
      </c>
      <c r="AS136" s="486" t="e">
        <f t="shared" si="48"/>
        <v>#DIV/0!</v>
      </c>
      <c r="AT136" s="486" t="e">
        <f t="shared" si="49"/>
        <v>#DIV/0!</v>
      </c>
      <c r="AU136" s="486" t="e">
        <f t="shared" si="50"/>
        <v>#DIV/0!</v>
      </c>
      <c r="AV136" s="486">
        <f t="shared" si="51"/>
        <v>1875234.9450000001</v>
      </c>
      <c r="AW136" s="486" t="e">
        <f t="shared" si="52"/>
        <v>#DIV/0!</v>
      </c>
      <c r="AX136" s="486" t="e">
        <f t="shared" si="53"/>
        <v>#DIV/0!</v>
      </c>
      <c r="AY136" s="486" t="e">
        <f t="shared" si="54"/>
        <v>#DIV/0!</v>
      </c>
      <c r="AZ136" s="486" t="e">
        <f t="shared" si="55"/>
        <v>#DIV/0!</v>
      </c>
      <c r="BA136" s="486">
        <f t="shared" si="43"/>
        <v>0</v>
      </c>
      <c r="BB136" s="494">
        <v>5155.41</v>
      </c>
      <c r="BC136" s="494">
        <v>2070.12</v>
      </c>
      <c r="BD136" s="494">
        <v>848.92</v>
      </c>
      <c r="BE136" s="494">
        <v>819.73</v>
      </c>
      <c r="BF136" s="494">
        <v>611.5</v>
      </c>
      <c r="BG136" s="494">
        <v>1080.04</v>
      </c>
      <c r="BH136" s="494">
        <v>2671800.0099999998</v>
      </c>
      <c r="BI136" s="494">
        <f t="shared" si="71"/>
        <v>4422.8500000000004</v>
      </c>
      <c r="BJ136" s="494">
        <v>14289.54</v>
      </c>
      <c r="BK136" s="494">
        <v>3389.61</v>
      </c>
      <c r="BL136" s="494">
        <v>5995.76</v>
      </c>
      <c r="BM136" s="494">
        <v>548.62</v>
      </c>
      <c r="BN136" s="495" t="e">
        <f t="shared" si="56"/>
        <v>#DIV/0!</v>
      </c>
      <c r="BO136" s="495" t="e">
        <f t="shared" si="57"/>
        <v>#DIV/0!</v>
      </c>
      <c r="BP136" s="495" t="e">
        <f t="shared" si="58"/>
        <v>#DIV/0!</v>
      </c>
      <c r="BQ136" s="495" t="e">
        <f t="shared" si="59"/>
        <v>#DIV/0!</v>
      </c>
      <c r="BR136" s="495" t="e">
        <f t="shared" si="60"/>
        <v>#DIV/0!</v>
      </c>
      <c r="BS136" s="495" t="e">
        <f t="shared" si="61"/>
        <v>#DIV/0!</v>
      </c>
      <c r="BT136" s="495" t="str">
        <f t="shared" si="62"/>
        <v xml:space="preserve"> </v>
      </c>
      <c r="BU136" s="495" t="e">
        <f t="shared" si="63"/>
        <v>#DIV/0!</v>
      </c>
      <c r="BV136" s="495" t="e">
        <f t="shared" si="64"/>
        <v>#DIV/0!</v>
      </c>
      <c r="BW136" s="495" t="e">
        <f t="shared" si="65"/>
        <v>#DIV/0!</v>
      </c>
      <c r="BX136" s="495" t="e">
        <f t="shared" si="66"/>
        <v>#DIV/0!</v>
      </c>
      <c r="BY136" s="495" t="str">
        <f t="shared" si="67"/>
        <v xml:space="preserve"> </v>
      </c>
    </row>
    <row r="137" spans="1:77" s="28" customFormat="1" ht="9" customHeight="1">
      <c r="A137" s="366">
        <v>121</v>
      </c>
      <c r="B137" s="200" t="s">
        <v>1079</v>
      </c>
      <c r="C137" s="465">
        <v>7353.82</v>
      </c>
      <c r="D137" s="467"/>
      <c r="E137" s="207"/>
      <c r="F137" s="375">
        <f t="shared" si="75"/>
        <v>0</v>
      </c>
      <c r="G137" s="376">
        <v>7854387.2000000002</v>
      </c>
      <c r="H137" s="205">
        <f t="shared" si="79"/>
        <v>7854387.1999999993</v>
      </c>
      <c r="I137" s="368">
        <f t="shared" si="44"/>
        <v>0</v>
      </c>
      <c r="J137" s="205">
        <v>0</v>
      </c>
      <c r="K137" s="465">
        <v>0</v>
      </c>
      <c r="L137" s="205">
        <v>0</v>
      </c>
      <c r="M137" s="465">
        <v>0</v>
      </c>
      <c r="N137" s="205">
        <v>0</v>
      </c>
      <c r="O137" s="249">
        <v>0</v>
      </c>
      <c r="P137" s="368">
        <v>0</v>
      </c>
      <c r="Q137" s="249">
        <v>0</v>
      </c>
      <c r="R137" s="368">
        <v>0</v>
      </c>
      <c r="S137" s="249">
        <v>0</v>
      </c>
      <c r="T137" s="368">
        <v>0</v>
      </c>
      <c r="U137" s="285">
        <v>4</v>
      </c>
      <c r="V137" s="368">
        <f>ROUND(0.955*U137*1963596.8-0.01,2)</f>
        <v>7500939.7699999996</v>
      </c>
      <c r="W137" s="368">
        <v>0</v>
      </c>
      <c r="X137" s="368">
        <v>0</v>
      </c>
      <c r="Y137" s="368">
        <v>0</v>
      </c>
      <c r="Z137" s="368">
        <v>0</v>
      </c>
      <c r="AA137" s="368">
        <v>0</v>
      </c>
      <c r="AB137" s="368">
        <v>0</v>
      </c>
      <c r="AC137" s="368">
        <v>0</v>
      </c>
      <c r="AD137" s="368">
        <v>0</v>
      </c>
      <c r="AE137" s="368">
        <v>0</v>
      </c>
      <c r="AF137" s="368">
        <v>0</v>
      </c>
      <c r="AG137" s="368">
        <v>0</v>
      </c>
      <c r="AH137" s="368">
        <v>0</v>
      </c>
      <c r="AI137" s="368">
        <v>0</v>
      </c>
      <c r="AJ137" s="370">
        <f t="shared" si="80"/>
        <v>235631.62</v>
      </c>
      <c r="AK137" s="370">
        <f t="shared" si="81"/>
        <v>117815.81</v>
      </c>
      <c r="AL137" s="370">
        <v>0</v>
      </c>
      <c r="AM137" s="447" t="e">
        <f>H137/W137</f>
        <v>#DIV/0!</v>
      </c>
      <c r="AN137" s="227"/>
      <c r="AP137" s="486" t="e">
        <f t="shared" si="42"/>
        <v>#DIV/0!</v>
      </c>
      <c r="AQ137" s="486" t="e">
        <f t="shared" si="46"/>
        <v>#DIV/0!</v>
      </c>
      <c r="AR137" s="486" t="e">
        <f t="shared" si="47"/>
        <v>#DIV/0!</v>
      </c>
      <c r="AS137" s="486" t="e">
        <f t="shared" si="48"/>
        <v>#DIV/0!</v>
      </c>
      <c r="AT137" s="486" t="e">
        <f t="shared" si="49"/>
        <v>#DIV/0!</v>
      </c>
      <c r="AU137" s="486" t="e">
        <f t="shared" si="50"/>
        <v>#DIV/0!</v>
      </c>
      <c r="AV137" s="486">
        <f t="shared" si="51"/>
        <v>1875234.9424999999</v>
      </c>
      <c r="AW137" s="486" t="e">
        <f t="shared" si="52"/>
        <v>#DIV/0!</v>
      </c>
      <c r="AX137" s="486" t="e">
        <f t="shared" si="53"/>
        <v>#DIV/0!</v>
      </c>
      <c r="AY137" s="486" t="e">
        <f t="shared" si="54"/>
        <v>#DIV/0!</v>
      </c>
      <c r="AZ137" s="486" t="e">
        <f t="shared" si="55"/>
        <v>#DIV/0!</v>
      </c>
      <c r="BA137" s="486">
        <f t="shared" si="43"/>
        <v>0</v>
      </c>
      <c r="BB137" s="494">
        <v>5155.41</v>
      </c>
      <c r="BC137" s="494">
        <v>2070.12</v>
      </c>
      <c r="BD137" s="494">
        <v>848.92</v>
      </c>
      <c r="BE137" s="494">
        <v>819.73</v>
      </c>
      <c r="BF137" s="494">
        <v>611.5</v>
      </c>
      <c r="BG137" s="494">
        <v>1080.04</v>
      </c>
      <c r="BH137" s="494">
        <v>2671800.0099999998</v>
      </c>
      <c r="BI137" s="494">
        <f t="shared" si="71"/>
        <v>4422.8500000000004</v>
      </c>
      <c r="BJ137" s="494">
        <v>14289.54</v>
      </c>
      <c r="BK137" s="494">
        <v>3389.61</v>
      </c>
      <c r="BL137" s="494">
        <v>5995.76</v>
      </c>
      <c r="BM137" s="494">
        <v>548.62</v>
      </c>
      <c r="BN137" s="495" t="e">
        <f t="shared" si="56"/>
        <v>#DIV/0!</v>
      </c>
      <c r="BO137" s="495" t="e">
        <f t="shared" si="57"/>
        <v>#DIV/0!</v>
      </c>
      <c r="BP137" s="495" t="e">
        <f t="shared" si="58"/>
        <v>#DIV/0!</v>
      </c>
      <c r="BQ137" s="495" t="e">
        <f t="shared" si="59"/>
        <v>#DIV/0!</v>
      </c>
      <c r="BR137" s="495" t="e">
        <f t="shared" si="60"/>
        <v>#DIV/0!</v>
      </c>
      <c r="BS137" s="495" t="e">
        <f t="shared" si="61"/>
        <v>#DIV/0!</v>
      </c>
      <c r="BT137" s="495" t="str">
        <f t="shared" si="62"/>
        <v xml:space="preserve"> </v>
      </c>
      <c r="BU137" s="495" t="e">
        <f t="shared" si="63"/>
        <v>#DIV/0!</v>
      </c>
      <c r="BV137" s="495" t="e">
        <f t="shared" si="64"/>
        <v>#DIV/0!</v>
      </c>
      <c r="BW137" s="495" t="e">
        <f t="shared" si="65"/>
        <v>#DIV/0!</v>
      </c>
      <c r="BX137" s="495" t="e">
        <f t="shared" si="66"/>
        <v>#DIV/0!</v>
      </c>
      <c r="BY137" s="495" t="str">
        <f t="shared" si="67"/>
        <v xml:space="preserve"> </v>
      </c>
    </row>
    <row r="138" spans="1:77" s="28" customFormat="1" ht="9" customHeight="1">
      <c r="A138" s="366">
        <v>122</v>
      </c>
      <c r="B138" s="200" t="s">
        <v>1080</v>
      </c>
      <c r="C138" s="465">
        <v>3288.1</v>
      </c>
      <c r="D138" s="467"/>
      <c r="E138" s="207"/>
      <c r="F138" s="375">
        <f t="shared" si="75"/>
        <v>0</v>
      </c>
      <c r="G138" s="376">
        <v>1963596.8</v>
      </c>
      <c r="H138" s="205">
        <f t="shared" si="79"/>
        <v>1963596.7999999998</v>
      </c>
      <c r="I138" s="368">
        <f t="shared" si="44"/>
        <v>0</v>
      </c>
      <c r="J138" s="205">
        <v>0</v>
      </c>
      <c r="K138" s="465">
        <v>0</v>
      </c>
      <c r="L138" s="205">
        <v>0</v>
      </c>
      <c r="M138" s="465">
        <v>0</v>
      </c>
      <c r="N138" s="205">
        <v>0</v>
      </c>
      <c r="O138" s="249">
        <v>0</v>
      </c>
      <c r="P138" s="368">
        <v>0</v>
      </c>
      <c r="Q138" s="249">
        <v>0</v>
      </c>
      <c r="R138" s="368">
        <v>0</v>
      </c>
      <c r="S138" s="249">
        <v>0</v>
      </c>
      <c r="T138" s="368">
        <v>0</v>
      </c>
      <c r="U138" s="285">
        <v>1</v>
      </c>
      <c r="V138" s="368">
        <f>ROUND(0.955*U138*1963596.8+0.01,2)</f>
        <v>1875234.95</v>
      </c>
      <c r="W138" s="368">
        <v>0</v>
      </c>
      <c r="X138" s="368">
        <v>0</v>
      </c>
      <c r="Y138" s="368">
        <v>0</v>
      </c>
      <c r="Z138" s="368">
        <v>0</v>
      </c>
      <c r="AA138" s="368">
        <v>0</v>
      </c>
      <c r="AB138" s="368">
        <v>0</v>
      </c>
      <c r="AC138" s="368">
        <v>0</v>
      </c>
      <c r="AD138" s="368">
        <v>0</v>
      </c>
      <c r="AE138" s="368">
        <v>0</v>
      </c>
      <c r="AF138" s="368">
        <v>0</v>
      </c>
      <c r="AG138" s="368">
        <v>0</v>
      </c>
      <c r="AH138" s="368">
        <v>0</v>
      </c>
      <c r="AI138" s="368">
        <v>0</v>
      </c>
      <c r="AJ138" s="370">
        <f t="shared" si="80"/>
        <v>58907.9</v>
      </c>
      <c r="AK138" s="370">
        <f t="shared" si="81"/>
        <v>29453.95</v>
      </c>
      <c r="AL138" s="370">
        <v>0</v>
      </c>
      <c r="AM138" s="447" t="e">
        <f>H138/W138</f>
        <v>#DIV/0!</v>
      </c>
      <c r="AN138" s="227"/>
      <c r="AP138" s="486" t="e">
        <f t="shared" si="42"/>
        <v>#DIV/0!</v>
      </c>
      <c r="AQ138" s="486" t="e">
        <f t="shared" si="46"/>
        <v>#DIV/0!</v>
      </c>
      <c r="AR138" s="486" t="e">
        <f t="shared" si="47"/>
        <v>#DIV/0!</v>
      </c>
      <c r="AS138" s="486" t="e">
        <f t="shared" si="48"/>
        <v>#DIV/0!</v>
      </c>
      <c r="AT138" s="486" t="e">
        <f t="shared" si="49"/>
        <v>#DIV/0!</v>
      </c>
      <c r="AU138" s="486" t="e">
        <f t="shared" si="50"/>
        <v>#DIV/0!</v>
      </c>
      <c r="AV138" s="486">
        <f t="shared" si="51"/>
        <v>1875234.95</v>
      </c>
      <c r="AW138" s="486" t="e">
        <f t="shared" si="52"/>
        <v>#DIV/0!</v>
      </c>
      <c r="AX138" s="486" t="e">
        <f t="shared" si="53"/>
        <v>#DIV/0!</v>
      </c>
      <c r="AY138" s="486" t="e">
        <f t="shared" si="54"/>
        <v>#DIV/0!</v>
      </c>
      <c r="AZ138" s="486" t="e">
        <f t="shared" si="55"/>
        <v>#DIV/0!</v>
      </c>
      <c r="BA138" s="486">
        <f t="shared" si="43"/>
        <v>0</v>
      </c>
      <c r="BB138" s="494">
        <v>5155.41</v>
      </c>
      <c r="BC138" s="494">
        <v>2070.12</v>
      </c>
      <c r="BD138" s="494">
        <v>848.92</v>
      </c>
      <c r="BE138" s="494">
        <v>819.73</v>
      </c>
      <c r="BF138" s="494">
        <v>611.5</v>
      </c>
      <c r="BG138" s="494">
        <v>1080.04</v>
      </c>
      <c r="BH138" s="494">
        <v>2671800.0099999998</v>
      </c>
      <c r="BI138" s="494">
        <f t="shared" si="71"/>
        <v>4422.8500000000004</v>
      </c>
      <c r="BJ138" s="494">
        <v>14289.54</v>
      </c>
      <c r="BK138" s="494">
        <v>3389.61</v>
      </c>
      <c r="BL138" s="494">
        <v>5995.76</v>
      </c>
      <c r="BM138" s="494">
        <v>548.62</v>
      </c>
      <c r="BN138" s="495" t="e">
        <f t="shared" si="56"/>
        <v>#DIV/0!</v>
      </c>
      <c r="BO138" s="495" t="e">
        <f t="shared" si="57"/>
        <v>#DIV/0!</v>
      </c>
      <c r="BP138" s="495" t="e">
        <f t="shared" si="58"/>
        <v>#DIV/0!</v>
      </c>
      <c r="BQ138" s="495" t="e">
        <f t="shared" si="59"/>
        <v>#DIV/0!</v>
      </c>
      <c r="BR138" s="495" t="e">
        <f t="shared" si="60"/>
        <v>#DIV/0!</v>
      </c>
      <c r="BS138" s="495" t="e">
        <f t="shared" si="61"/>
        <v>#DIV/0!</v>
      </c>
      <c r="BT138" s="495" t="str">
        <f t="shared" si="62"/>
        <v xml:space="preserve"> </v>
      </c>
      <c r="BU138" s="495" t="e">
        <f t="shared" si="63"/>
        <v>#DIV/0!</v>
      </c>
      <c r="BV138" s="495" t="e">
        <f t="shared" si="64"/>
        <v>#DIV/0!</v>
      </c>
      <c r="BW138" s="495" t="e">
        <f t="shared" si="65"/>
        <v>#DIV/0!</v>
      </c>
      <c r="BX138" s="495" t="e">
        <f t="shared" si="66"/>
        <v>#DIV/0!</v>
      </c>
      <c r="BY138" s="495" t="str">
        <f t="shared" si="67"/>
        <v xml:space="preserve"> </v>
      </c>
    </row>
    <row r="139" spans="1:77" s="28" customFormat="1" ht="9" customHeight="1">
      <c r="A139" s="366">
        <v>123</v>
      </c>
      <c r="B139" s="136" t="s">
        <v>457</v>
      </c>
      <c r="C139" s="465">
        <v>2285</v>
      </c>
      <c r="D139" s="308"/>
      <c r="E139" s="141"/>
      <c r="F139" s="375">
        <f t="shared" si="75"/>
        <v>-2.8499998152256012E-3</v>
      </c>
      <c r="G139" s="374">
        <v>9017368.7300000004</v>
      </c>
      <c r="H139" s="361">
        <f>X139+AB139+AJ139+AK139</f>
        <v>9017368.7271500006</v>
      </c>
      <c r="I139" s="368">
        <f t="shared" si="44"/>
        <v>0</v>
      </c>
      <c r="J139" s="362">
        <v>0</v>
      </c>
      <c r="K139" s="374">
        <v>0</v>
      </c>
      <c r="L139" s="362">
        <v>0</v>
      </c>
      <c r="M139" s="374">
        <v>0</v>
      </c>
      <c r="N139" s="362">
        <v>0</v>
      </c>
      <c r="O139" s="249">
        <v>0</v>
      </c>
      <c r="P139" s="368">
        <v>0</v>
      </c>
      <c r="Q139" s="249">
        <v>0</v>
      </c>
      <c r="R139" s="368">
        <v>0</v>
      </c>
      <c r="S139" s="249">
        <v>0</v>
      </c>
      <c r="T139" s="368">
        <v>0</v>
      </c>
      <c r="U139" s="130">
        <v>0</v>
      </c>
      <c r="V139" s="368">
        <v>0</v>
      </c>
      <c r="W139" s="368">
        <v>1610</v>
      </c>
      <c r="X139" s="368">
        <f>4301956.73*0.955</f>
        <v>4108368.6771500004</v>
      </c>
      <c r="Y139" s="370">
        <v>0</v>
      </c>
      <c r="Z139" s="370">
        <v>0</v>
      </c>
      <c r="AA139" s="370">
        <v>2004</v>
      </c>
      <c r="AB139" s="370">
        <f>ROUND(0.955*2353*AA139,2)</f>
        <v>4503218.46</v>
      </c>
      <c r="AC139" s="370">
        <v>0</v>
      </c>
      <c r="AD139" s="370">
        <v>0</v>
      </c>
      <c r="AE139" s="370">
        <v>0</v>
      </c>
      <c r="AF139" s="370">
        <v>0</v>
      </c>
      <c r="AG139" s="370">
        <v>0</v>
      </c>
      <c r="AH139" s="370">
        <v>0</v>
      </c>
      <c r="AI139" s="370">
        <v>0</v>
      </c>
      <c r="AJ139" s="370">
        <f>ROUND(0.03*(X139+AB139)/0.955,2)</f>
        <v>270521.06</v>
      </c>
      <c r="AK139" s="370">
        <f>ROUND(0.015*(X139+AB139)/0.955,2)</f>
        <v>135260.53</v>
      </c>
      <c r="AL139" s="370">
        <v>0</v>
      </c>
      <c r="AM139" s="229"/>
      <c r="AN139" s="229"/>
      <c r="AP139" s="486" t="e">
        <f t="shared" si="42"/>
        <v>#DIV/0!</v>
      </c>
      <c r="AQ139" s="486" t="e">
        <f t="shared" si="46"/>
        <v>#DIV/0!</v>
      </c>
      <c r="AR139" s="486" t="e">
        <f t="shared" si="47"/>
        <v>#DIV/0!</v>
      </c>
      <c r="AS139" s="486" t="e">
        <f t="shared" si="48"/>
        <v>#DIV/0!</v>
      </c>
      <c r="AT139" s="486" t="e">
        <f t="shared" si="49"/>
        <v>#DIV/0!</v>
      </c>
      <c r="AU139" s="486" t="e">
        <f t="shared" si="50"/>
        <v>#DIV/0!</v>
      </c>
      <c r="AV139" s="486" t="e">
        <f t="shared" si="51"/>
        <v>#DIV/0!</v>
      </c>
      <c r="AW139" s="486">
        <f t="shared" si="52"/>
        <v>2551.7817870496897</v>
      </c>
      <c r="AX139" s="486" t="e">
        <f t="shared" si="53"/>
        <v>#DIV/0!</v>
      </c>
      <c r="AY139" s="486">
        <f t="shared" si="54"/>
        <v>2247.1149999999998</v>
      </c>
      <c r="AZ139" s="486" t="e">
        <f t="shared" si="55"/>
        <v>#DIV/0!</v>
      </c>
      <c r="BA139" s="486">
        <f t="shared" si="43"/>
        <v>0</v>
      </c>
      <c r="BB139" s="494">
        <v>5155.41</v>
      </c>
      <c r="BC139" s="494">
        <v>2070.12</v>
      </c>
      <c r="BD139" s="494">
        <v>848.92</v>
      </c>
      <c r="BE139" s="494">
        <v>819.73</v>
      </c>
      <c r="BF139" s="494">
        <v>611.5</v>
      </c>
      <c r="BG139" s="494">
        <v>1080.04</v>
      </c>
      <c r="BH139" s="494">
        <v>2671800.0099999998</v>
      </c>
      <c r="BI139" s="494">
        <f t="shared" si="71"/>
        <v>4422.8500000000004</v>
      </c>
      <c r="BJ139" s="494">
        <v>14289.54</v>
      </c>
      <c r="BK139" s="494">
        <v>3389.61</v>
      </c>
      <c r="BL139" s="494">
        <v>5995.76</v>
      </c>
      <c r="BM139" s="494">
        <v>548.62</v>
      </c>
      <c r="BN139" s="495" t="e">
        <f t="shared" si="56"/>
        <v>#DIV/0!</v>
      </c>
      <c r="BO139" s="495" t="e">
        <f t="shared" si="57"/>
        <v>#DIV/0!</v>
      </c>
      <c r="BP139" s="495" t="e">
        <f t="shared" si="58"/>
        <v>#DIV/0!</v>
      </c>
      <c r="BQ139" s="495" t="e">
        <f t="shared" si="59"/>
        <v>#DIV/0!</v>
      </c>
      <c r="BR139" s="495" t="e">
        <f t="shared" si="60"/>
        <v>#DIV/0!</v>
      </c>
      <c r="BS139" s="495" t="e">
        <f t="shared" si="61"/>
        <v>#DIV/0!</v>
      </c>
      <c r="BT139" s="495" t="e">
        <f t="shared" si="62"/>
        <v>#DIV/0!</v>
      </c>
      <c r="BU139" s="495" t="str">
        <f t="shared" si="63"/>
        <v xml:space="preserve"> </v>
      </c>
      <c r="BV139" s="495" t="e">
        <f t="shared" si="64"/>
        <v>#DIV/0!</v>
      </c>
      <c r="BW139" s="495" t="str">
        <f t="shared" si="65"/>
        <v xml:space="preserve"> </v>
      </c>
      <c r="BX139" s="495" t="e">
        <f t="shared" si="66"/>
        <v>#DIV/0!</v>
      </c>
      <c r="BY139" s="495" t="str">
        <f t="shared" si="67"/>
        <v xml:space="preserve"> </v>
      </c>
    </row>
    <row r="140" spans="1:77" s="28" customFormat="1" ht="9" customHeight="1">
      <c r="A140" s="366">
        <v>124</v>
      </c>
      <c r="B140" s="156" t="s">
        <v>204</v>
      </c>
      <c r="C140" s="465">
        <v>455.29</v>
      </c>
      <c r="D140" s="363"/>
      <c r="E140" s="366"/>
      <c r="F140" s="375">
        <f t="shared" si="75"/>
        <v>0</v>
      </c>
      <c r="G140" s="249">
        <v>834091.27999999991</v>
      </c>
      <c r="H140" s="362">
        <f>I140+AI140+AJ140+AK140</f>
        <v>834091.27999999991</v>
      </c>
      <c r="I140" s="368">
        <f t="shared" si="44"/>
        <v>708727.17999999993</v>
      </c>
      <c r="J140" s="362">
        <v>0</v>
      </c>
      <c r="K140" s="374">
        <v>0</v>
      </c>
      <c r="L140" s="205">
        <f>ROUND(0.955*(C140*1200),2)</f>
        <v>521762.34</v>
      </c>
      <c r="M140" s="374">
        <v>0</v>
      </c>
      <c r="N140" s="362">
        <v>0</v>
      </c>
      <c r="O140" s="249">
        <v>0</v>
      </c>
      <c r="P140" s="368">
        <f>ROUND(0.955*(C140*210),2)</f>
        <v>91308.41</v>
      </c>
      <c r="Q140" s="249">
        <v>0</v>
      </c>
      <c r="R140" s="368">
        <v>0</v>
      </c>
      <c r="S140" s="249">
        <v>0</v>
      </c>
      <c r="T140" s="368">
        <f>ROUND(0.955*(C140*220),2)</f>
        <v>95656.43</v>
      </c>
      <c r="U140" s="130">
        <v>0</v>
      </c>
      <c r="V140" s="368">
        <v>0</v>
      </c>
      <c r="W140" s="368">
        <v>0</v>
      </c>
      <c r="X140" s="368">
        <v>0</v>
      </c>
      <c r="Y140" s="370">
        <v>0</v>
      </c>
      <c r="Z140" s="370">
        <v>0</v>
      </c>
      <c r="AA140" s="370">
        <v>0</v>
      </c>
      <c r="AB140" s="370">
        <v>0</v>
      </c>
      <c r="AC140" s="370">
        <v>0</v>
      </c>
      <c r="AD140" s="370">
        <v>0</v>
      </c>
      <c r="AE140" s="370">
        <v>0</v>
      </c>
      <c r="AF140" s="370">
        <v>0</v>
      </c>
      <c r="AG140" s="370">
        <v>0</v>
      </c>
      <c r="AH140" s="370">
        <v>0</v>
      </c>
      <c r="AI140" s="370">
        <f>ROUND(0.955*C140*(180+22),2)</f>
        <v>87829.99</v>
      </c>
      <c r="AJ140" s="370">
        <f>ROUND(0.03*(210+220+1200+180+22)*C140,2)</f>
        <v>25022.74</v>
      </c>
      <c r="AK140" s="370">
        <f>ROUND(0.015*(210+220+1200+180+22)*C140,2)</f>
        <v>12511.37</v>
      </c>
      <c r="AL140" s="370">
        <v>0</v>
      </c>
      <c r="AM140" s="229"/>
      <c r="AN140" s="229"/>
      <c r="AP140" s="486" t="e">
        <f t="shared" si="42"/>
        <v>#DIV/0!</v>
      </c>
      <c r="AQ140" s="486" t="e">
        <f t="shared" si="46"/>
        <v>#DIV/0!</v>
      </c>
      <c r="AR140" s="486" t="e">
        <f t="shared" si="47"/>
        <v>#DIV/0!</v>
      </c>
      <c r="AS140" s="486" t="e">
        <f t="shared" si="48"/>
        <v>#DIV/0!</v>
      </c>
      <c r="AT140" s="486" t="e">
        <f t="shared" si="49"/>
        <v>#DIV/0!</v>
      </c>
      <c r="AU140" s="486" t="e">
        <f t="shared" si="50"/>
        <v>#DIV/0!</v>
      </c>
      <c r="AV140" s="486" t="e">
        <f t="shared" si="51"/>
        <v>#DIV/0!</v>
      </c>
      <c r="AW140" s="486" t="e">
        <f t="shared" si="52"/>
        <v>#DIV/0!</v>
      </c>
      <c r="AX140" s="486" t="e">
        <f t="shared" si="53"/>
        <v>#DIV/0!</v>
      </c>
      <c r="AY140" s="486" t="e">
        <f t="shared" si="54"/>
        <v>#DIV/0!</v>
      </c>
      <c r="AZ140" s="486" t="e">
        <f t="shared" si="55"/>
        <v>#DIV/0!</v>
      </c>
      <c r="BA140" s="486">
        <f t="shared" si="43"/>
        <v>192.90999143403107</v>
      </c>
      <c r="BB140" s="494">
        <v>5155.41</v>
      </c>
      <c r="BC140" s="494">
        <v>2070.12</v>
      </c>
      <c r="BD140" s="494">
        <v>848.92</v>
      </c>
      <c r="BE140" s="494">
        <v>819.73</v>
      </c>
      <c r="BF140" s="494">
        <v>611.5</v>
      </c>
      <c r="BG140" s="494">
        <v>1080.04</v>
      </c>
      <c r="BH140" s="494">
        <v>2671800.0099999998</v>
      </c>
      <c r="BI140" s="494">
        <f t="shared" si="71"/>
        <v>4422.8500000000004</v>
      </c>
      <c r="BJ140" s="494">
        <v>14289.54</v>
      </c>
      <c r="BK140" s="494">
        <v>3389.61</v>
      </c>
      <c r="BL140" s="494">
        <v>5995.76</v>
      </c>
      <c r="BM140" s="494">
        <v>548.62</v>
      </c>
      <c r="BN140" s="495" t="e">
        <f t="shared" si="56"/>
        <v>#DIV/0!</v>
      </c>
      <c r="BO140" s="495" t="e">
        <f t="shared" si="57"/>
        <v>#DIV/0!</v>
      </c>
      <c r="BP140" s="495" t="e">
        <f t="shared" si="58"/>
        <v>#DIV/0!</v>
      </c>
      <c r="BQ140" s="495" t="e">
        <f t="shared" si="59"/>
        <v>#DIV/0!</v>
      </c>
      <c r="BR140" s="495" t="e">
        <f t="shared" si="60"/>
        <v>#DIV/0!</v>
      </c>
      <c r="BS140" s="495" t="e">
        <f t="shared" si="61"/>
        <v>#DIV/0!</v>
      </c>
      <c r="BT140" s="495" t="e">
        <f t="shared" si="62"/>
        <v>#DIV/0!</v>
      </c>
      <c r="BU140" s="495" t="e">
        <f t="shared" si="63"/>
        <v>#DIV/0!</v>
      </c>
      <c r="BV140" s="495" t="e">
        <f t="shared" si="64"/>
        <v>#DIV/0!</v>
      </c>
      <c r="BW140" s="495" t="e">
        <f t="shared" si="65"/>
        <v>#DIV/0!</v>
      </c>
      <c r="BX140" s="495" t="e">
        <f t="shared" si="66"/>
        <v>#DIV/0!</v>
      </c>
      <c r="BY140" s="495" t="str">
        <f t="shared" si="67"/>
        <v xml:space="preserve"> </v>
      </c>
    </row>
    <row r="141" spans="1:77" s="28" customFormat="1" ht="9" customHeight="1">
      <c r="A141" s="366">
        <v>125</v>
      </c>
      <c r="B141" s="39" t="s">
        <v>1095</v>
      </c>
      <c r="C141" s="465">
        <v>3536.4</v>
      </c>
      <c r="D141" s="308"/>
      <c r="E141" s="141" t="s">
        <v>1005</v>
      </c>
      <c r="F141" s="375">
        <f t="shared" si="75"/>
        <v>0</v>
      </c>
      <c r="G141" s="374">
        <v>3293992</v>
      </c>
      <c r="H141" s="362">
        <v>3293992</v>
      </c>
      <c r="I141" s="368">
        <f t="shared" si="44"/>
        <v>0</v>
      </c>
      <c r="J141" s="362">
        <v>0</v>
      </c>
      <c r="K141" s="374">
        <v>0</v>
      </c>
      <c r="L141" s="362">
        <v>0</v>
      </c>
      <c r="M141" s="374">
        <v>0</v>
      </c>
      <c r="N141" s="362">
        <v>0</v>
      </c>
      <c r="O141" s="249">
        <v>0</v>
      </c>
      <c r="P141" s="368">
        <v>0</v>
      </c>
      <c r="Q141" s="249">
        <v>0</v>
      </c>
      <c r="R141" s="368">
        <v>0</v>
      </c>
      <c r="S141" s="249">
        <v>0</v>
      </c>
      <c r="T141" s="368">
        <v>0</v>
      </c>
      <c r="U141" s="130">
        <v>0</v>
      </c>
      <c r="V141" s="368">
        <v>0</v>
      </c>
      <c r="W141" s="368">
        <v>988</v>
      </c>
      <c r="X141" s="368">
        <f>ROUND(H141/100*95.5,2)</f>
        <v>3145762.36</v>
      </c>
      <c r="Y141" s="370">
        <v>0</v>
      </c>
      <c r="Z141" s="370">
        <v>0</v>
      </c>
      <c r="AA141" s="370">
        <v>0</v>
      </c>
      <c r="AB141" s="370">
        <v>0</v>
      </c>
      <c r="AC141" s="370">
        <v>0</v>
      </c>
      <c r="AD141" s="370">
        <v>0</v>
      </c>
      <c r="AE141" s="370">
        <v>0</v>
      </c>
      <c r="AF141" s="370">
        <v>0</v>
      </c>
      <c r="AG141" s="370">
        <v>0</v>
      </c>
      <c r="AH141" s="370">
        <v>0</v>
      </c>
      <c r="AI141" s="370">
        <v>0</v>
      </c>
      <c r="AJ141" s="370">
        <f t="shared" ref="AJ141:AJ142" si="82">ROUND(H141/100*3,2)</f>
        <v>98819.76</v>
      </c>
      <c r="AK141" s="370">
        <f t="shared" ref="AK141:AK142" si="83">ROUND(H141/100*1.5,2)</f>
        <v>49409.88</v>
      </c>
      <c r="AL141" s="370">
        <v>0</v>
      </c>
      <c r="AM141" s="229"/>
      <c r="AN141" s="229"/>
      <c r="AP141" s="486" t="e">
        <f t="shared" si="42"/>
        <v>#DIV/0!</v>
      </c>
      <c r="AQ141" s="486" t="e">
        <f t="shared" si="46"/>
        <v>#DIV/0!</v>
      </c>
      <c r="AR141" s="486" t="e">
        <f t="shared" si="47"/>
        <v>#DIV/0!</v>
      </c>
      <c r="AS141" s="486" t="e">
        <f t="shared" si="48"/>
        <v>#DIV/0!</v>
      </c>
      <c r="AT141" s="486" t="e">
        <f t="shared" si="49"/>
        <v>#DIV/0!</v>
      </c>
      <c r="AU141" s="486" t="e">
        <f t="shared" si="50"/>
        <v>#DIV/0!</v>
      </c>
      <c r="AV141" s="486" t="e">
        <f t="shared" si="51"/>
        <v>#DIV/0!</v>
      </c>
      <c r="AW141" s="486">
        <f t="shared" si="52"/>
        <v>3183.97</v>
      </c>
      <c r="AX141" s="486" t="e">
        <f t="shared" si="53"/>
        <v>#DIV/0!</v>
      </c>
      <c r="AY141" s="486" t="e">
        <f t="shared" si="54"/>
        <v>#DIV/0!</v>
      </c>
      <c r="AZ141" s="486" t="e">
        <f t="shared" si="55"/>
        <v>#DIV/0!</v>
      </c>
      <c r="BA141" s="486">
        <f t="shared" si="43"/>
        <v>0</v>
      </c>
      <c r="BB141" s="494">
        <v>5155.41</v>
      </c>
      <c r="BC141" s="494">
        <v>2070.12</v>
      </c>
      <c r="BD141" s="494">
        <v>848.92</v>
      </c>
      <c r="BE141" s="494">
        <v>819.73</v>
      </c>
      <c r="BF141" s="494">
        <v>611.5</v>
      </c>
      <c r="BG141" s="494">
        <v>1080.04</v>
      </c>
      <c r="BH141" s="494">
        <v>2671800.0099999998</v>
      </c>
      <c r="BI141" s="494">
        <f t="shared" si="71"/>
        <v>4607.6000000000004</v>
      </c>
      <c r="BJ141" s="494">
        <v>14289.54</v>
      </c>
      <c r="BK141" s="494">
        <v>3389.61</v>
      </c>
      <c r="BL141" s="494">
        <v>5995.76</v>
      </c>
      <c r="BM141" s="494">
        <v>548.62</v>
      </c>
      <c r="BN141" s="495" t="e">
        <f t="shared" si="56"/>
        <v>#DIV/0!</v>
      </c>
      <c r="BO141" s="495" t="e">
        <f t="shared" si="57"/>
        <v>#DIV/0!</v>
      </c>
      <c r="BP141" s="495" t="e">
        <f t="shared" si="58"/>
        <v>#DIV/0!</v>
      </c>
      <c r="BQ141" s="495" t="e">
        <f t="shared" si="59"/>
        <v>#DIV/0!</v>
      </c>
      <c r="BR141" s="495" t="e">
        <f t="shared" si="60"/>
        <v>#DIV/0!</v>
      </c>
      <c r="BS141" s="495" t="e">
        <f t="shared" si="61"/>
        <v>#DIV/0!</v>
      </c>
      <c r="BT141" s="495" t="e">
        <f t="shared" si="62"/>
        <v>#DIV/0!</v>
      </c>
      <c r="BU141" s="495" t="str">
        <f t="shared" si="63"/>
        <v xml:space="preserve"> </v>
      </c>
      <c r="BV141" s="495" t="e">
        <f t="shared" si="64"/>
        <v>#DIV/0!</v>
      </c>
      <c r="BW141" s="495" t="e">
        <f t="shared" si="65"/>
        <v>#DIV/0!</v>
      </c>
      <c r="BX141" s="495" t="e">
        <f t="shared" si="66"/>
        <v>#DIV/0!</v>
      </c>
      <c r="BY141" s="495" t="str">
        <f t="shared" si="67"/>
        <v xml:space="preserve"> </v>
      </c>
    </row>
    <row r="142" spans="1:77" s="28" customFormat="1" ht="9" customHeight="1">
      <c r="A142" s="366">
        <v>126</v>
      </c>
      <c r="B142" s="39" t="s">
        <v>1096</v>
      </c>
      <c r="C142" s="465">
        <v>2612.1</v>
      </c>
      <c r="D142" s="308"/>
      <c r="E142" s="141" t="s">
        <v>1005</v>
      </c>
      <c r="F142" s="375">
        <f t="shared" si="75"/>
        <v>0</v>
      </c>
      <c r="G142" s="374">
        <v>3600720</v>
      </c>
      <c r="H142" s="362">
        <v>3600720</v>
      </c>
      <c r="I142" s="368">
        <f t="shared" si="44"/>
        <v>0</v>
      </c>
      <c r="J142" s="362">
        <v>0</v>
      </c>
      <c r="K142" s="374">
        <v>0</v>
      </c>
      <c r="L142" s="362">
        <v>0</v>
      </c>
      <c r="M142" s="374">
        <v>0</v>
      </c>
      <c r="N142" s="362">
        <v>0</v>
      </c>
      <c r="O142" s="249">
        <v>0</v>
      </c>
      <c r="P142" s="368">
        <v>0</v>
      </c>
      <c r="Q142" s="249">
        <v>0</v>
      </c>
      <c r="R142" s="368">
        <v>0</v>
      </c>
      <c r="S142" s="249">
        <v>0</v>
      </c>
      <c r="T142" s="368">
        <v>0</v>
      </c>
      <c r="U142" s="130">
        <v>0</v>
      </c>
      <c r="V142" s="368">
        <v>0</v>
      </c>
      <c r="W142" s="368">
        <v>1080</v>
      </c>
      <c r="X142" s="368">
        <f>ROUND(H142/100*95.5,2)</f>
        <v>3438687.6</v>
      </c>
      <c r="Y142" s="370">
        <v>0</v>
      </c>
      <c r="Z142" s="370">
        <v>0</v>
      </c>
      <c r="AA142" s="370">
        <v>0</v>
      </c>
      <c r="AB142" s="370">
        <v>0</v>
      </c>
      <c r="AC142" s="370">
        <v>0</v>
      </c>
      <c r="AD142" s="370">
        <v>0</v>
      </c>
      <c r="AE142" s="370">
        <v>0</v>
      </c>
      <c r="AF142" s="370">
        <v>0</v>
      </c>
      <c r="AG142" s="370">
        <v>0</v>
      </c>
      <c r="AH142" s="370">
        <v>0</v>
      </c>
      <c r="AI142" s="370">
        <v>0</v>
      </c>
      <c r="AJ142" s="370">
        <f t="shared" si="82"/>
        <v>108021.6</v>
      </c>
      <c r="AK142" s="370">
        <f t="shared" si="83"/>
        <v>54010.8</v>
      </c>
      <c r="AL142" s="370">
        <v>0</v>
      </c>
      <c r="AM142" s="229"/>
      <c r="AN142" s="229"/>
      <c r="AP142" s="486" t="e">
        <f t="shared" si="42"/>
        <v>#DIV/0!</v>
      </c>
      <c r="AQ142" s="486" t="e">
        <f t="shared" si="46"/>
        <v>#DIV/0!</v>
      </c>
      <c r="AR142" s="486" t="e">
        <f t="shared" si="47"/>
        <v>#DIV/0!</v>
      </c>
      <c r="AS142" s="486" t="e">
        <f t="shared" si="48"/>
        <v>#DIV/0!</v>
      </c>
      <c r="AT142" s="486" t="e">
        <f t="shared" si="49"/>
        <v>#DIV/0!</v>
      </c>
      <c r="AU142" s="486" t="e">
        <f t="shared" si="50"/>
        <v>#DIV/0!</v>
      </c>
      <c r="AV142" s="486" t="e">
        <f t="shared" si="51"/>
        <v>#DIV/0!</v>
      </c>
      <c r="AW142" s="486">
        <f t="shared" si="52"/>
        <v>3183.9700000000003</v>
      </c>
      <c r="AX142" s="486" t="e">
        <f t="shared" si="53"/>
        <v>#DIV/0!</v>
      </c>
      <c r="AY142" s="486" t="e">
        <f t="shared" si="54"/>
        <v>#DIV/0!</v>
      </c>
      <c r="AZ142" s="486" t="e">
        <f t="shared" si="55"/>
        <v>#DIV/0!</v>
      </c>
      <c r="BA142" s="486">
        <f t="shared" si="43"/>
        <v>0</v>
      </c>
      <c r="BB142" s="494">
        <v>5155.41</v>
      </c>
      <c r="BC142" s="494">
        <v>2070.12</v>
      </c>
      <c r="BD142" s="494">
        <v>848.92</v>
      </c>
      <c r="BE142" s="494">
        <v>819.73</v>
      </c>
      <c r="BF142" s="494">
        <v>611.5</v>
      </c>
      <c r="BG142" s="494">
        <v>1080.04</v>
      </c>
      <c r="BH142" s="494">
        <v>2671800.0099999998</v>
      </c>
      <c r="BI142" s="494">
        <f t="shared" si="71"/>
        <v>4607.6000000000004</v>
      </c>
      <c r="BJ142" s="494">
        <v>14289.54</v>
      </c>
      <c r="BK142" s="494">
        <v>3389.61</v>
      </c>
      <c r="BL142" s="494">
        <v>5995.76</v>
      </c>
      <c r="BM142" s="494">
        <v>548.62</v>
      </c>
      <c r="BN142" s="495" t="e">
        <f t="shared" si="56"/>
        <v>#DIV/0!</v>
      </c>
      <c r="BO142" s="495" t="e">
        <f t="shared" si="57"/>
        <v>#DIV/0!</v>
      </c>
      <c r="BP142" s="495" t="e">
        <f t="shared" si="58"/>
        <v>#DIV/0!</v>
      </c>
      <c r="BQ142" s="495" t="e">
        <f t="shared" si="59"/>
        <v>#DIV/0!</v>
      </c>
      <c r="BR142" s="495" t="e">
        <f t="shared" si="60"/>
        <v>#DIV/0!</v>
      </c>
      <c r="BS142" s="495" t="e">
        <f t="shared" si="61"/>
        <v>#DIV/0!</v>
      </c>
      <c r="BT142" s="495" t="e">
        <f t="shared" si="62"/>
        <v>#DIV/0!</v>
      </c>
      <c r="BU142" s="495" t="str">
        <f t="shared" si="63"/>
        <v xml:space="preserve"> </v>
      </c>
      <c r="BV142" s="495" t="e">
        <f t="shared" si="64"/>
        <v>#DIV/0!</v>
      </c>
      <c r="BW142" s="495" t="e">
        <f t="shared" si="65"/>
        <v>#DIV/0!</v>
      </c>
      <c r="BX142" s="495" t="e">
        <f t="shared" si="66"/>
        <v>#DIV/0!</v>
      </c>
      <c r="BY142" s="495" t="str">
        <f t="shared" si="67"/>
        <v xml:space="preserve"> </v>
      </c>
    </row>
    <row r="143" spans="1:77" s="28" customFormat="1" ht="9" customHeight="1">
      <c r="A143" s="406">
        <v>127</v>
      </c>
      <c r="B143" s="39" t="s">
        <v>1097</v>
      </c>
      <c r="C143" s="465">
        <v>2076.5</v>
      </c>
      <c r="D143" s="363"/>
      <c r="E143" s="406"/>
      <c r="F143" s="414">
        <f t="shared" si="75"/>
        <v>0</v>
      </c>
      <c r="G143" s="407">
        <v>5105351.16</v>
      </c>
      <c r="H143" s="362">
        <f>AB143+AJ143+AK143</f>
        <v>5105351.16</v>
      </c>
      <c r="I143" s="407">
        <f t="shared" si="44"/>
        <v>0</v>
      </c>
      <c r="J143" s="362">
        <v>0</v>
      </c>
      <c r="K143" s="374">
        <v>0</v>
      </c>
      <c r="L143" s="362">
        <v>0</v>
      </c>
      <c r="M143" s="374">
        <v>0</v>
      </c>
      <c r="N143" s="362">
        <v>0</v>
      </c>
      <c r="O143" s="249">
        <v>0</v>
      </c>
      <c r="P143" s="407">
        <v>0</v>
      </c>
      <c r="Q143" s="249">
        <v>0</v>
      </c>
      <c r="R143" s="407">
        <v>0</v>
      </c>
      <c r="S143" s="249">
        <v>0</v>
      </c>
      <c r="T143" s="407">
        <v>0</v>
      </c>
      <c r="U143" s="130">
        <v>0</v>
      </c>
      <c r="V143" s="407">
        <v>0</v>
      </c>
      <c r="W143" s="407">
        <v>0</v>
      </c>
      <c r="X143" s="407">
        <v>0</v>
      </c>
      <c r="Y143" s="410">
        <v>0</v>
      </c>
      <c r="Z143" s="410">
        <v>0</v>
      </c>
      <c r="AA143" s="410">
        <v>2169.7199999999998</v>
      </c>
      <c r="AB143" s="410">
        <f>ROUND(0.955*2353*AA143,2)</f>
        <v>4875610.3600000003</v>
      </c>
      <c r="AC143" s="410">
        <v>0</v>
      </c>
      <c r="AD143" s="410">
        <v>0</v>
      </c>
      <c r="AE143" s="410">
        <v>0</v>
      </c>
      <c r="AF143" s="410">
        <v>0</v>
      </c>
      <c r="AG143" s="410">
        <v>0</v>
      </c>
      <c r="AH143" s="410">
        <v>0</v>
      </c>
      <c r="AI143" s="410">
        <v>0</v>
      </c>
      <c r="AJ143" s="410">
        <f>ROUND(AB143/0.955*0.03,2)</f>
        <v>153160.53</v>
      </c>
      <c r="AK143" s="410">
        <f>ROUND(AB143/0.955*0.015,2)</f>
        <v>76580.27</v>
      </c>
      <c r="AL143" s="410">
        <v>0</v>
      </c>
      <c r="AM143" s="229"/>
      <c r="AN143" s="229"/>
      <c r="AP143" s="486" t="e">
        <f t="shared" si="42"/>
        <v>#DIV/0!</v>
      </c>
      <c r="AQ143" s="486" t="e">
        <f t="shared" si="46"/>
        <v>#DIV/0!</v>
      </c>
      <c r="AR143" s="486" t="e">
        <f t="shared" si="47"/>
        <v>#DIV/0!</v>
      </c>
      <c r="AS143" s="486" t="e">
        <f t="shared" si="48"/>
        <v>#DIV/0!</v>
      </c>
      <c r="AT143" s="486" t="e">
        <f t="shared" si="49"/>
        <v>#DIV/0!</v>
      </c>
      <c r="AU143" s="486" t="e">
        <f t="shared" si="50"/>
        <v>#DIV/0!</v>
      </c>
      <c r="AV143" s="486" t="e">
        <f t="shared" si="51"/>
        <v>#DIV/0!</v>
      </c>
      <c r="AW143" s="486" t="e">
        <f t="shared" si="52"/>
        <v>#DIV/0!</v>
      </c>
      <c r="AX143" s="486" t="e">
        <f t="shared" si="53"/>
        <v>#DIV/0!</v>
      </c>
      <c r="AY143" s="486">
        <f t="shared" si="54"/>
        <v>2247.1150010139559</v>
      </c>
      <c r="AZ143" s="486" t="e">
        <f t="shared" si="55"/>
        <v>#DIV/0!</v>
      </c>
      <c r="BA143" s="486">
        <f t="shared" si="43"/>
        <v>0</v>
      </c>
      <c r="BB143" s="494">
        <v>5155.41</v>
      </c>
      <c r="BC143" s="494">
        <v>2070.12</v>
      </c>
      <c r="BD143" s="494">
        <v>848.92</v>
      </c>
      <c r="BE143" s="494">
        <v>819.73</v>
      </c>
      <c r="BF143" s="494">
        <v>611.5</v>
      </c>
      <c r="BG143" s="494">
        <v>1080.04</v>
      </c>
      <c r="BH143" s="494">
        <v>2671800.0099999998</v>
      </c>
      <c r="BI143" s="494">
        <f t="shared" si="71"/>
        <v>4422.8500000000004</v>
      </c>
      <c r="BJ143" s="494">
        <v>14289.54</v>
      </c>
      <c r="BK143" s="494">
        <v>3389.61</v>
      </c>
      <c r="BL143" s="494">
        <v>5995.76</v>
      </c>
      <c r="BM143" s="494">
        <v>548.62</v>
      </c>
      <c r="BN143" s="495" t="e">
        <f t="shared" si="56"/>
        <v>#DIV/0!</v>
      </c>
      <c r="BO143" s="495" t="e">
        <f t="shared" si="57"/>
        <v>#DIV/0!</v>
      </c>
      <c r="BP143" s="495" t="e">
        <f t="shared" si="58"/>
        <v>#DIV/0!</v>
      </c>
      <c r="BQ143" s="495" t="e">
        <f t="shared" si="59"/>
        <v>#DIV/0!</v>
      </c>
      <c r="BR143" s="495" t="e">
        <f t="shared" si="60"/>
        <v>#DIV/0!</v>
      </c>
      <c r="BS143" s="495" t="e">
        <f t="shared" si="61"/>
        <v>#DIV/0!</v>
      </c>
      <c r="BT143" s="495" t="e">
        <f t="shared" si="62"/>
        <v>#DIV/0!</v>
      </c>
      <c r="BU143" s="495" t="e">
        <f t="shared" si="63"/>
        <v>#DIV/0!</v>
      </c>
      <c r="BV143" s="495" t="e">
        <f t="shared" si="64"/>
        <v>#DIV/0!</v>
      </c>
      <c r="BW143" s="495" t="str">
        <f t="shared" si="65"/>
        <v xml:space="preserve"> </v>
      </c>
      <c r="BX143" s="495" t="e">
        <f t="shared" si="66"/>
        <v>#DIV/0!</v>
      </c>
      <c r="BY143" s="495" t="str">
        <f t="shared" si="67"/>
        <v xml:space="preserve"> </v>
      </c>
    </row>
    <row r="144" spans="1:77" s="28" customFormat="1" ht="9" customHeight="1">
      <c r="A144" s="406">
        <v>128</v>
      </c>
      <c r="B144" s="136" t="s">
        <v>458</v>
      </c>
      <c r="C144" s="465">
        <v>2029.8999999999999</v>
      </c>
      <c r="D144" s="466"/>
      <c r="E144" s="201" t="s">
        <v>1006</v>
      </c>
      <c r="F144" s="414">
        <f t="shared" si="75"/>
        <v>3471145.5999999996</v>
      </c>
      <c r="G144" s="414">
        <v>2406619.4500000002</v>
      </c>
      <c r="H144" s="361">
        <f>X144+AB144+AJ144+AK144</f>
        <v>5877765.0499999998</v>
      </c>
      <c r="I144" s="407">
        <f t="shared" si="44"/>
        <v>0</v>
      </c>
      <c r="J144" s="362">
        <v>0</v>
      </c>
      <c r="K144" s="374">
        <v>0</v>
      </c>
      <c r="L144" s="362">
        <v>0</v>
      </c>
      <c r="M144" s="374">
        <v>0</v>
      </c>
      <c r="N144" s="362">
        <v>0</v>
      </c>
      <c r="O144" s="249">
        <v>0</v>
      </c>
      <c r="P144" s="407">
        <v>0</v>
      </c>
      <c r="Q144" s="249">
        <v>0</v>
      </c>
      <c r="R144" s="407">
        <v>0</v>
      </c>
      <c r="S144" s="249">
        <v>0</v>
      </c>
      <c r="T144" s="407">
        <v>0</v>
      </c>
      <c r="U144" s="130">
        <v>0</v>
      </c>
      <c r="V144" s="407">
        <v>0</v>
      </c>
      <c r="W144" s="407">
        <v>750</v>
      </c>
      <c r="X144" s="407">
        <v>2298321.5699999998</v>
      </c>
      <c r="Y144" s="410">
        <v>0</v>
      </c>
      <c r="Z144" s="410">
        <v>0</v>
      </c>
      <c r="AA144" s="410">
        <v>1475.2</v>
      </c>
      <c r="AB144" s="410">
        <f>ROUND(0.955*2353*AA144,2)</f>
        <v>3314944.05</v>
      </c>
      <c r="AC144" s="410">
        <v>0</v>
      </c>
      <c r="AD144" s="410">
        <v>0</v>
      </c>
      <c r="AE144" s="410">
        <v>0</v>
      </c>
      <c r="AF144" s="410">
        <v>0</v>
      </c>
      <c r="AG144" s="410">
        <v>0</v>
      </c>
      <c r="AH144" s="410">
        <v>0</v>
      </c>
      <c r="AI144" s="410">
        <v>0</v>
      </c>
      <c r="AJ144" s="410">
        <f>ROUND(0.03*(X144+AB144)/0.955,2)</f>
        <v>176332.95</v>
      </c>
      <c r="AK144" s="410">
        <f>ROUND(0.015*(X144+AB144)/0.955,2)</f>
        <v>88166.48</v>
      </c>
      <c r="AL144" s="410">
        <v>0</v>
      </c>
      <c r="AM144" s="229"/>
      <c r="AN144" s="229"/>
      <c r="AP144" s="486" t="e">
        <f t="shared" si="42"/>
        <v>#DIV/0!</v>
      </c>
      <c r="AQ144" s="486" t="e">
        <f t="shared" si="46"/>
        <v>#DIV/0!</v>
      </c>
      <c r="AR144" s="486" t="e">
        <f t="shared" si="47"/>
        <v>#DIV/0!</v>
      </c>
      <c r="AS144" s="486" t="e">
        <f t="shared" si="48"/>
        <v>#DIV/0!</v>
      </c>
      <c r="AT144" s="486" t="e">
        <f t="shared" si="49"/>
        <v>#DIV/0!</v>
      </c>
      <c r="AU144" s="486" t="e">
        <f t="shared" si="50"/>
        <v>#DIV/0!</v>
      </c>
      <c r="AV144" s="486" t="e">
        <f t="shared" si="51"/>
        <v>#DIV/0!</v>
      </c>
      <c r="AW144" s="486">
        <f t="shared" si="52"/>
        <v>3064.4287599999998</v>
      </c>
      <c r="AX144" s="486" t="e">
        <f t="shared" si="53"/>
        <v>#DIV/0!</v>
      </c>
      <c r="AY144" s="486">
        <f t="shared" si="54"/>
        <v>2247.1150013557481</v>
      </c>
      <c r="AZ144" s="486" t="e">
        <f t="shared" si="55"/>
        <v>#DIV/0!</v>
      </c>
      <c r="BA144" s="486">
        <f t="shared" si="43"/>
        <v>0</v>
      </c>
      <c r="BB144" s="494">
        <v>5155.41</v>
      </c>
      <c r="BC144" s="494">
        <v>2070.12</v>
      </c>
      <c r="BD144" s="494">
        <v>848.92</v>
      </c>
      <c r="BE144" s="494">
        <v>819.73</v>
      </c>
      <c r="BF144" s="494">
        <v>611.5</v>
      </c>
      <c r="BG144" s="494">
        <v>1080.04</v>
      </c>
      <c r="BH144" s="494">
        <v>2671800.0099999998</v>
      </c>
      <c r="BI144" s="494">
        <f t="shared" si="71"/>
        <v>4422.8500000000004</v>
      </c>
      <c r="BJ144" s="494">
        <v>14289.54</v>
      </c>
      <c r="BK144" s="494">
        <v>3389.61</v>
      </c>
      <c r="BL144" s="494">
        <v>5995.76</v>
      </c>
      <c r="BM144" s="494">
        <v>548.62</v>
      </c>
      <c r="BN144" s="495" t="e">
        <f t="shared" si="56"/>
        <v>#DIV/0!</v>
      </c>
      <c r="BO144" s="495" t="e">
        <f t="shared" si="57"/>
        <v>#DIV/0!</v>
      </c>
      <c r="BP144" s="495" t="e">
        <f t="shared" si="58"/>
        <v>#DIV/0!</v>
      </c>
      <c r="BQ144" s="495" t="e">
        <f t="shared" si="59"/>
        <v>#DIV/0!</v>
      </c>
      <c r="BR144" s="495" t="e">
        <f t="shared" si="60"/>
        <v>#DIV/0!</v>
      </c>
      <c r="BS144" s="495" t="e">
        <f t="shared" si="61"/>
        <v>#DIV/0!</v>
      </c>
      <c r="BT144" s="495" t="e">
        <f t="shared" si="62"/>
        <v>#DIV/0!</v>
      </c>
      <c r="BU144" s="495" t="str">
        <f t="shared" si="63"/>
        <v xml:space="preserve"> </v>
      </c>
      <c r="BV144" s="495" t="e">
        <f t="shared" si="64"/>
        <v>#DIV/0!</v>
      </c>
      <c r="BW144" s="495" t="str">
        <f t="shared" si="65"/>
        <v xml:space="preserve"> </v>
      </c>
      <c r="BX144" s="495" t="e">
        <f t="shared" si="66"/>
        <v>#DIV/0!</v>
      </c>
      <c r="BY144" s="495" t="str">
        <f t="shared" si="67"/>
        <v xml:space="preserve"> </v>
      </c>
    </row>
    <row r="145" spans="1:77" s="28" customFormat="1" ht="9" customHeight="1">
      <c r="A145" s="406">
        <v>129</v>
      </c>
      <c r="B145" s="136" t="s">
        <v>459</v>
      </c>
      <c r="C145" s="465">
        <v>2722.1</v>
      </c>
      <c r="D145" s="466"/>
      <c r="E145" s="201" t="s">
        <v>1006</v>
      </c>
      <c r="F145" s="414">
        <f t="shared" ref="F145:F157" si="84">H145-G145</f>
        <v>5173541.0999999996</v>
      </c>
      <c r="G145" s="414">
        <v>3043344.62</v>
      </c>
      <c r="H145" s="361">
        <f>X145+AB145+AJ145+AK145</f>
        <v>8216885.7199999997</v>
      </c>
      <c r="I145" s="407">
        <f t="shared" si="44"/>
        <v>0</v>
      </c>
      <c r="J145" s="362">
        <v>0</v>
      </c>
      <c r="K145" s="374">
        <v>0</v>
      </c>
      <c r="L145" s="362">
        <v>0</v>
      </c>
      <c r="M145" s="374">
        <v>0</v>
      </c>
      <c r="N145" s="362">
        <v>0</v>
      </c>
      <c r="O145" s="249">
        <v>0</v>
      </c>
      <c r="P145" s="407">
        <v>0</v>
      </c>
      <c r="Q145" s="249">
        <v>0</v>
      </c>
      <c r="R145" s="407">
        <v>0</v>
      </c>
      <c r="S145" s="249">
        <v>0</v>
      </c>
      <c r="T145" s="407">
        <v>0</v>
      </c>
      <c r="U145" s="130">
        <v>0</v>
      </c>
      <c r="V145" s="407">
        <v>0</v>
      </c>
      <c r="W145" s="407">
        <v>1028</v>
      </c>
      <c r="X145" s="407">
        <v>2906394.11</v>
      </c>
      <c r="Y145" s="410">
        <v>0</v>
      </c>
      <c r="Z145" s="410">
        <v>0</v>
      </c>
      <c r="AA145" s="410">
        <v>2198.6999999999998</v>
      </c>
      <c r="AB145" s="410">
        <f>ROUND(0.955*2353*AA145,2)</f>
        <v>4940731.75</v>
      </c>
      <c r="AC145" s="410">
        <v>0</v>
      </c>
      <c r="AD145" s="410">
        <v>0</v>
      </c>
      <c r="AE145" s="410">
        <v>0</v>
      </c>
      <c r="AF145" s="410">
        <v>0</v>
      </c>
      <c r="AG145" s="410">
        <v>0</v>
      </c>
      <c r="AH145" s="410">
        <v>0</v>
      </c>
      <c r="AI145" s="410">
        <v>0</v>
      </c>
      <c r="AJ145" s="410">
        <f>ROUND(0.03*(X145+AB145)/0.955,2)</f>
        <v>246506.57</v>
      </c>
      <c r="AK145" s="410">
        <f>ROUND(0.015*(X145+AB145)/0.955,2)</f>
        <v>123253.29</v>
      </c>
      <c r="AL145" s="410">
        <v>0</v>
      </c>
      <c r="AM145" s="229"/>
      <c r="AN145" s="229"/>
      <c r="AP145" s="486" t="e">
        <f t="shared" ref="AP145:AP208" si="85">J145/D145</f>
        <v>#DIV/0!</v>
      </c>
      <c r="AQ145" s="486" t="e">
        <f t="shared" si="46"/>
        <v>#DIV/0!</v>
      </c>
      <c r="AR145" s="486" t="e">
        <f t="shared" si="47"/>
        <v>#DIV/0!</v>
      </c>
      <c r="AS145" s="486" t="e">
        <f t="shared" si="48"/>
        <v>#DIV/0!</v>
      </c>
      <c r="AT145" s="486" t="e">
        <f t="shared" si="49"/>
        <v>#DIV/0!</v>
      </c>
      <c r="AU145" s="486" t="e">
        <f t="shared" si="50"/>
        <v>#DIV/0!</v>
      </c>
      <c r="AV145" s="486" t="e">
        <f t="shared" si="51"/>
        <v>#DIV/0!</v>
      </c>
      <c r="AW145" s="486">
        <f t="shared" si="52"/>
        <v>2827.2316245136185</v>
      </c>
      <c r="AX145" s="486" t="e">
        <f t="shared" si="53"/>
        <v>#DIV/0!</v>
      </c>
      <c r="AY145" s="486">
        <f t="shared" si="54"/>
        <v>2247.1149997725929</v>
      </c>
      <c r="AZ145" s="486" t="e">
        <f t="shared" si="55"/>
        <v>#DIV/0!</v>
      </c>
      <c r="BA145" s="486">
        <f t="shared" ref="BA145:BA208" si="86">AI145/C145</f>
        <v>0</v>
      </c>
      <c r="BB145" s="494">
        <v>5155.41</v>
      </c>
      <c r="BC145" s="494">
        <v>2070.12</v>
      </c>
      <c r="BD145" s="494">
        <v>848.92</v>
      </c>
      <c r="BE145" s="494">
        <v>819.73</v>
      </c>
      <c r="BF145" s="494">
        <v>611.5</v>
      </c>
      <c r="BG145" s="494">
        <v>1080.04</v>
      </c>
      <c r="BH145" s="494">
        <v>2671800.0099999998</v>
      </c>
      <c r="BI145" s="494">
        <f t="shared" si="71"/>
        <v>4422.8500000000004</v>
      </c>
      <c r="BJ145" s="494">
        <v>14289.54</v>
      </c>
      <c r="BK145" s="494">
        <v>3389.61</v>
      </c>
      <c r="BL145" s="494">
        <v>5995.76</v>
      </c>
      <c r="BM145" s="494">
        <v>548.62</v>
      </c>
      <c r="BN145" s="495" t="e">
        <f t="shared" si="56"/>
        <v>#DIV/0!</v>
      </c>
      <c r="BO145" s="495" t="e">
        <f t="shared" si="57"/>
        <v>#DIV/0!</v>
      </c>
      <c r="BP145" s="495" t="e">
        <f t="shared" si="58"/>
        <v>#DIV/0!</v>
      </c>
      <c r="BQ145" s="495" t="e">
        <f t="shared" si="59"/>
        <v>#DIV/0!</v>
      </c>
      <c r="BR145" s="495" t="e">
        <f t="shared" si="60"/>
        <v>#DIV/0!</v>
      </c>
      <c r="BS145" s="495" t="e">
        <f t="shared" si="61"/>
        <v>#DIV/0!</v>
      </c>
      <c r="BT145" s="495" t="e">
        <f t="shared" si="62"/>
        <v>#DIV/0!</v>
      </c>
      <c r="BU145" s="495" t="str">
        <f t="shared" si="63"/>
        <v xml:space="preserve"> </v>
      </c>
      <c r="BV145" s="495" t="e">
        <f t="shared" si="64"/>
        <v>#DIV/0!</v>
      </c>
      <c r="BW145" s="495" t="str">
        <f t="shared" si="65"/>
        <v xml:space="preserve"> </v>
      </c>
      <c r="BX145" s="495" t="e">
        <f t="shared" si="66"/>
        <v>#DIV/0!</v>
      </c>
      <c r="BY145" s="495" t="str">
        <f t="shared" si="67"/>
        <v xml:space="preserve"> </v>
      </c>
    </row>
    <row r="146" spans="1:77" s="28" customFormat="1" ht="9" customHeight="1">
      <c r="A146" s="406">
        <v>130</v>
      </c>
      <c r="B146" s="136" t="s">
        <v>121</v>
      </c>
      <c r="C146" s="465">
        <v>4311.7</v>
      </c>
      <c r="D146" s="308"/>
      <c r="E146" s="141"/>
      <c r="F146" s="414">
        <f t="shared" si="84"/>
        <v>0</v>
      </c>
      <c r="G146" s="362">
        <v>1392291.05</v>
      </c>
      <c r="H146" s="361">
        <f>AI146+AJ146+AK146</f>
        <v>1392291.05</v>
      </c>
      <c r="I146" s="407">
        <f t="shared" ref="I146:I158" si="87">J146+L146+N146+P146+R146+T146</f>
        <v>0</v>
      </c>
      <c r="J146" s="362">
        <v>0</v>
      </c>
      <c r="K146" s="374">
        <v>0</v>
      </c>
      <c r="L146" s="362">
        <v>0</v>
      </c>
      <c r="M146" s="374">
        <v>0</v>
      </c>
      <c r="N146" s="362">
        <v>0</v>
      </c>
      <c r="O146" s="249">
        <v>0</v>
      </c>
      <c r="P146" s="407">
        <v>0</v>
      </c>
      <c r="Q146" s="249">
        <v>0</v>
      </c>
      <c r="R146" s="407">
        <v>0</v>
      </c>
      <c r="S146" s="249">
        <v>0</v>
      </c>
      <c r="T146" s="407">
        <v>0</v>
      </c>
      <c r="U146" s="130">
        <v>0</v>
      </c>
      <c r="V146" s="407">
        <v>0</v>
      </c>
      <c r="W146" s="407">
        <v>0</v>
      </c>
      <c r="X146" s="407">
        <v>0</v>
      </c>
      <c r="Y146" s="410">
        <v>0</v>
      </c>
      <c r="Z146" s="410">
        <v>0</v>
      </c>
      <c r="AA146" s="410">
        <v>0</v>
      </c>
      <c r="AB146" s="410">
        <v>0</v>
      </c>
      <c r="AC146" s="410">
        <v>0</v>
      </c>
      <c r="AD146" s="410">
        <v>0</v>
      </c>
      <c r="AE146" s="410">
        <v>0</v>
      </c>
      <c r="AF146" s="410">
        <v>0</v>
      </c>
      <c r="AG146" s="410">
        <v>0</v>
      </c>
      <c r="AH146" s="410">
        <v>0</v>
      </c>
      <c r="AI146" s="407">
        <f>ROUND(0.955*C146*322.91,2)</f>
        <v>1329637.95</v>
      </c>
      <c r="AJ146" s="410">
        <f>ROUND((0.03*322.91)*C146,2)</f>
        <v>41768.730000000003</v>
      </c>
      <c r="AK146" s="410">
        <f>ROUND((0.015*(322.91)*C146),2)</f>
        <v>20884.37</v>
      </c>
      <c r="AL146" s="410">
        <v>0</v>
      </c>
      <c r="AM146" s="229"/>
      <c r="AN146" s="229"/>
      <c r="AP146" s="486" t="e">
        <f t="shared" si="85"/>
        <v>#DIV/0!</v>
      </c>
      <c r="AQ146" s="486" t="e">
        <f t="shared" ref="AQ146:AQ209" si="88">L146/K146</f>
        <v>#DIV/0!</v>
      </c>
      <c r="AR146" s="486" t="e">
        <f t="shared" ref="AR146:AR209" si="89">N146/M146</f>
        <v>#DIV/0!</v>
      </c>
      <c r="AS146" s="486" t="e">
        <f t="shared" ref="AS146:AS209" si="90">P146/O146</f>
        <v>#DIV/0!</v>
      </c>
      <c r="AT146" s="486" t="e">
        <f t="shared" ref="AT146:AT209" si="91">R146/Q146</f>
        <v>#DIV/0!</v>
      </c>
      <c r="AU146" s="486" t="e">
        <f t="shared" ref="AU146:AU209" si="92">T146/S146</f>
        <v>#DIV/0!</v>
      </c>
      <c r="AV146" s="486" t="e">
        <f t="shared" ref="AV146:AV209" si="93">V146/U146</f>
        <v>#DIV/0!</v>
      </c>
      <c r="AW146" s="486" t="e">
        <f t="shared" ref="AW146:AW209" si="94">X146/W146</f>
        <v>#DIV/0!</v>
      </c>
      <c r="AX146" s="486" t="e">
        <f t="shared" ref="AX146:AX209" si="95">Z146/Y146</f>
        <v>#DIV/0!</v>
      </c>
      <c r="AY146" s="486" t="e">
        <f t="shared" ref="AY146:AY209" si="96">AB146/AA146</f>
        <v>#DIV/0!</v>
      </c>
      <c r="AZ146" s="486" t="e">
        <f t="shared" ref="AZ146:AZ209" si="97">AH146/AG146</f>
        <v>#DIV/0!</v>
      </c>
      <c r="BA146" s="486">
        <f t="shared" si="86"/>
        <v>308.37905002667162</v>
      </c>
      <c r="BB146" s="494">
        <v>5155.41</v>
      </c>
      <c r="BC146" s="494">
        <v>2070.12</v>
      </c>
      <c r="BD146" s="494">
        <v>848.92</v>
      </c>
      <c r="BE146" s="494">
        <v>819.73</v>
      </c>
      <c r="BF146" s="494">
        <v>611.5</v>
      </c>
      <c r="BG146" s="494">
        <v>1080.04</v>
      </c>
      <c r="BH146" s="494">
        <v>2671800.0099999998</v>
      </c>
      <c r="BI146" s="494">
        <f t="shared" si="71"/>
        <v>4422.8500000000004</v>
      </c>
      <c r="BJ146" s="494">
        <v>14289.54</v>
      </c>
      <c r="BK146" s="494">
        <v>3389.61</v>
      </c>
      <c r="BL146" s="494">
        <v>5995.76</v>
      </c>
      <c r="BM146" s="494">
        <v>548.62</v>
      </c>
      <c r="BN146" s="495" t="e">
        <f t="shared" ref="BN146:BN209" si="98">IF(AP146&gt;BB146, "+", " ")</f>
        <v>#DIV/0!</v>
      </c>
      <c r="BO146" s="495" t="e">
        <f t="shared" ref="BO146:BO209" si="99">IF(AQ146&gt;BC146, "+", " ")</f>
        <v>#DIV/0!</v>
      </c>
      <c r="BP146" s="495" t="e">
        <f t="shared" ref="BP146:BP209" si="100">IF(AR146&gt;BD146, "+", " ")</f>
        <v>#DIV/0!</v>
      </c>
      <c r="BQ146" s="495" t="e">
        <f t="shared" ref="BQ146:BQ209" si="101">IF(AS146&gt;BE146, "+", " ")</f>
        <v>#DIV/0!</v>
      </c>
      <c r="BR146" s="495" t="e">
        <f t="shared" ref="BR146:BR209" si="102">IF(AT146&gt;BF146, "+", " ")</f>
        <v>#DIV/0!</v>
      </c>
      <c r="BS146" s="495" t="e">
        <f t="shared" ref="BS146:BS209" si="103">IF(AU146&gt;BG146, "+", " ")</f>
        <v>#DIV/0!</v>
      </c>
      <c r="BT146" s="495" t="e">
        <f t="shared" ref="BT146:BT209" si="104">IF(AV146&gt;BH146, "+", " ")</f>
        <v>#DIV/0!</v>
      </c>
      <c r="BU146" s="495" t="e">
        <f t="shared" ref="BU146:BU209" si="105">IF(AW146&gt;BI146, "+", " ")</f>
        <v>#DIV/0!</v>
      </c>
      <c r="BV146" s="495" t="e">
        <f t="shared" ref="BV146:BV209" si="106">IF(AX146&gt;BJ146, "+", " ")</f>
        <v>#DIV/0!</v>
      </c>
      <c r="BW146" s="495" t="e">
        <f t="shared" ref="BW146:BW209" si="107">IF(AY146&gt;BK146, "+", " ")</f>
        <v>#DIV/0!</v>
      </c>
      <c r="BX146" s="495" t="e">
        <f t="shared" ref="BX146:BX209" si="108">IF(AZ146&gt;BL146, "+", " ")</f>
        <v>#DIV/0!</v>
      </c>
      <c r="BY146" s="495" t="str">
        <f t="shared" ref="BY146:BY209" si="109">IF(BA146&gt;BM146, "+", " ")</f>
        <v xml:space="preserve"> </v>
      </c>
    </row>
    <row r="147" spans="1:77" s="28" customFormat="1" ht="9" customHeight="1">
      <c r="A147" s="366">
        <v>131</v>
      </c>
      <c r="B147" s="136" t="s">
        <v>163</v>
      </c>
      <c r="C147" s="465">
        <v>1261</v>
      </c>
      <c r="D147" s="308"/>
      <c r="E147" s="141"/>
      <c r="F147" s="375">
        <f t="shared" si="84"/>
        <v>0</v>
      </c>
      <c r="G147" s="374">
        <v>407189.51</v>
      </c>
      <c r="H147" s="361">
        <f t="shared" ref="H147:H153" si="110">AI147+AJ147+AK147</f>
        <v>407189.51</v>
      </c>
      <c r="I147" s="368">
        <f t="shared" si="87"/>
        <v>0</v>
      </c>
      <c r="J147" s="362">
        <v>0</v>
      </c>
      <c r="K147" s="374">
        <v>0</v>
      </c>
      <c r="L147" s="362">
        <v>0</v>
      </c>
      <c r="M147" s="374">
        <v>0</v>
      </c>
      <c r="N147" s="362">
        <v>0</v>
      </c>
      <c r="O147" s="249">
        <v>0</v>
      </c>
      <c r="P147" s="368">
        <v>0</v>
      </c>
      <c r="Q147" s="249">
        <v>0</v>
      </c>
      <c r="R147" s="368">
        <v>0</v>
      </c>
      <c r="S147" s="249">
        <v>0</v>
      </c>
      <c r="T147" s="368">
        <v>0</v>
      </c>
      <c r="U147" s="130">
        <v>0</v>
      </c>
      <c r="V147" s="368">
        <v>0</v>
      </c>
      <c r="W147" s="368">
        <v>0</v>
      </c>
      <c r="X147" s="368">
        <v>0</v>
      </c>
      <c r="Y147" s="370">
        <v>0</v>
      </c>
      <c r="Z147" s="370">
        <v>0</v>
      </c>
      <c r="AA147" s="370">
        <v>0</v>
      </c>
      <c r="AB147" s="370">
        <v>0</v>
      </c>
      <c r="AC147" s="370">
        <v>0</v>
      </c>
      <c r="AD147" s="370">
        <v>0</v>
      </c>
      <c r="AE147" s="370">
        <v>0</v>
      </c>
      <c r="AF147" s="370">
        <v>0</v>
      </c>
      <c r="AG147" s="370">
        <v>0</v>
      </c>
      <c r="AH147" s="370">
        <v>0</v>
      </c>
      <c r="AI147" s="368">
        <f t="shared" ref="AI147:AI152" si="111">ROUND(0.955*C147*322.91,2)</f>
        <v>388865.98</v>
      </c>
      <c r="AJ147" s="370">
        <f t="shared" ref="AJ147:AJ153" si="112">ROUND((0.03*322.91)*C147,2)</f>
        <v>12215.69</v>
      </c>
      <c r="AK147" s="370">
        <f t="shared" ref="AK147:AK153" si="113">ROUND((0.015*(322.91)*C147),2)</f>
        <v>6107.84</v>
      </c>
      <c r="AL147" s="370">
        <v>0</v>
      </c>
      <c r="AM147" s="229"/>
      <c r="AN147" s="229"/>
      <c r="AP147" s="486" t="e">
        <f t="shared" si="85"/>
        <v>#DIV/0!</v>
      </c>
      <c r="AQ147" s="486" t="e">
        <f t="shared" si="88"/>
        <v>#DIV/0!</v>
      </c>
      <c r="AR147" s="486" t="e">
        <f t="shared" si="89"/>
        <v>#DIV/0!</v>
      </c>
      <c r="AS147" s="486" t="e">
        <f t="shared" si="90"/>
        <v>#DIV/0!</v>
      </c>
      <c r="AT147" s="486" t="e">
        <f t="shared" si="91"/>
        <v>#DIV/0!</v>
      </c>
      <c r="AU147" s="486" t="e">
        <f t="shared" si="92"/>
        <v>#DIV/0!</v>
      </c>
      <c r="AV147" s="486" t="e">
        <f t="shared" si="93"/>
        <v>#DIV/0!</v>
      </c>
      <c r="AW147" s="486" t="e">
        <f t="shared" si="94"/>
        <v>#DIV/0!</v>
      </c>
      <c r="AX147" s="486" t="e">
        <f t="shared" si="95"/>
        <v>#DIV/0!</v>
      </c>
      <c r="AY147" s="486" t="e">
        <f t="shared" si="96"/>
        <v>#DIV/0!</v>
      </c>
      <c r="AZ147" s="486" t="e">
        <f t="shared" si="97"/>
        <v>#DIV/0!</v>
      </c>
      <c r="BA147" s="486">
        <f t="shared" si="86"/>
        <v>308.37904837430608</v>
      </c>
      <c r="BB147" s="494">
        <v>5155.41</v>
      </c>
      <c r="BC147" s="494">
        <v>2070.12</v>
      </c>
      <c r="BD147" s="494">
        <v>848.92</v>
      </c>
      <c r="BE147" s="494">
        <v>819.73</v>
      </c>
      <c r="BF147" s="494">
        <v>611.5</v>
      </c>
      <c r="BG147" s="494">
        <v>1080.04</v>
      </c>
      <c r="BH147" s="494">
        <v>2671800.0099999998</v>
      </c>
      <c r="BI147" s="494">
        <f t="shared" si="71"/>
        <v>4422.8500000000004</v>
      </c>
      <c r="BJ147" s="494">
        <v>14289.54</v>
      </c>
      <c r="BK147" s="494">
        <v>3389.61</v>
      </c>
      <c r="BL147" s="494">
        <v>5995.76</v>
      </c>
      <c r="BM147" s="494">
        <v>548.62</v>
      </c>
      <c r="BN147" s="495" t="e">
        <f t="shared" si="98"/>
        <v>#DIV/0!</v>
      </c>
      <c r="BO147" s="495" t="e">
        <f t="shared" si="99"/>
        <v>#DIV/0!</v>
      </c>
      <c r="BP147" s="495" t="e">
        <f t="shared" si="100"/>
        <v>#DIV/0!</v>
      </c>
      <c r="BQ147" s="495" t="e">
        <f t="shared" si="101"/>
        <v>#DIV/0!</v>
      </c>
      <c r="BR147" s="495" t="e">
        <f t="shared" si="102"/>
        <v>#DIV/0!</v>
      </c>
      <c r="BS147" s="495" t="e">
        <f t="shared" si="103"/>
        <v>#DIV/0!</v>
      </c>
      <c r="BT147" s="495" t="e">
        <f t="shared" si="104"/>
        <v>#DIV/0!</v>
      </c>
      <c r="BU147" s="495" t="e">
        <f t="shared" si="105"/>
        <v>#DIV/0!</v>
      </c>
      <c r="BV147" s="495" t="e">
        <f t="shared" si="106"/>
        <v>#DIV/0!</v>
      </c>
      <c r="BW147" s="495" t="e">
        <f t="shared" si="107"/>
        <v>#DIV/0!</v>
      </c>
      <c r="BX147" s="495" t="e">
        <f t="shared" si="108"/>
        <v>#DIV/0!</v>
      </c>
      <c r="BY147" s="495" t="str">
        <f t="shared" si="109"/>
        <v xml:space="preserve"> </v>
      </c>
    </row>
    <row r="148" spans="1:77" s="28" customFormat="1" ht="9" customHeight="1">
      <c r="A148" s="366">
        <v>132</v>
      </c>
      <c r="B148" s="136" t="s">
        <v>162</v>
      </c>
      <c r="C148" s="465">
        <v>2530.6999999999998</v>
      </c>
      <c r="D148" s="308"/>
      <c r="E148" s="141"/>
      <c r="F148" s="375">
        <f t="shared" si="84"/>
        <v>0</v>
      </c>
      <c r="G148" s="374">
        <v>817188.34</v>
      </c>
      <c r="H148" s="361">
        <f t="shared" si="110"/>
        <v>817188.34</v>
      </c>
      <c r="I148" s="368">
        <f t="shared" si="87"/>
        <v>0</v>
      </c>
      <c r="J148" s="362">
        <v>0</v>
      </c>
      <c r="K148" s="374">
        <v>0</v>
      </c>
      <c r="L148" s="362">
        <v>0</v>
      </c>
      <c r="M148" s="374">
        <v>0</v>
      </c>
      <c r="N148" s="362">
        <v>0</v>
      </c>
      <c r="O148" s="249">
        <v>0</v>
      </c>
      <c r="P148" s="368">
        <v>0</v>
      </c>
      <c r="Q148" s="249">
        <v>0</v>
      </c>
      <c r="R148" s="368">
        <v>0</v>
      </c>
      <c r="S148" s="249">
        <v>0</v>
      </c>
      <c r="T148" s="368">
        <v>0</v>
      </c>
      <c r="U148" s="130">
        <v>0</v>
      </c>
      <c r="V148" s="368">
        <v>0</v>
      </c>
      <c r="W148" s="368">
        <v>0</v>
      </c>
      <c r="X148" s="368">
        <v>0</v>
      </c>
      <c r="Y148" s="370">
        <v>0</v>
      </c>
      <c r="Z148" s="370">
        <v>0</v>
      </c>
      <c r="AA148" s="370">
        <v>0</v>
      </c>
      <c r="AB148" s="370">
        <v>0</v>
      </c>
      <c r="AC148" s="370">
        <v>0</v>
      </c>
      <c r="AD148" s="370">
        <v>0</v>
      </c>
      <c r="AE148" s="370">
        <v>0</v>
      </c>
      <c r="AF148" s="370">
        <v>0</v>
      </c>
      <c r="AG148" s="370">
        <v>0</v>
      </c>
      <c r="AH148" s="370">
        <v>0</v>
      </c>
      <c r="AI148" s="368">
        <f t="shared" si="111"/>
        <v>780414.86</v>
      </c>
      <c r="AJ148" s="370">
        <f t="shared" si="112"/>
        <v>24515.65</v>
      </c>
      <c r="AK148" s="370">
        <f t="shared" si="113"/>
        <v>12257.83</v>
      </c>
      <c r="AL148" s="370">
        <v>0</v>
      </c>
      <c r="AM148" s="229"/>
      <c r="AN148" s="229"/>
      <c r="AP148" s="486" t="e">
        <f t="shared" si="85"/>
        <v>#DIV/0!</v>
      </c>
      <c r="AQ148" s="486" t="e">
        <f t="shared" si="88"/>
        <v>#DIV/0!</v>
      </c>
      <c r="AR148" s="486" t="e">
        <f t="shared" si="89"/>
        <v>#DIV/0!</v>
      </c>
      <c r="AS148" s="486" t="e">
        <f t="shared" si="90"/>
        <v>#DIV/0!</v>
      </c>
      <c r="AT148" s="486" t="e">
        <f t="shared" si="91"/>
        <v>#DIV/0!</v>
      </c>
      <c r="AU148" s="486" t="e">
        <f t="shared" si="92"/>
        <v>#DIV/0!</v>
      </c>
      <c r="AV148" s="486" t="e">
        <f t="shared" si="93"/>
        <v>#DIV/0!</v>
      </c>
      <c r="AW148" s="486" t="e">
        <f t="shared" si="94"/>
        <v>#DIV/0!</v>
      </c>
      <c r="AX148" s="486" t="e">
        <f t="shared" si="95"/>
        <v>#DIV/0!</v>
      </c>
      <c r="AY148" s="486" t="e">
        <f t="shared" si="96"/>
        <v>#DIV/0!</v>
      </c>
      <c r="AZ148" s="486" t="e">
        <f t="shared" si="97"/>
        <v>#DIV/0!</v>
      </c>
      <c r="BA148" s="486">
        <f t="shared" si="86"/>
        <v>308.37904927490422</v>
      </c>
      <c r="BB148" s="494">
        <v>5155.41</v>
      </c>
      <c r="BC148" s="494">
        <v>2070.12</v>
      </c>
      <c r="BD148" s="494">
        <v>848.92</v>
      </c>
      <c r="BE148" s="494">
        <v>819.73</v>
      </c>
      <c r="BF148" s="494">
        <v>611.5</v>
      </c>
      <c r="BG148" s="494">
        <v>1080.04</v>
      </c>
      <c r="BH148" s="494">
        <v>2671800.0099999998</v>
      </c>
      <c r="BI148" s="494">
        <f t="shared" si="71"/>
        <v>4422.8500000000004</v>
      </c>
      <c r="BJ148" s="494">
        <v>14289.54</v>
      </c>
      <c r="BK148" s="494">
        <v>3389.61</v>
      </c>
      <c r="BL148" s="494">
        <v>5995.76</v>
      </c>
      <c r="BM148" s="494">
        <v>548.62</v>
      </c>
      <c r="BN148" s="495" t="e">
        <f t="shared" si="98"/>
        <v>#DIV/0!</v>
      </c>
      <c r="BO148" s="495" t="e">
        <f t="shared" si="99"/>
        <v>#DIV/0!</v>
      </c>
      <c r="BP148" s="495" t="e">
        <f t="shared" si="100"/>
        <v>#DIV/0!</v>
      </c>
      <c r="BQ148" s="495" t="e">
        <f t="shared" si="101"/>
        <v>#DIV/0!</v>
      </c>
      <c r="BR148" s="495" t="e">
        <f t="shared" si="102"/>
        <v>#DIV/0!</v>
      </c>
      <c r="BS148" s="495" t="e">
        <f t="shared" si="103"/>
        <v>#DIV/0!</v>
      </c>
      <c r="BT148" s="495" t="e">
        <f t="shared" si="104"/>
        <v>#DIV/0!</v>
      </c>
      <c r="BU148" s="495" t="e">
        <f t="shared" si="105"/>
        <v>#DIV/0!</v>
      </c>
      <c r="BV148" s="495" t="e">
        <f t="shared" si="106"/>
        <v>#DIV/0!</v>
      </c>
      <c r="BW148" s="495" t="e">
        <f t="shared" si="107"/>
        <v>#DIV/0!</v>
      </c>
      <c r="BX148" s="495" t="e">
        <f t="shared" si="108"/>
        <v>#DIV/0!</v>
      </c>
      <c r="BY148" s="495" t="str">
        <f t="shared" si="109"/>
        <v xml:space="preserve"> </v>
      </c>
    </row>
    <row r="149" spans="1:77" s="28" customFormat="1" ht="9" customHeight="1">
      <c r="A149" s="366">
        <v>133</v>
      </c>
      <c r="B149" s="136" t="s">
        <v>1098</v>
      </c>
      <c r="C149" s="465">
        <v>3357.9</v>
      </c>
      <c r="D149" s="308"/>
      <c r="E149" s="141"/>
      <c r="F149" s="375">
        <f t="shared" si="84"/>
        <v>0</v>
      </c>
      <c r="G149" s="374">
        <v>1084299.49</v>
      </c>
      <c r="H149" s="361">
        <f t="shared" si="110"/>
        <v>1084299.49</v>
      </c>
      <c r="I149" s="368">
        <f t="shared" si="87"/>
        <v>0</v>
      </c>
      <c r="J149" s="362">
        <v>0</v>
      </c>
      <c r="K149" s="374">
        <v>0</v>
      </c>
      <c r="L149" s="362">
        <v>0</v>
      </c>
      <c r="M149" s="374">
        <v>0</v>
      </c>
      <c r="N149" s="362">
        <v>0</v>
      </c>
      <c r="O149" s="249">
        <v>0</v>
      </c>
      <c r="P149" s="368">
        <v>0</v>
      </c>
      <c r="Q149" s="249">
        <v>0</v>
      </c>
      <c r="R149" s="368">
        <v>0</v>
      </c>
      <c r="S149" s="249">
        <v>0</v>
      </c>
      <c r="T149" s="368">
        <v>0</v>
      </c>
      <c r="U149" s="130">
        <v>0</v>
      </c>
      <c r="V149" s="368">
        <v>0</v>
      </c>
      <c r="W149" s="368">
        <v>0</v>
      </c>
      <c r="X149" s="368">
        <v>0</v>
      </c>
      <c r="Y149" s="370">
        <v>0</v>
      </c>
      <c r="Z149" s="370">
        <v>0</v>
      </c>
      <c r="AA149" s="370">
        <v>0</v>
      </c>
      <c r="AB149" s="370">
        <v>0</v>
      </c>
      <c r="AC149" s="370">
        <v>0</v>
      </c>
      <c r="AD149" s="370">
        <v>0</v>
      </c>
      <c r="AE149" s="370">
        <v>0</v>
      </c>
      <c r="AF149" s="370">
        <v>0</v>
      </c>
      <c r="AG149" s="370">
        <v>0</v>
      </c>
      <c r="AH149" s="370">
        <v>0</v>
      </c>
      <c r="AI149" s="368">
        <f>ROUND(0.955*C149*322.91+0.01,2)</f>
        <v>1035506.02</v>
      </c>
      <c r="AJ149" s="370">
        <f t="shared" si="112"/>
        <v>32528.98</v>
      </c>
      <c r="AK149" s="370">
        <f t="shared" si="113"/>
        <v>16264.49</v>
      </c>
      <c r="AL149" s="370">
        <v>0</v>
      </c>
      <c r="AM149" s="229"/>
      <c r="AN149" s="229"/>
      <c r="AP149" s="486" t="e">
        <f t="shared" si="85"/>
        <v>#DIV/0!</v>
      </c>
      <c r="AQ149" s="486" t="e">
        <f t="shared" si="88"/>
        <v>#DIV/0!</v>
      </c>
      <c r="AR149" s="486" t="e">
        <f t="shared" si="89"/>
        <v>#DIV/0!</v>
      </c>
      <c r="AS149" s="486" t="e">
        <f t="shared" si="90"/>
        <v>#DIV/0!</v>
      </c>
      <c r="AT149" s="486" t="e">
        <f t="shared" si="91"/>
        <v>#DIV/0!</v>
      </c>
      <c r="AU149" s="486" t="e">
        <f t="shared" si="92"/>
        <v>#DIV/0!</v>
      </c>
      <c r="AV149" s="486" t="e">
        <f t="shared" si="93"/>
        <v>#DIV/0!</v>
      </c>
      <c r="AW149" s="486" t="e">
        <f t="shared" si="94"/>
        <v>#DIV/0!</v>
      </c>
      <c r="AX149" s="486" t="e">
        <f t="shared" si="95"/>
        <v>#DIV/0!</v>
      </c>
      <c r="AY149" s="486" t="e">
        <f t="shared" si="96"/>
        <v>#DIV/0!</v>
      </c>
      <c r="AZ149" s="486" t="e">
        <f t="shared" si="97"/>
        <v>#DIV/0!</v>
      </c>
      <c r="BA149" s="486">
        <f t="shared" si="86"/>
        <v>308.37905238393046</v>
      </c>
      <c r="BB149" s="494">
        <v>5155.41</v>
      </c>
      <c r="BC149" s="494">
        <v>2070.12</v>
      </c>
      <c r="BD149" s="494">
        <v>848.92</v>
      </c>
      <c r="BE149" s="494">
        <v>819.73</v>
      </c>
      <c r="BF149" s="494">
        <v>611.5</v>
      </c>
      <c r="BG149" s="494">
        <v>1080.04</v>
      </c>
      <c r="BH149" s="494">
        <v>2671800.0099999998</v>
      </c>
      <c r="BI149" s="494">
        <f t="shared" si="71"/>
        <v>4422.8500000000004</v>
      </c>
      <c r="BJ149" s="494">
        <v>14289.54</v>
      </c>
      <c r="BK149" s="494">
        <v>3389.61</v>
      </c>
      <c r="BL149" s="494">
        <v>5995.76</v>
      </c>
      <c r="BM149" s="494">
        <v>548.62</v>
      </c>
      <c r="BN149" s="495" t="e">
        <f t="shared" si="98"/>
        <v>#DIV/0!</v>
      </c>
      <c r="BO149" s="495" t="e">
        <f t="shared" si="99"/>
        <v>#DIV/0!</v>
      </c>
      <c r="BP149" s="495" t="e">
        <f t="shared" si="100"/>
        <v>#DIV/0!</v>
      </c>
      <c r="BQ149" s="495" t="e">
        <f t="shared" si="101"/>
        <v>#DIV/0!</v>
      </c>
      <c r="BR149" s="495" t="e">
        <f t="shared" si="102"/>
        <v>#DIV/0!</v>
      </c>
      <c r="BS149" s="495" t="e">
        <f t="shared" si="103"/>
        <v>#DIV/0!</v>
      </c>
      <c r="BT149" s="495" t="e">
        <f t="shared" si="104"/>
        <v>#DIV/0!</v>
      </c>
      <c r="BU149" s="495" t="e">
        <f t="shared" si="105"/>
        <v>#DIV/0!</v>
      </c>
      <c r="BV149" s="495" t="e">
        <f t="shared" si="106"/>
        <v>#DIV/0!</v>
      </c>
      <c r="BW149" s="495" t="e">
        <f t="shared" si="107"/>
        <v>#DIV/0!</v>
      </c>
      <c r="BX149" s="495" t="e">
        <f t="shared" si="108"/>
        <v>#DIV/0!</v>
      </c>
      <c r="BY149" s="495" t="str">
        <f t="shared" si="109"/>
        <v xml:space="preserve"> </v>
      </c>
    </row>
    <row r="150" spans="1:77" s="28" customFormat="1" ht="9" customHeight="1">
      <c r="A150" s="366">
        <v>134</v>
      </c>
      <c r="B150" s="136" t="s">
        <v>1099</v>
      </c>
      <c r="C150" s="465">
        <v>2512</v>
      </c>
      <c r="D150" s="308"/>
      <c r="E150" s="141"/>
      <c r="F150" s="375">
        <f t="shared" si="84"/>
        <v>0</v>
      </c>
      <c r="G150" s="374">
        <v>811149.92</v>
      </c>
      <c r="H150" s="361">
        <f t="shared" si="110"/>
        <v>811149.92</v>
      </c>
      <c r="I150" s="368">
        <f t="shared" si="87"/>
        <v>0</v>
      </c>
      <c r="J150" s="362">
        <v>0</v>
      </c>
      <c r="K150" s="374">
        <v>0</v>
      </c>
      <c r="L150" s="362">
        <v>0</v>
      </c>
      <c r="M150" s="374">
        <v>0</v>
      </c>
      <c r="N150" s="362">
        <v>0</v>
      </c>
      <c r="O150" s="249">
        <v>0</v>
      </c>
      <c r="P150" s="368">
        <v>0</v>
      </c>
      <c r="Q150" s="249">
        <v>0</v>
      </c>
      <c r="R150" s="368">
        <v>0</v>
      </c>
      <c r="S150" s="249">
        <v>0</v>
      </c>
      <c r="T150" s="368">
        <v>0</v>
      </c>
      <c r="U150" s="130">
        <v>0</v>
      </c>
      <c r="V150" s="368">
        <v>0</v>
      </c>
      <c r="W150" s="368">
        <v>0</v>
      </c>
      <c r="X150" s="368">
        <v>0</v>
      </c>
      <c r="Y150" s="370">
        <v>0</v>
      </c>
      <c r="Z150" s="370">
        <v>0</v>
      </c>
      <c r="AA150" s="370">
        <v>0</v>
      </c>
      <c r="AB150" s="370">
        <v>0</v>
      </c>
      <c r="AC150" s="370">
        <v>0</v>
      </c>
      <c r="AD150" s="370">
        <v>0</v>
      </c>
      <c r="AE150" s="370">
        <v>0</v>
      </c>
      <c r="AF150" s="370">
        <v>0</v>
      </c>
      <c r="AG150" s="370">
        <v>0</v>
      </c>
      <c r="AH150" s="370">
        <v>0</v>
      </c>
      <c r="AI150" s="368">
        <f t="shared" si="111"/>
        <v>774648.17</v>
      </c>
      <c r="AJ150" s="370">
        <f t="shared" si="112"/>
        <v>24334.5</v>
      </c>
      <c r="AK150" s="370">
        <f t="shared" si="113"/>
        <v>12167.25</v>
      </c>
      <c r="AL150" s="370">
        <v>0</v>
      </c>
      <c r="AM150" s="229"/>
      <c r="AN150" s="229"/>
      <c r="AP150" s="486" t="e">
        <f t="shared" si="85"/>
        <v>#DIV/0!</v>
      </c>
      <c r="AQ150" s="486" t="e">
        <f t="shared" si="88"/>
        <v>#DIV/0!</v>
      </c>
      <c r="AR150" s="486" t="e">
        <f t="shared" si="89"/>
        <v>#DIV/0!</v>
      </c>
      <c r="AS150" s="486" t="e">
        <f t="shared" si="90"/>
        <v>#DIV/0!</v>
      </c>
      <c r="AT150" s="486" t="e">
        <f t="shared" si="91"/>
        <v>#DIV/0!</v>
      </c>
      <c r="AU150" s="486" t="e">
        <f t="shared" si="92"/>
        <v>#DIV/0!</v>
      </c>
      <c r="AV150" s="486" t="e">
        <f t="shared" si="93"/>
        <v>#DIV/0!</v>
      </c>
      <c r="AW150" s="486" t="e">
        <f t="shared" si="94"/>
        <v>#DIV/0!</v>
      </c>
      <c r="AX150" s="486" t="e">
        <f t="shared" si="95"/>
        <v>#DIV/0!</v>
      </c>
      <c r="AY150" s="486" t="e">
        <f t="shared" si="96"/>
        <v>#DIV/0!</v>
      </c>
      <c r="AZ150" s="486" t="e">
        <f t="shared" si="97"/>
        <v>#DIV/0!</v>
      </c>
      <c r="BA150" s="486">
        <f t="shared" si="86"/>
        <v>308.37904856687902</v>
      </c>
      <c r="BB150" s="494">
        <v>5155.41</v>
      </c>
      <c r="BC150" s="494">
        <v>2070.12</v>
      </c>
      <c r="BD150" s="494">
        <v>848.92</v>
      </c>
      <c r="BE150" s="494">
        <v>819.73</v>
      </c>
      <c r="BF150" s="494">
        <v>611.5</v>
      </c>
      <c r="BG150" s="494">
        <v>1080.04</v>
      </c>
      <c r="BH150" s="494">
        <v>2671800.0099999998</v>
      </c>
      <c r="BI150" s="494">
        <f t="shared" si="71"/>
        <v>4422.8500000000004</v>
      </c>
      <c r="BJ150" s="494">
        <v>14289.54</v>
      </c>
      <c r="BK150" s="494">
        <v>3389.61</v>
      </c>
      <c r="BL150" s="494">
        <v>5995.76</v>
      </c>
      <c r="BM150" s="494">
        <v>548.62</v>
      </c>
      <c r="BN150" s="495" t="e">
        <f t="shared" si="98"/>
        <v>#DIV/0!</v>
      </c>
      <c r="BO150" s="495" t="e">
        <f t="shared" si="99"/>
        <v>#DIV/0!</v>
      </c>
      <c r="BP150" s="495" t="e">
        <f t="shared" si="100"/>
        <v>#DIV/0!</v>
      </c>
      <c r="BQ150" s="495" t="e">
        <f t="shared" si="101"/>
        <v>#DIV/0!</v>
      </c>
      <c r="BR150" s="495" t="e">
        <f t="shared" si="102"/>
        <v>#DIV/0!</v>
      </c>
      <c r="BS150" s="495" t="e">
        <f t="shared" si="103"/>
        <v>#DIV/0!</v>
      </c>
      <c r="BT150" s="495" t="e">
        <f t="shared" si="104"/>
        <v>#DIV/0!</v>
      </c>
      <c r="BU150" s="495" t="e">
        <f t="shared" si="105"/>
        <v>#DIV/0!</v>
      </c>
      <c r="BV150" s="495" t="e">
        <f t="shared" si="106"/>
        <v>#DIV/0!</v>
      </c>
      <c r="BW150" s="495" t="e">
        <f t="shared" si="107"/>
        <v>#DIV/0!</v>
      </c>
      <c r="BX150" s="495" t="e">
        <f t="shared" si="108"/>
        <v>#DIV/0!</v>
      </c>
      <c r="BY150" s="495" t="str">
        <f t="shared" si="109"/>
        <v xml:space="preserve"> </v>
      </c>
    </row>
    <row r="151" spans="1:77" s="28" customFormat="1" ht="9" customHeight="1">
      <c r="A151" s="366">
        <v>135</v>
      </c>
      <c r="B151" s="136" t="s">
        <v>1100</v>
      </c>
      <c r="C151" s="465">
        <v>1754.1</v>
      </c>
      <c r="D151" s="308"/>
      <c r="E151" s="141"/>
      <c r="F151" s="375">
        <f t="shared" si="84"/>
        <v>0</v>
      </c>
      <c r="G151" s="374">
        <v>566416.43000000005</v>
      </c>
      <c r="H151" s="361">
        <f t="shared" si="110"/>
        <v>566416.42999999993</v>
      </c>
      <c r="I151" s="368">
        <f t="shared" si="87"/>
        <v>0</v>
      </c>
      <c r="J151" s="362">
        <v>0</v>
      </c>
      <c r="K151" s="374">
        <v>0</v>
      </c>
      <c r="L151" s="362">
        <v>0</v>
      </c>
      <c r="M151" s="374">
        <v>0</v>
      </c>
      <c r="N151" s="362">
        <v>0</v>
      </c>
      <c r="O151" s="249">
        <v>0</v>
      </c>
      <c r="P151" s="368">
        <v>0</v>
      </c>
      <c r="Q151" s="249">
        <v>0</v>
      </c>
      <c r="R151" s="368">
        <v>0</v>
      </c>
      <c r="S151" s="249">
        <v>0</v>
      </c>
      <c r="T151" s="368">
        <v>0</v>
      </c>
      <c r="U151" s="130">
        <v>0</v>
      </c>
      <c r="V151" s="368">
        <v>0</v>
      </c>
      <c r="W151" s="368">
        <v>0</v>
      </c>
      <c r="X151" s="368">
        <v>0</v>
      </c>
      <c r="Y151" s="370">
        <v>0</v>
      </c>
      <c r="Z151" s="370">
        <v>0</v>
      </c>
      <c r="AA151" s="370">
        <v>0</v>
      </c>
      <c r="AB151" s="370">
        <v>0</v>
      </c>
      <c r="AC151" s="370">
        <v>0</v>
      </c>
      <c r="AD151" s="370">
        <v>0</v>
      </c>
      <c r="AE151" s="370">
        <v>0</v>
      </c>
      <c r="AF151" s="370">
        <v>0</v>
      </c>
      <c r="AG151" s="370">
        <v>0</v>
      </c>
      <c r="AH151" s="370">
        <v>0</v>
      </c>
      <c r="AI151" s="368">
        <f t="shared" si="111"/>
        <v>540927.68999999994</v>
      </c>
      <c r="AJ151" s="370">
        <f t="shared" si="112"/>
        <v>16992.490000000002</v>
      </c>
      <c r="AK151" s="370">
        <f t="shared" si="113"/>
        <v>8496.25</v>
      </c>
      <c r="AL151" s="370">
        <v>0</v>
      </c>
      <c r="AM151" s="229"/>
      <c r="AN151" s="229"/>
      <c r="AP151" s="486" t="e">
        <f t="shared" si="85"/>
        <v>#DIV/0!</v>
      </c>
      <c r="AQ151" s="486" t="e">
        <f t="shared" si="88"/>
        <v>#DIV/0!</v>
      </c>
      <c r="AR151" s="486" t="e">
        <f t="shared" si="89"/>
        <v>#DIV/0!</v>
      </c>
      <c r="AS151" s="486" t="e">
        <f t="shared" si="90"/>
        <v>#DIV/0!</v>
      </c>
      <c r="AT151" s="486" t="e">
        <f t="shared" si="91"/>
        <v>#DIV/0!</v>
      </c>
      <c r="AU151" s="486" t="e">
        <f t="shared" si="92"/>
        <v>#DIV/0!</v>
      </c>
      <c r="AV151" s="486" t="e">
        <f t="shared" si="93"/>
        <v>#DIV/0!</v>
      </c>
      <c r="AW151" s="486" t="e">
        <f t="shared" si="94"/>
        <v>#DIV/0!</v>
      </c>
      <c r="AX151" s="486" t="e">
        <f t="shared" si="95"/>
        <v>#DIV/0!</v>
      </c>
      <c r="AY151" s="486" t="e">
        <f t="shared" si="96"/>
        <v>#DIV/0!</v>
      </c>
      <c r="AZ151" s="486" t="e">
        <f t="shared" si="97"/>
        <v>#DIV/0!</v>
      </c>
      <c r="BA151" s="486">
        <f t="shared" si="86"/>
        <v>308.37904908500082</v>
      </c>
      <c r="BB151" s="494">
        <v>5155.41</v>
      </c>
      <c r="BC151" s="494">
        <v>2070.12</v>
      </c>
      <c r="BD151" s="494">
        <v>848.92</v>
      </c>
      <c r="BE151" s="494">
        <v>819.73</v>
      </c>
      <c r="BF151" s="494">
        <v>611.5</v>
      </c>
      <c r="BG151" s="494">
        <v>1080.04</v>
      </c>
      <c r="BH151" s="494">
        <v>2671800.0099999998</v>
      </c>
      <c r="BI151" s="494">
        <f t="shared" si="71"/>
        <v>4422.8500000000004</v>
      </c>
      <c r="BJ151" s="494">
        <v>14289.54</v>
      </c>
      <c r="BK151" s="494">
        <v>3389.61</v>
      </c>
      <c r="BL151" s="494">
        <v>5995.76</v>
      </c>
      <c r="BM151" s="494">
        <v>548.62</v>
      </c>
      <c r="BN151" s="495" t="e">
        <f t="shared" si="98"/>
        <v>#DIV/0!</v>
      </c>
      <c r="BO151" s="495" t="e">
        <f t="shared" si="99"/>
        <v>#DIV/0!</v>
      </c>
      <c r="BP151" s="495" t="e">
        <f t="shared" si="100"/>
        <v>#DIV/0!</v>
      </c>
      <c r="BQ151" s="495" t="e">
        <f t="shared" si="101"/>
        <v>#DIV/0!</v>
      </c>
      <c r="BR151" s="495" t="e">
        <f t="shared" si="102"/>
        <v>#DIV/0!</v>
      </c>
      <c r="BS151" s="495" t="e">
        <f t="shared" si="103"/>
        <v>#DIV/0!</v>
      </c>
      <c r="BT151" s="495" t="e">
        <f t="shared" si="104"/>
        <v>#DIV/0!</v>
      </c>
      <c r="BU151" s="495" t="e">
        <f t="shared" si="105"/>
        <v>#DIV/0!</v>
      </c>
      <c r="BV151" s="495" t="e">
        <f t="shared" si="106"/>
        <v>#DIV/0!</v>
      </c>
      <c r="BW151" s="495" t="e">
        <f t="shared" si="107"/>
        <v>#DIV/0!</v>
      </c>
      <c r="BX151" s="495" t="e">
        <f t="shared" si="108"/>
        <v>#DIV/0!</v>
      </c>
      <c r="BY151" s="495" t="str">
        <f t="shared" si="109"/>
        <v xml:space="preserve"> </v>
      </c>
    </row>
    <row r="152" spans="1:77" s="28" customFormat="1" ht="9" customHeight="1">
      <c r="A152" s="366">
        <v>136</v>
      </c>
      <c r="B152" s="136" t="s">
        <v>1101</v>
      </c>
      <c r="C152" s="465">
        <v>3862.3</v>
      </c>
      <c r="D152" s="308"/>
      <c r="E152" s="141"/>
      <c r="F152" s="375">
        <f t="shared" si="84"/>
        <v>0</v>
      </c>
      <c r="G152" s="374">
        <v>1247175.29</v>
      </c>
      <c r="H152" s="361">
        <f t="shared" si="110"/>
        <v>1247175.2899999998</v>
      </c>
      <c r="I152" s="368">
        <f t="shared" si="87"/>
        <v>0</v>
      </c>
      <c r="J152" s="362">
        <v>0</v>
      </c>
      <c r="K152" s="374">
        <v>0</v>
      </c>
      <c r="L152" s="362">
        <v>0</v>
      </c>
      <c r="M152" s="374">
        <v>0</v>
      </c>
      <c r="N152" s="362">
        <v>0</v>
      </c>
      <c r="O152" s="249">
        <v>0</v>
      </c>
      <c r="P152" s="368">
        <v>0</v>
      </c>
      <c r="Q152" s="249">
        <v>0</v>
      </c>
      <c r="R152" s="368">
        <v>0</v>
      </c>
      <c r="S152" s="249">
        <v>0</v>
      </c>
      <c r="T152" s="368">
        <v>0</v>
      </c>
      <c r="U152" s="130">
        <v>0</v>
      </c>
      <c r="V152" s="368">
        <v>0</v>
      </c>
      <c r="W152" s="368">
        <v>0</v>
      </c>
      <c r="X152" s="368">
        <v>0</v>
      </c>
      <c r="Y152" s="370">
        <v>0</v>
      </c>
      <c r="Z152" s="370">
        <v>0</v>
      </c>
      <c r="AA152" s="370">
        <v>0</v>
      </c>
      <c r="AB152" s="370">
        <v>0</v>
      </c>
      <c r="AC152" s="370">
        <v>0</v>
      </c>
      <c r="AD152" s="370">
        <v>0</v>
      </c>
      <c r="AE152" s="370">
        <v>0</v>
      </c>
      <c r="AF152" s="370">
        <v>0</v>
      </c>
      <c r="AG152" s="370">
        <v>0</v>
      </c>
      <c r="AH152" s="370">
        <v>0</v>
      </c>
      <c r="AI152" s="368">
        <f t="shared" si="111"/>
        <v>1191052.3999999999</v>
      </c>
      <c r="AJ152" s="370">
        <f t="shared" si="112"/>
        <v>37415.26</v>
      </c>
      <c r="AK152" s="370">
        <f t="shared" si="113"/>
        <v>18707.63</v>
      </c>
      <c r="AL152" s="370">
        <v>0</v>
      </c>
      <c r="AM152" s="229"/>
      <c r="AN152" s="229"/>
      <c r="AP152" s="486" t="e">
        <f t="shared" si="85"/>
        <v>#DIV/0!</v>
      </c>
      <c r="AQ152" s="486" t="e">
        <f t="shared" si="88"/>
        <v>#DIV/0!</v>
      </c>
      <c r="AR152" s="486" t="e">
        <f t="shared" si="89"/>
        <v>#DIV/0!</v>
      </c>
      <c r="AS152" s="486" t="e">
        <f t="shared" si="90"/>
        <v>#DIV/0!</v>
      </c>
      <c r="AT152" s="486" t="e">
        <f t="shared" si="91"/>
        <v>#DIV/0!</v>
      </c>
      <c r="AU152" s="486" t="e">
        <f t="shared" si="92"/>
        <v>#DIV/0!</v>
      </c>
      <c r="AV152" s="486" t="e">
        <f t="shared" si="93"/>
        <v>#DIV/0!</v>
      </c>
      <c r="AW152" s="486" t="e">
        <f t="shared" si="94"/>
        <v>#DIV/0!</v>
      </c>
      <c r="AX152" s="486" t="e">
        <f t="shared" si="95"/>
        <v>#DIV/0!</v>
      </c>
      <c r="AY152" s="486" t="e">
        <f t="shared" si="96"/>
        <v>#DIV/0!</v>
      </c>
      <c r="AZ152" s="486" t="e">
        <f t="shared" si="97"/>
        <v>#DIV/0!</v>
      </c>
      <c r="BA152" s="486">
        <f t="shared" si="86"/>
        <v>308.37904875333345</v>
      </c>
      <c r="BB152" s="494">
        <v>5155.41</v>
      </c>
      <c r="BC152" s="494">
        <v>2070.12</v>
      </c>
      <c r="BD152" s="494">
        <v>848.92</v>
      </c>
      <c r="BE152" s="494">
        <v>819.73</v>
      </c>
      <c r="BF152" s="494">
        <v>611.5</v>
      </c>
      <c r="BG152" s="494">
        <v>1080.04</v>
      </c>
      <c r="BH152" s="494">
        <v>2671800.0099999998</v>
      </c>
      <c r="BI152" s="494">
        <f t="shared" si="71"/>
        <v>4422.8500000000004</v>
      </c>
      <c r="BJ152" s="494">
        <v>14289.54</v>
      </c>
      <c r="BK152" s="494">
        <v>3389.61</v>
      </c>
      <c r="BL152" s="494">
        <v>5995.76</v>
      </c>
      <c r="BM152" s="494">
        <v>548.62</v>
      </c>
      <c r="BN152" s="495" t="e">
        <f t="shared" si="98"/>
        <v>#DIV/0!</v>
      </c>
      <c r="BO152" s="495" t="e">
        <f t="shared" si="99"/>
        <v>#DIV/0!</v>
      </c>
      <c r="BP152" s="495" t="e">
        <f t="shared" si="100"/>
        <v>#DIV/0!</v>
      </c>
      <c r="BQ152" s="495" t="e">
        <f t="shared" si="101"/>
        <v>#DIV/0!</v>
      </c>
      <c r="BR152" s="495" t="e">
        <f t="shared" si="102"/>
        <v>#DIV/0!</v>
      </c>
      <c r="BS152" s="495" t="e">
        <f t="shared" si="103"/>
        <v>#DIV/0!</v>
      </c>
      <c r="BT152" s="495" t="e">
        <f t="shared" si="104"/>
        <v>#DIV/0!</v>
      </c>
      <c r="BU152" s="495" t="e">
        <f t="shared" si="105"/>
        <v>#DIV/0!</v>
      </c>
      <c r="BV152" s="495" t="e">
        <f t="shared" si="106"/>
        <v>#DIV/0!</v>
      </c>
      <c r="BW152" s="495" t="e">
        <f t="shared" si="107"/>
        <v>#DIV/0!</v>
      </c>
      <c r="BX152" s="495" t="e">
        <f t="shared" si="108"/>
        <v>#DIV/0!</v>
      </c>
      <c r="BY152" s="495" t="str">
        <f t="shared" si="109"/>
        <v xml:space="preserve"> </v>
      </c>
    </row>
    <row r="153" spans="1:77" s="28" customFormat="1" ht="9" customHeight="1">
      <c r="A153" s="366">
        <v>137</v>
      </c>
      <c r="B153" s="136" t="s">
        <v>1102</v>
      </c>
      <c r="C153" s="465">
        <v>1540.7</v>
      </c>
      <c r="D153" s="308"/>
      <c r="E153" s="141"/>
      <c r="F153" s="375">
        <f t="shared" si="84"/>
        <v>0</v>
      </c>
      <c r="G153" s="374">
        <v>497507.44</v>
      </c>
      <c r="H153" s="361">
        <f t="shared" si="110"/>
        <v>497507.43999999994</v>
      </c>
      <c r="I153" s="368">
        <f t="shared" si="87"/>
        <v>0</v>
      </c>
      <c r="J153" s="362">
        <v>0</v>
      </c>
      <c r="K153" s="374">
        <v>0</v>
      </c>
      <c r="L153" s="362">
        <v>0</v>
      </c>
      <c r="M153" s="374">
        <v>0</v>
      </c>
      <c r="N153" s="362">
        <v>0</v>
      </c>
      <c r="O153" s="249">
        <v>0</v>
      </c>
      <c r="P153" s="368">
        <v>0</v>
      </c>
      <c r="Q153" s="249">
        <v>0</v>
      </c>
      <c r="R153" s="368">
        <v>0</v>
      </c>
      <c r="S153" s="249">
        <v>0</v>
      </c>
      <c r="T153" s="368">
        <v>0</v>
      </c>
      <c r="U153" s="130">
        <v>0</v>
      </c>
      <c r="V153" s="368">
        <v>0</v>
      </c>
      <c r="W153" s="368">
        <v>0</v>
      </c>
      <c r="X153" s="368">
        <v>0</v>
      </c>
      <c r="Y153" s="370">
        <v>0</v>
      </c>
      <c r="Z153" s="370">
        <v>0</v>
      </c>
      <c r="AA153" s="370">
        <v>0</v>
      </c>
      <c r="AB153" s="370">
        <v>0</v>
      </c>
      <c r="AC153" s="370">
        <v>0</v>
      </c>
      <c r="AD153" s="370">
        <v>0</v>
      </c>
      <c r="AE153" s="370">
        <v>0</v>
      </c>
      <c r="AF153" s="370">
        <v>0</v>
      </c>
      <c r="AG153" s="370">
        <v>0</v>
      </c>
      <c r="AH153" s="370">
        <v>0</v>
      </c>
      <c r="AI153" s="368">
        <f>ROUND(0.955*C153*322.91+0.01,2)</f>
        <v>475119.61</v>
      </c>
      <c r="AJ153" s="370">
        <f t="shared" si="112"/>
        <v>14925.22</v>
      </c>
      <c r="AK153" s="370">
        <f t="shared" si="113"/>
        <v>7462.61</v>
      </c>
      <c r="AL153" s="370">
        <v>0</v>
      </c>
      <c r="AM153" s="229"/>
      <c r="AN153" s="229"/>
      <c r="AP153" s="486" t="e">
        <f t="shared" si="85"/>
        <v>#DIV/0!</v>
      </c>
      <c r="AQ153" s="486" t="e">
        <f t="shared" si="88"/>
        <v>#DIV/0!</v>
      </c>
      <c r="AR153" s="486" t="e">
        <f t="shared" si="89"/>
        <v>#DIV/0!</v>
      </c>
      <c r="AS153" s="486" t="e">
        <f t="shared" si="90"/>
        <v>#DIV/0!</v>
      </c>
      <c r="AT153" s="486" t="e">
        <f t="shared" si="91"/>
        <v>#DIV/0!</v>
      </c>
      <c r="AU153" s="486" t="e">
        <f t="shared" si="92"/>
        <v>#DIV/0!</v>
      </c>
      <c r="AV153" s="486" t="e">
        <f t="shared" si="93"/>
        <v>#DIV/0!</v>
      </c>
      <c r="AW153" s="486" t="e">
        <f t="shared" si="94"/>
        <v>#DIV/0!</v>
      </c>
      <c r="AX153" s="486" t="e">
        <f t="shared" si="95"/>
        <v>#DIV/0!</v>
      </c>
      <c r="AY153" s="486" t="e">
        <f t="shared" si="96"/>
        <v>#DIV/0!</v>
      </c>
      <c r="AZ153" s="486" t="e">
        <f t="shared" si="97"/>
        <v>#DIV/0!</v>
      </c>
      <c r="BA153" s="486">
        <f t="shared" si="86"/>
        <v>308.37905497501134</v>
      </c>
      <c r="BB153" s="494">
        <v>5155.41</v>
      </c>
      <c r="BC153" s="494">
        <v>2070.12</v>
      </c>
      <c r="BD153" s="494">
        <v>848.92</v>
      </c>
      <c r="BE153" s="494">
        <v>819.73</v>
      </c>
      <c r="BF153" s="494">
        <v>611.5</v>
      </c>
      <c r="BG153" s="494">
        <v>1080.04</v>
      </c>
      <c r="BH153" s="494">
        <v>2671800.0099999998</v>
      </c>
      <c r="BI153" s="494">
        <f t="shared" si="71"/>
        <v>4422.8500000000004</v>
      </c>
      <c r="BJ153" s="494">
        <v>14289.54</v>
      </c>
      <c r="BK153" s="494">
        <v>3389.61</v>
      </c>
      <c r="BL153" s="494">
        <v>5995.76</v>
      </c>
      <c r="BM153" s="494">
        <v>548.62</v>
      </c>
      <c r="BN153" s="495" t="e">
        <f t="shared" si="98"/>
        <v>#DIV/0!</v>
      </c>
      <c r="BO153" s="495" t="e">
        <f t="shared" si="99"/>
        <v>#DIV/0!</v>
      </c>
      <c r="BP153" s="495" t="e">
        <f t="shared" si="100"/>
        <v>#DIV/0!</v>
      </c>
      <c r="BQ153" s="495" t="e">
        <f t="shared" si="101"/>
        <v>#DIV/0!</v>
      </c>
      <c r="BR153" s="495" t="e">
        <f t="shared" si="102"/>
        <v>#DIV/0!</v>
      </c>
      <c r="BS153" s="495" t="e">
        <f t="shared" si="103"/>
        <v>#DIV/0!</v>
      </c>
      <c r="BT153" s="495" t="e">
        <f t="shared" si="104"/>
        <v>#DIV/0!</v>
      </c>
      <c r="BU153" s="495" t="e">
        <f t="shared" si="105"/>
        <v>#DIV/0!</v>
      </c>
      <c r="BV153" s="495" t="e">
        <f t="shared" si="106"/>
        <v>#DIV/0!</v>
      </c>
      <c r="BW153" s="495" t="e">
        <f t="shared" si="107"/>
        <v>#DIV/0!</v>
      </c>
      <c r="BX153" s="495" t="e">
        <f t="shared" si="108"/>
        <v>#DIV/0!</v>
      </c>
      <c r="BY153" s="495" t="str">
        <f t="shared" si="109"/>
        <v xml:space="preserve"> </v>
      </c>
    </row>
    <row r="154" spans="1:77" s="28" customFormat="1" ht="9" customHeight="1">
      <c r="A154" s="366">
        <v>138</v>
      </c>
      <c r="B154" s="136" t="s">
        <v>1103</v>
      </c>
      <c r="C154" s="465">
        <v>3295.6</v>
      </c>
      <c r="D154" s="308" t="s">
        <v>1024</v>
      </c>
      <c r="E154" s="141" t="s">
        <v>1005</v>
      </c>
      <c r="F154" s="375">
        <f t="shared" si="84"/>
        <v>0</v>
      </c>
      <c r="G154" s="374">
        <v>1400280</v>
      </c>
      <c r="H154" s="361">
        <v>1400280</v>
      </c>
      <c r="I154" s="368">
        <f t="shared" si="87"/>
        <v>0</v>
      </c>
      <c r="J154" s="362">
        <v>0</v>
      </c>
      <c r="K154" s="374">
        <v>0</v>
      </c>
      <c r="L154" s="362">
        <v>0</v>
      </c>
      <c r="M154" s="374">
        <v>0</v>
      </c>
      <c r="N154" s="362">
        <v>0</v>
      </c>
      <c r="O154" s="249">
        <v>0</v>
      </c>
      <c r="P154" s="368">
        <v>0</v>
      </c>
      <c r="Q154" s="249">
        <v>0</v>
      </c>
      <c r="R154" s="368">
        <v>0</v>
      </c>
      <c r="S154" s="249">
        <v>0</v>
      </c>
      <c r="T154" s="368">
        <v>0</v>
      </c>
      <c r="U154" s="130">
        <v>0</v>
      </c>
      <c r="V154" s="368">
        <v>0</v>
      </c>
      <c r="W154" s="368">
        <v>420</v>
      </c>
      <c r="X154" s="368">
        <f t="shared" ref="X154:X157" si="114">ROUND(H154/100*95.5,2)</f>
        <v>1337267.3999999999</v>
      </c>
      <c r="Y154" s="370">
        <v>0</v>
      </c>
      <c r="Z154" s="370">
        <v>0</v>
      </c>
      <c r="AA154" s="370">
        <v>0</v>
      </c>
      <c r="AB154" s="370">
        <v>0</v>
      </c>
      <c r="AC154" s="370">
        <v>0</v>
      </c>
      <c r="AD154" s="370">
        <v>0</v>
      </c>
      <c r="AE154" s="370">
        <v>0</v>
      </c>
      <c r="AF154" s="370">
        <v>0</v>
      </c>
      <c r="AG154" s="370">
        <v>0</v>
      </c>
      <c r="AH154" s="370">
        <v>0</v>
      </c>
      <c r="AI154" s="370">
        <v>0</v>
      </c>
      <c r="AJ154" s="370">
        <f t="shared" ref="AJ154:AJ157" si="115">ROUND(H154/100*3,2)</f>
        <v>42008.4</v>
      </c>
      <c r="AK154" s="370">
        <f t="shared" ref="AK154:AK157" si="116">ROUND(H154/100*1.5,2)</f>
        <v>21004.2</v>
      </c>
      <c r="AL154" s="370">
        <v>0</v>
      </c>
      <c r="AM154" s="229"/>
      <c r="AN154" s="229"/>
      <c r="AP154" s="486" t="e">
        <f t="shared" si="85"/>
        <v>#VALUE!</v>
      </c>
      <c r="AQ154" s="486" t="e">
        <f t="shared" si="88"/>
        <v>#DIV/0!</v>
      </c>
      <c r="AR154" s="486" t="e">
        <f t="shared" si="89"/>
        <v>#DIV/0!</v>
      </c>
      <c r="AS154" s="486" t="e">
        <f t="shared" si="90"/>
        <v>#DIV/0!</v>
      </c>
      <c r="AT154" s="486" t="e">
        <f t="shared" si="91"/>
        <v>#DIV/0!</v>
      </c>
      <c r="AU154" s="486" t="e">
        <f t="shared" si="92"/>
        <v>#DIV/0!</v>
      </c>
      <c r="AV154" s="486" t="e">
        <f t="shared" si="93"/>
        <v>#DIV/0!</v>
      </c>
      <c r="AW154" s="486">
        <f t="shared" si="94"/>
        <v>3183.97</v>
      </c>
      <c r="AX154" s="486" t="e">
        <f t="shared" si="95"/>
        <v>#DIV/0!</v>
      </c>
      <c r="AY154" s="486" t="e">
        <f t="shared" si="96"/>
        <v>#DIV/0!</v>
      </c>
      <c r="AZ154" s="486" t="e">
        <f t="shared" si="97"/>
        <v>#DIV/0!</v>
      </c>
      <c r="BA154" s="486">
        <f t="shared" si="86"/>
        <v>0</v>
      </c>
      <c r="BB154" s="494">
        <v>5155.41</v>
      </c>
      <c r="BC154" s="494">
        <v>2070.12</v>
      </c>
      <c r="BD154" s="494">
        <v>848.92</v>
      </c>
      <c r="BE154" s="494">
        <v>819.73</v>
      </c>
      <c r="BF154" s="494">
        <v>611.5</v>
      </c>
      <c r="BG154" s="494">
        <v>1080.04</v>
      </c>
      <c r="BH154" s="494">
        <v>2671800.0099999998</v>
      </c>
      <c r="BI154" s="494">
        <f t="shared" si="71"/>
        <v>4607.6000000000004</v>
      </c>
      <c r="BJ154" s="494">
        <v>14289.54</v>
      </c>
      <c r="BK154" s="494">
        <v>3389.61</v>
      </c>
      <c r="BL154" s="494">
        <v>5995.76</v>
      </c>
      <c r="BM154" s="494">
        <v>548.62</v>
      </c>
      <c r="BN154" s="495" t="e">
        <f t="shared" si="98"/>
        <v>#VALUE!</v>
      </c>
      <c r="BO154" s="495" t="e">
        <f t="shared" si="99"/>
        <v>#DIV/0!</v>
      </c>
      <c r="BP154" s="495" t="e">
        <f t="shared" si="100"/>
        <v>#DIV/0!</v>
      </c>
      <c r="BQ154" s="495" t="e">
        <f t="shared" si="101"/>
        <v>#DIV/0!</v>
      </c>
      <c r="BR154" s="495" t="e">
        <f t="shared" si="102"/>
        <v>#DIV/0!</v>
      </c>
      <c r="BS154" s="495" t="e">
        <f t="shared" si="103"/>
        <v>#DIV/0!</v>
      </c>
      <c r="BT154" s="495" t="e">
        <f t="shared" si="104"/>
        <v>#DIV/0!</v>
      </c>
      <c r="BU154" s="495" t="str">
        <f t="shared" si="105"/>
        <v xml:space="preserve"> </v>
      </c>
      <c r="BV154" s="495" t="e">
        <f t="shared" si="106"/>
        <v>#DIV/0!</v>
      </c>
      <c r="BW154" s="495" t="e">
        <f t="shared" si="107"/>
        <v>#DIV/0!</v>
      </c>
      <c r="BX154" s="495" t="e">
        <f t="shared" si="108"/>
        <v>#DIV/0!</v>
      </c>
      <c r="BY154" s="495" t="str">
        <f t="shared" si="109"/>
        <v xml:space="preserve"> </v>
      </c>
    </row>
    <row r="155" spans="1:77" s="28" customFormat="1" ht="9" customHeight="1">
      <c r="A155" s="366">
        <v>139</v>
      </c>
      <c r="B155" s="136" t="s">
        <v>126</v>
      </c>
      <c r="C155" s="465">
        <v>5601</v>
      </c>
      <c r="D155" s="308"/>
      <c r="E155" s="141"/>
      <c r="F155" s="375">
        <f t="shared" si="84"/>
        <v>0</v>
      </c>
      <c r="G155" s="374">
        <v>4290366</v>
      </c>
      <c r="H155" s="361">
        <f>I155+AI155+AJ155+AK155</f>
        <v>4290366.0000000009</v>
      </c>
      <c r="I155" s="368">
        <f t="shared" si="87"/>
        <v>3744268.5000000005</v>
      </c>
      <c r="J155" s="362">
        <v>0</v>
      </c>
      <c r="K155" s="374">
        <v>0</v>
      </c>
      <c r="L155" s="362">
        <v>0</v>
      </c>
      <c r="M155" s="374">
        <v>0</v>
      </c>
      <c r="N155" s="362">
        <v>0</v>
      </c>
      <c r="O155" s="249">
        <v>0</v>
      </c>
      <c r="P155" s="368">
        <f>ROUND(0.955*(C155*210),2)</f>
        <v>1123280.55</v>
      </c>
      <c r="Q155" s="249">
        <v>0</v>
      </c>
      <c r="R155" s="368">
        <f>ROUND(0.955*(C155*270),2)</f>
        <v>1444217.85</v>
      </c>
      <c r="S155" s="249">
        <v>0</v>
      </c>
      <c r="T155" s="368">
        <f>ROUND(0.955*(C155*220),2)</f>
        <v>1176770.1000000001</v>
      </c>
      <c r="U155" s="130">
        <v>0</v>
      </c>
      <c r="V155" s="368">
        <v>0</v>
      </c>
      <c r="W155" s="368">
        <v>0</v>
      </c>
      <c r="X155" s="368">
        <v>0</v>
      </c>
      <c r="Y155" s="370">
        <v>0</v>
      </c>
      <c r="Z155" s="370">
        <v>0</v>
      </c>
      <c r="AA155" s="370">
        <v>0</v>
      </c>
      <c r="AB155" s="370">
        <v>0</v>
      </c>
      <c r="AC155" s="370">
        <v>0</v>
      </c>
      <c r="AD155" s="370">
        <v>0</v>
      </c>
      <c r="AE155" s="370">
        <v>0</v>
      </c>
      <c r="AF155" s="370">
        <v>0</v>
      </c>
      <c r="AG155" s="370">
        <v>0</v>
      </c>
      <c r="AH155" s="370">
        <v>0</v>
      </c>
      <c r="AI155" s="370">
        <f>ROUND(0.955*C155*(44+22),2)</f>
        <v>353031.03</v>
      </c>
      <c r="AJ155" s="370">
        <f>ROUND(0.03*(210+220+270+44+22)*C155,2)</f>
        <v>128710.98</v>
      </c>
      <c r="AK155" s="370">
        <f>ROUND(0.015*(210+220+44+270+22)*C155,2)</f>
        <v>64355.49</v>
      </c>
      <c r="AL155" s="370">
        <v>0</v>
      </c>
      <c r="AM155" s="229"/>
      <c r="AN155" s="229"/>
      <c r="AP155" s="486" t="e">
        <f t="shared" si="85"/>
        <v>#DIV/0!</v>
      </c>
      <c r="AQ155" s="486" t="e">
        <f t="shared" si="88"/>
        <v>#DIV/0!</v>
      </c>
      <c r="AR155" s="486" t="e">
        <f t="shared" si="89"/>
        <v>#DIV/0!</v>
      </c>
      <c r="AS155" s="486" t="e">
        <f t="shared" si="90"/>
        <v>#DIV/0!</v>
      </c>
      <c r="AT155" s="486" t="e">
        <f t="shared" si="91"/>
        <v>#DIV/0!</v>
      </c>
      <c r="AU155" s="486" t="e">
        <f t="shared" si="92"/>
        <v>#DIV/0!</v>
      </c>
      <c r="AV155" s="486" t="e">
        <f t="shared" si="93"/>
        <v>#DIV/0!</v>
      </c>
      <c r="AW155" s="486" t="e">
        <f t="shared" si="94"/>
        <v>#DIV/0!</v>
      </c>
      <c r="AX155" s="486" t="e">
        <f t="shared" si="95"/>
        <v>#DIV/0!</v>
      </c>
      <c r="AY155" s="486" t="e">
        <f t="shared" si="96"/>
        <v>#DIV/0!</v>
      </c>
      <c r="AZ155" s="486" t="e">
        <f t="shared" si="97"/>
        <v>#DIV/0!</v>
      </c>
      <c r="BA155" s="486">
        <f t="shared" si="86"/>
        <v>63.030000000000008</v>
      </c>
      <c r="BB155" s="494">
        <v>5155.41</v>
      </c>
      <c r="BC155" s="494">
        <v>2070.12</v>
      </c>
      <c r="BD155" s="494">
        <v>848.92</v>
      </c>
      <c r="BE155" s="494">
        <v>819.73</v>
      </c>
      <c r="BF155" s="494">
        <v>611.5</v>
      </c>
      <c r="BG155" s="494">
        <v>1080.04</v>
      </c>
      <c r="BH155" s="494">
        <v>2671800.0099999998</v>
      </c>
      <c r="BI155" s="494">
        <f t="shared" si="71"/>
        <v>4422.8500000000004</v>
      </c>
      <c r="BJ155" s="494">
        <v>14289.54</v>
      </c>
      <c r="BK155" s="494">
        <v>3389.61</v>
      </c>
      <c r="BL155" s="494">
        <v>5995.76</v>
      </c>
      <c r="BM155" s="494">
        <v>548.62</v>
      </c>
      <c r="BN155" s="495" t="e">
        <f t="shared" si="98"/>
        <v>#DIV/0!</v>
      </c>
      <c r="BO155" s="495" t="e">
        <f t="shared" si="99"/>
        <v>#DIV/0!</v>
      </c>
      <c r="BP155" s="495" t="e">
        <f t="shared" si="100"/>
        <v>#DIV/0!</v>
      </c>
      <c r="BQ155" s="495" t="e">
        <f t="shared" si="101"/>
        <v>#DIV/0!</v>
      </c>
      <c r="BR155" s="495" t="e">
        <f t="shared" si="102"/>
        <v>#DIV/0!</v>
      </c>
      <c r="BS155" s="495" t="e">
        <f t="shared" si="103"/>
        <v>#DIV/0!</v>
      </c>
      <c r="BT155" s="495" t="e">
        <f t="shared" si="104"/>
        <v>#DIV/0!</v>
      </c>
      <c r="BU155" s="495" t="e">
        <f t="shared" si="105"/>
        <v>#DIV/0!</v>
      </c>
      <c r="BV155" s="495" t="e">
        <f t="shared" si="106"/>
        <v>#DIV/0!</v>
      </c>
      <c r="BW155" s="495" t="e">
        <f t="shared" si="107"/>
        <v>#DIV/0!</v>
      </c>
      <c r="BX155" s="495" t="e">
        <f t="shared" si="108"/>
        <v>#DIV/0!</v>
      </c>
      <c r="BY155" s="495" t="str">
        <f t="shared" si="109"/>
        <v xml:space="preserve"> </v>
      </c>
    </row>
    <row r="156" spans="1:77" s="28" customFormat="1" ht="9" customHeight="1">
      <c r="A156" s="366">
        <v>140</v>
      </c>
      <c r="B156" s="136" t="s">
        <v>1108</v>
      </c>
      <c r="C156" s="465">
        <v>6517.9</v>
      </c>
      <c r="D156" s="308"/>
      <c r="E156" s="141" t="s">
        <v>1005</v>
      </c>
      <c r="F156" s="375">
        <f t="shared" si="84"/>
        <v>0</v>
      </c>
      <c r="G156" s="374">
        <v>6094552</v>
      </c>
      <c r="H156" s="361">
        <v>6094552</v>
      </c>
      <c r="I156" s="368">
        <f t="shared" si="87"/>
        <v>0</v>
      </c>
      <c r="J156" s="362">
        <v>0</v>
      </c>
      <c r="K156" s="374">
        <v>0</v>
      </c>
      <c r="L156" s="362">
        <v>0</v>
      </c>
      <c r="M156" s="374">
        <v>0</v>
      </c>
      <c r="N156" s="362">
        <v>0</v>
      </c>
      <c r="O156" s="249">
        <v>0</v>
      </c>
      <c r="P156" s="368">
        <v>0</v>
      </c>
      <c r="Q156" s="249">
        <v>0</v>
      </c>
      <c r="R156" s="368">
        <v>0</v>
      </c>
      <c r="S156" s="249">
        <v>0</v>
      </c>
      <c r="T156" s="368">
        <v>0</v>
      </c>
      <c r="U156" s="130">
        <v>0</v>
      </c>
      <c r="V156" s="368">
        <v>0</v>
      </c>
      <c r="W156" s="368">
        <v>1828</v>
      </c>
      <c r="X156" s="368">
        <f t="shared" si="114"/>
        <v>5820297.1600000001</v>
      </c>
      <c r="Y156" s="370">
        <v>0</v>
      </c>
      <c r="Z156" s="370">
        <v>0</v>
      </c>
      <c r="AA156" s="370">
        <v>0</v>
      </c>
      <c r="AB156" s="370">
        <v>0</v>
      </c>
      <c r="AC156" s="370">
        <v>0</v>
      </c>
      <c r="AD156" s="370">
        <v>0</v>
      </c>
      <c r="AE156" s="370">
        <v>0</v>
      </c>
      <c r="AF156" s="370">
        <v>0</v>
      </c>
      <c r="AG156" s="370">
        <v>0</v>
      </c>
      <c r="AH156" s="370">
        <v>0</v>
      </c>
      <c r="AI156" s="370">
        <v>0</v>
      </c>
      <c r="AJ156" s="370">
        <f t="shared" si="115"/>
        <v>182836.56</v>
      </c>
      <c r="AK156" s="370">
        <f t="shared" si="116"/>
        <v>91418.28</v>
      </c>
      <c r="AL156" s="370">
        <v>0</v>
      </c>
      <c r="AM156" s="229"/>
      <c r="AN156" s="229"/>
      <c r="AP156" s="486" t="e">
        <f t="shared" si="85"/>
        <v>#DIV/0!</v>
      </c>
      <c r="AQ156" s="486" t="e">
        <f t="shared" si="88"/>
        <v>#DIV/0!</v>
      </c>
      <c r="AR156" s="486" t="e">
        <f t="shared" si="89"/>
        <v>#DIV/0!</v>
      </c>
      <c r="AS156" s="486" t="e">
        <f t="shared" si="90"/>
        <v>#DIV/0!</v>
      </c>
      <c r="AT156" s="486" t="e">
        <f t="shared" si="91"/>
        <v>#DIV/0!</v>
      </c>
      <c r="AU156" s="486" t="e">
        <f t="shared" si="92"/>
        <v>#DIV/0!</v>
      </c>
      <c r="AV156" s="486" t="e">
        <f t="shared" si="93"/>
        <v>#DIV/0!</v>
      </c>
      <c r="AW156" s="486">
        <f t="shared" si="94"/>
        <v>3183.9700000000003</v>
      </c>
      <c r="AX156" s="486" t="e">
        <f t="shared" si="95"/>
        <v>#DIV/0!</v>
      </c>
      <c r="AY156" s="486" t="e">
        <f t="shared" si="96"/>
        <v>#DIV/0!</v>
      </c>
      <c r="AZ156" s="486" t="e">
        <f t="shared" si="97"/>
        <v>#DIV/0!</v>
      </c>
      <c r="BA156" s="486">
        <f t="shared" si="86"/>
        <v>0</v>
      </c>
      <c r="BB156" s="494">
        <v>5155.41</v>
      </c>
      <c r="BC156" s="494">
        <v>2070.12</v>
      </c>
      <c r="BD156" s="494">
        <v>848.92</v>
      </c>
      <c r="BE156" s="494">
        <v>819.73</v>
      </c>
      <c r="BF156" s="494">
        <v>611.5</v>
      </c>
      <c r="BG156" s="494">
        <v>1080.04</v>
      </c>
      <c r="BH156" s="494">
        <v>2671800.0099999998</v>
      </c>
      <c r="BI156" s="494">
        <f t="shared" si="71"/>
        <v>4607.6000000000004</v>
      </c>
      <c r="BJ156" s="494">
        <v>14289.54</v>
      </c>
      <c r="BK156" s="494">
        <v>3389.61</v>
      </c>
      <c r="BL156" s="494">
        <v>5995.76</v>
      </c>
      <c r="BM156" s="494">
        <v>548.62</v>
      </c>
      <c r="BN156" s="495" t="e">
        <f t="shared" si="98"/>
        <v>#DIV/0!</v>
      </c>
      <c r="BO156" s="495" t="e">
        <f t="shared" si="99"/>
        <v>#DIV/0!</v>
      </c>
      <c r="BP156" s="495" t="e">
        <f t="shared" si="100"/>
        <v>#DIV/0!</v>
      </c>
      <c r="BQ156" s="495" t="e">
        <f t="shared" si="101"/>
        <v>#DIV/0!</v>
      </c>
      <c r="BR156" s="495" t="e">
        <f t="shared" si="102"/>
        <v>#DIV/0!</v>
      </c>
      <c r="BS156" s="495" t="e">
        <f t="shared" si="103"/>
        <v>#DIV/0!</v>
      </c>
      <c r="BT156" s="495" t="e">
        <f t="shared" si="104"/>
        <v>#DIV/0!</v>
      </c>
      <c r="BU156" s="495" t="str">
        <f t="shared" si="105"/>
        <v xml:space="preserve"> </v>
      </c>
      <c r="BV156" s="495" t="e">
        <f t="shared" si="106"/>
        <v>#DIV/0!</v>
      </c>
      <c r="BW156" s="495" t="e">
        <f t="shared" si="107"/>
        <v>#DIV/0!</v>
      </c>
      <c r="BX156" s="495" t="e">
        <f t="shared" si="108"/>
        <v>#DIV/0!</v>
      </c>
      <c r="BY156" s="495" t="str">
        <f t="shared" si="109"/>
        <v xml:space="preserve"> </v>
      </c>
    </row>
    <row r="157" spans="1:77" s="28" customFormat="1" ht="9" customHeight="1">
      <c r="A157" s="366">
        <v>141</v>
      </c>
      <c r="B157" s="136" t="s">
        <v>1109</v>
      </c>
      <c r="C157" s="465">
        <v>5200.7</v>
      </c>
      <c r="D157" s="308"/>
      <c r="E157" s="141" t="s">
        <v>1005</v>
      </c>
      <c r="F157" s="375">
        <f t="shared" si="84"/>
        <v>0</v>
      </c>
      <c r="G157" s="374">
        <v>4090818</v>
      </c>
      <c r="H157" s="361">
        <v>4090818</v>
      </c>
      <c r="I157" s="368">
        <f t="shared" si="87"/>
        <v>0</v>
      </c>
      <c r="J157" s="362">
        <v>0</v>
      </c>
      <c r="K157" s="374">
        <v>0</v>
      </c>
      <c r="L157" s="362">
        <v>0</v>
      </c>
      <c r="M157" s="374">
        <v>0</v>
      </c>
      <c r="N157" s="362">
        <v>0</v>
      </c>
      <c r="O157" s="249">
        <v>0</v>
      </c>
      <c r="P157" s="368">
        <v>0</v>
      </c>
      <c r="Q157" s="249">
        <v>0</v>
      </c>
      <c r="R157" s="368">
        <v>0</v>
      </c>
      <c r="S157" s="249">
        <v>0</v>
      </c>
      <c r="T157" s="368">
        <v>0</v>
      </c>
      <c r="U157" s="130">
        <v>0</v>
      </c>
      <c r="V157" s="368">
        <v>0</v>
      </c>
      <c r="W157" s="368">
        <v>1227</v>
      </c>
      <c r="X157" s="368">
        <f t="shared" si="114"/>
        <v>3906731.19</v>
      </c>
      <c r="Y157" s="370">
        <v>0</v>
      </c>
      <c r="Z157" s="370">
        <v>0</v>
      </c>
      <c r="AA157" s="370">
        <v>0</v>
      </c>
      <c r="AB157" s="370">
        <v>0</v>
      </c>
      <c r="AC157" s="370">
        <v>0</v>
      </c>
      <c r="AD157" s="370">
        <v>0</v>
      </c>
      <c r="AE157" s="370">
        <v>0</v>
      </c>
      <c r="AF157" s="370">
        <v>0</v>
      </c>
      <c r="AG157" s="370">
        <v>0</v>
      </c>
      <c r="AH157" s="370">
        <v>0</v>
      </c>
      <c r="AI157" s="370">
        <v>0</v>
      </c>
      <c r="AJ157" s="370">
        <f t="shared" si="115"/>
        <v>122724.54</v>
      </c>
      <c r="AK157" s="370">
        <f t="shared" si="116"/>
        <v>61362.27</v>
      </c>
      <c r="AL157" s="370">
        <v>0</v>
      </c>
      <c r="AM157" s="229"/>
      <c r="AN157" s="229"/>
      <c r="AP157" s="486" t="e">
        <f t="shared" si="85"/>
        <v>#DIV/0!</v>
      </c>
      <c r="AQ157" s="486" t="e">
        <f t="shared" si="88"/>
        <v>#DIV/0!</v>
      </c>
      <c r="AR157" s="486" t="e">
        <f t="shared" si="89"/>
        <v>#DIV/0!</v>
      </c>
      <c r="AS157" s="486" t="e">
        <f t="shared" si="90"/>
        <v>#DIV/0!</v>
      </c>
      <c r="AT157" s="486" t="e">
        <f t="shared" si="91"/>
        <v>#DIV/0!</v>
      </c>
      <c r="AU157" s="486" t="e">
        <f t="shared" si="92"/>
        <v>#DIV/0!</v>
      </c>
      <c r="AV157" s="486" t="e">
        <f t="shared" si="93"/>
        <v>#DIV/0!</v>
      </c>
      <c r="AW157" s="486">
        <f t="shared" si="94"/>
        <v>3183.97</v>
      </c>
      <c r="AX157" s="486" t="e">
        <f t="shared" si="95"/>
        <v>#DIV/0!</v>
      </c>
      <c r="AY157" s="486" t="e">
        <f t="shared" si="96"/>
        <v>#DIV/0!</v>
      </c>
      <c r="AZ157" s="486" t="e">
        <f t="shared" si="97"/>
        <v>#DIV/0!</v>
      </c>
      <c r="BA157" s="486">
        <f t="shared" si="86"/>
        <v>0</v>
      </c>
      <c r="BB157" s="494">
        <v>5155.41</v>
      </c>
      <c r="BC157" s="494">
        <v>2070.12</v>
      </c>
      <c r="BD157" s="494">
        <v>848.92</v>
      </c>
      <c r="BE157" s="494">
        <v>819.73</v>
      </c>
      <c r="BF157" s="494">
        <v>611.5</v>
      </c>
      <c r="BG157" s="494">
        <v>1080.04</v>
      </c>
      <c r="BH157" s="494">
        <v>2671800.0099999998</v>
      </c>
      <c r="BI157" s="494">
        <f t="shared" si="71"/>
        <v>4607.6000000000004</v>
      </c>
      <c r="BJ157" s="494">
        <v>14289.54</v>
      </c>
      <c r="BK157" s="494">
        <v>3389.61</v>
      </c>
      <c r="BL157" s="494">
        <v>5995.76</v>
      </c>
      <c r="BM157" s="494">
        <v>548.62</v>
      </c>
      <c r="BN157" s="495" t="e">
        <f t="shared" si="98"/>
        <v>#DIV/0!</v>
      </c>
      <c r="BO157" s="495" t="e">
        <f t="shared" si="99"/>
        <v>#DIV/0!</v>
      </c>
      <c r="BP157" s="495" t="e">
        <f t="shared" si="100"/>
        <v>#DIV/0!</v>
      </c>
      <c r="BQ157" s="495" t="e">
        <f t="shared" si="101"/>
        <v>#DIV/0!</v>
      </c>
      <c r="BR157" s="495" t="e">
        <f t="shared" si="102"/>
        <v>#DIV/0!</v>
      </c>
      <c r="BS157" s="495" t="e">
        <f t="shared" si="103"/>
        <v>#DIV/0!</v>
      </c>
      <c r="BT157" s="495" t="e">
        <f t="shared" si="104"/>
        <v>#DIV/0!</v>
      </c>
      <c r="BU157" s="495" t="str">
        <f t="shared" si="105"/>
        <v xml:space="preserve"> </v>
      </c>
      <c r="BV157" s="495" t="e">
        <f t="shared" si="106"/>
        <v>#DIV/0!</v>
      </c>
      <c r="BW157" s="495" t="e">
        <f t="shared" si="107"/>
        <v>#DIV/0!</v>
      </c>
      <c r="BX157" s="495" t="e">
        <f t="shared" si="108"/>
        <v>#DIV/0!</v>
      </c>
      <c r="BY157" s="495" t="str">
        <f t="shared" si="109"/>
        <v xml:space="preserve"> </v>
      </c>
    </row>
    <row r="158" spans="1:77" s="28" customFormat="1" ht="9" customHeight="1">
      <c r="A158" s="366">
        <v>142</v>
      </c>
      <c r="B158" s="136" t="s">
        <v>1160</v>
      </c>
      <c r="C158" s="465">
        <v>3520.6</v>
      </c>
      <c r="D158" s="308"/>
      <c r="E158" s="141"/>
      <c r="F158" s="375"/>
      <c r="G158" s="374"/>
      <c r="H158" s="361">
        <f>ROUND((I158+AI158+AJ158+AK158),2)</f>
        <v>6608166.21</v>
      </c>
      <c r="I158" s="368">
        <f t="shared" si="87"/>
        <v>5631639.7800000003</v>
      </c>
      <c r="J158" s="205">
        <f>ROUND(0.955*(C158*370),2)</f>
        <v>1244004.01</v>
      </c>
      <c r="K158" s="465">
        <v>0</v>
      </c>
      <c r="L158" s="205">
        <f>ROUND(0.955*(C158*1200),2)</f>
        <v>4034607.6</v>
      </c>
      <c r="M158" s="374">
        <v>0</v>
      </c>
      <c r="N158" s="362">
        <v>0</v>
      </c>
      <c r="O158" s="249">
        <v>0</v>
      </c>
      <c r="P158" s="368">
        <f>ROUND(0.955*(C158*210)/2,2)</f>
        <v>353028.17</v>
      </c>
      <c r="Q158" s="249">
        <v>0</v>
      </c>
      <c r="R158" s="368">
        <v>0</v>
      </c>
      <c r="S158" s="249">
        <v>0</v>
      </c>
      <c r="T158" s="368">
        <v>0</v>
      </c>
      <c r="U158" s="130">
        <v>0</v>
      </c>
      <c r="V158" s="368">
        <v>0</v>
      </c>
      <c r="W158" s="368">
        <v>0</v>
      </c>
      <c r="X158" s="368">
        <v>0</v>
      </c>
      <c r="Y158" s="370">
        <v>0</v>
      </c>
      <c r="Z158" s="370">
        <v>0</v>
      </c>
      <c r="AA158" s="370">
        <v>0</v>
      </c>
      <c r="AB158" s="370">
        <v>0</v>
      </c>
      <c r="AC158" s="370">
        <v>0</v>
      </c>
      <c r="AD158" s="370">
        <v>0</v>
      </c>
      <c r="AE158" s="370">
        <v>0</v>
      </c>
      <c r="AF158" s="370">
        <v>0</v>
      </c>
      <c r="AG158" s="370">
        <v>0</v>
      </c>
      <c r="AH158" s="370">
        <v>0</v>
      </c>
      <c r="AI158" s="368">
        <f>ROUND(0.955*C158*(180+22),2)</f>
        <v>679158.95</v>
      </c>
      <c r="AJ158" s="370">
        <f>ROUND(0.03*(370+1200+180+22+105)*C158,2)</f>
        <v>198244.99</v>
      </c>
      <c r="AK158" s="370">
        <f>ROUND(0.015*(180+22+370+1200+105)*C158,2)</f>
        <v>99122.49</v>
      </c>
      <c r="AL158" s="370">
        <v>0</v>
      </c>
      <c r="AM158" s="229"/>
      <c r="AN158" s="229"/>
      <c r="AO158" s="28">
        <v>534022374.8300001</v>
      </c>
      <c r="AP158" s="486" t="e">
        <f t="shared" si="85"/>
        <v>#DIV/0!</v>
      </c>
      <c r="AQ158" s="486" t="e">
        <f t="shared" si="88"/>
        <v>#DIV/0!</v>
      </c>
      <c r="AR158" s="486" t="e">
        <f t="shared" si="89"/>
        <v>#DIV/0!</v>
      </c>
      <c r="AS158" s="486" t="e">
        <f t="shared" si="90"/>
        <v>#DIV/0!</v>
      </c>
      <c r="AT158" s="486" t="e">
        <f t="shared" si="91"/>
        <v>#DIV/0!</v>
      </c>
      <c r="AU158" s="486" t="e">
        <f t="shared" si="92"/>
        <v>#DIV/0!</v>
      </c>
      <c r="AV158" s="486" t="e">
        <f t="shared" si="93"/>
        <v>#DIV/0!</v>
      </c>
      <c r="AW158" s="486" t="e">
        <f t="shared" si="94"/>
        <v>#DIV/0!</v>
      </c>
      <c r="AX158" s="486" t="e">
        <f t="shared" si="95"/>
        <v>#DIV/0!</v>
      </c>
      <c r="AY158" s="486" t="e">
        <f t="shared" si="96"/>
        <v>#DIV/0!</v>
      </c>
      <c r="AZ158" s="486" t="e">
        <f t="shared" si="97"/>
        <v>#DIV/0!</v>
      </c>
      <c r="BA158" s="486">
        <f t="shared" si="86"/>
        <v>192.91000113616997</v>
      </c>
      <c r="BB158" s="494">
        <v>5155.41</v>
      </c>
      <c r="BC158" s="494">
        <v>2070.12</v>
      </c>
      <c r="BD158" s="494">
        <v>848.92</v>
      </c>
      <c r="BE158" s="494">
        <v>819.73</v>
      </c>
      <c r="BF158" s="494">
        <v>611.5</v>
      </c>
      <c r="BG158" s="494">
        <v>1080.04</v>
      </c>
      <c r="BH158" s="494">
        <v>2671800.0099999998</v>
      </c>
      <c r="BI158" s="494">
        <f t="shared" si="71"/>
        <v>4422.8500000000004</v>
      </c>
      <c r="BJ158" s="494">
        <v>14289.54</v>
      </c>
      <c r="BK158" s="494">
        <v>3389.61</v>
      </c>
      <c r="BL158" s="494">
        <v>5995.76</v>
      </c>
      <c r="BM158" s="494">
        <v>548.62</v>
      </c>
      <c r="BN158" s="495" t="e">
        <f t="shared" si="98"/>
        <v>#DIV/0!</v>
      </c>
      <c r="BO158" s="495" t="e">
        <f t="shared" si="99"/>
        <v>#DIV/0!</v>
      </c>
      <c r="BP158" s="495" t="e">
        <f t="shared" si="100"/>
        <v>#DIV/0!</v>
      </c>
      <c r="BQ158" s="495" t="e">
        <f t="shared" si="101"/>
        <v>#DIV/0!</v>
      </c>
      <c r="BR158" s="495" t="e">
        <f t="shared" si="102"/>
        <v>#DIV/0!</v>
      </c>
      <c r="BS158" s="495" t="e">
        <f t="shared" si="103"/>
        <v>#DIV/0!</v>
      </c>
      <c r="BT158" s="495" t="e">
        <f t="shared" si="104"/>
        <v>#DIV/0!</v>
      </c>
      <c r="BU158" s="495" t="e">
        <f t="shared" si="105"/>
        <v>#DIV/0!</v>
      </c>
      <c r="BV158" s="495" t="e">
        <f t="shared" si="106"/>
        <v>#DIV/0!</v>
      </c>
      <c r="BW158" s="495" t="e">
        <f t="shared" si="107"/>
        <v>#DIV/0!</v>
      </c>
      <c r="BX158" s="495" t="e">
        <f t="shared" si="108"/>
        <v>#DIV/0!</v>
      </c>
      <c r="BY158" s="495" t="str">
        <f t="shared" si="109"/>
        <v xml:space="preserve"> </v>
      </c>
    </row>
    <row r="159" spans="1:77" s="28" customFormat="1" ht="26.25" customHeight="1">
      <c r="A159" s="954" t="s">
        <v>109</v>
      </c>
      <c r="B159" s="954"/>
      <c r="C159" s="368">
        <f>SUM(C17:C158)</f>
        <v>499881.70999999996</v>
      </c>
      <c r="D159" s="278" t="s">
        <v>391</v>
      </c>
      <c r="E159" s="278" t="s">
        <v>391</v>
      </c>
      <c r="F159" s="363"/>
      <c r="G159" s="363"/>
      <c r="H159" s="368">
        <f>SUM(H17:H158)</f>
        <v>549275227.74715018</v>
      </c>
      <c r="I159" s="501">
        <f t="shared" ref="I159:Y159" si="117">SUM(I17:I158)</f>
        <v>39729951.539999999</v>
      </c>
      <c r="J159" s="501">
        <f t="shared" si="117"/>
        <v>5386912.6299999999</v>
      </c>
      <c r="K159" s="501">
        <f t="shared" si="117"/>
        <v>0</v>
      </c>
      <c r="L159" s="501">
        <f t="shared" si="117"/>
        <v>19281736.5</v>
      </c>
      <c r="M159" s="501">
        <f t="shared" si="117"/>
        <v>0</v>
      </c>
      <c r="N159" s="501">
        <f t="shared" si="117"/>
        <v>1980700.32</v>
      </c>
      <c r="O159" s="501">
        <f t="shared" si="117"/>
        <v>0</v>
      </c>
      <c r="P159" s="501">
        <f t="shared" si="117"/>
        <v>4766441.79</v>
      </c>
      <c r="Q159" s="501">
        <f t="shared" si="117"/>
        <v>0</v>
      </c>
      <c r="R159" s="501">
        <f t="shared" si="117"/>
        <v>3090538.54</v>
      </c>
      <c r="S159" s="501">
        <f t="shared" si="117"/>
        <v>0</v>
      </c>
      <c r="T159" s="501">
        <f t="shared" si="117"/>
        <v>5223621.7600000007</v>
      </c>
      <c r="U159" s="131">
        <v>15</v>
      </c>
      <c r="V159" s="501">
        <f t="shared" si="117"/>
        <v>28128524.18</v>
      </c>
      <c r="W159" s="501">
        <f t="shared" si="117"/>
        <v>135369.80000000002</v>
      </c>
      <c r="X159" s="501">
        <f t="shared" si="117"/>
        <v>426295327.59714991</v>
      </c>
      <c r="Y159" s="501">
        <f t="shared" si="117"/>
        <v>0</v>
      </c>
      <c r="Z159" s="368">
        <f t="shared" ref="Z159:AL159" si="118">SUM(Z17:Z158)</f>
        <v>0</v>
      </c>
      <c r="AA159" s="368">
        <f t="shared" si="118"/>
        <v>8540.619999999999</v>
      </c>
      <c r="AB159" s="368">
        <f t="shared" si="118"/>
        <v>19069571.030000001</v>
      </c>
      <c r="AC159" s="368">
        <f t="shared" si="118"/>
        <v>0</v>
      </c>
      <c r="AD159" s="368">
        <f t="shared" si="118"/>
        <v>0</v>
      </c>
      <c r="AE159" s="368">
        <f t="shared" si="118"/>
        <v>0</v>
      </c>
      <c r="AF159" s="368">
        <f t="shared" si="118"/>
        <v>0</v>
      </c>
      <c r="AG159" s="368">
        <f t="shared" si="118"/>
        <v>0</v>
      </c>
      <c r="AH159" s="368">
        <f t="shared" si="118"/>
        <v>0</v>
      </c>
      <c r="AI159" s="368">
        <f>SUM(AI17:AI158)</f>
        <v>11334468.159999998</v>
      </c>
      <c r="AJ159" s="368">
        <f>SUM(AJ17:AJ158)</f>
        <v>16478256.820000002</v>
      </c>
      <c r="AK159" s="368">
        <f>SUM(AK17:AK158)</f>
        <v>8239128.4200000018</v>
      </c>
      <c r="AL159" s="368">
        <f t="shared" si="118"/>
        <v>0</v>
      </c>
      <c r="AM159" s="279"/>
      <c r="AN159" s="279"/>
      <c r="AO159" s="404">
        <f>H159-AO158</f>
        <v>15252852.91715008</v>
      </c>
      <c r="AP159" s="486" t="e">
        <f t="shared" si="85"/>
        <v>#VALUE!</v>
      </c>
      <c r="AQ159" s="486" t="e">
        <f t="shared" si="88"/>
        <v>#DIV/0!</v>
      </c>
      <c r="AR159" s="497" t="e">
        <f t="shared" si="89"/>
        <v>#DIV/0!</v>
      </c>
      <c r="AS159" s="497" t="e">
        <f t="shared" si="90"/>
        <v>#DIV/0!</v>
      </c>
      <c r="AT159" s="497" t="e">
        <f t="shared" si="91"/>
        <v>#DIV/0!</v>
      </c>
      <c r="AU159" s="497" t="e">
        <f t="shared" si="92"/>
        <v>#DIV/0!</v>
      </c>
      <c r="AV159" s="497">
        <f t="shared" si="93"/>
        <v>1875234.9453333332</v>
      </c>
      <c r="AW159" s="497">
        <f t="shared" si="94"/>
        <v>3149.1169197055019</v>
      </c>
      <c r="AX159" s="497" t="e">
        <f t="shared" si="95"/>
        <v>#DIV/0!</v>
      </c>
      <c r="AY159" s="486">
        <f t="shared" si="96"/>
        <v>2232.8087457350875</v>
      </c>
      <c r="AZ159" s="497" t="e">
        <f t="shared" si="97"/>
        <v>#DIV/0!</v>
      </c>
      <c r="BA159" s="486">
        <f t="shared" si="86"/>
        <v>22.674300606037374</v>
      </c>
      <c r="BB159" s="494">
        <v>5155.41</v>
      </c>
      <c r="BC159" s="494">
        <v>2070.12</v>
      </c>
      <c r="BD159" s="494">
        <v>848.92</v>
      </c>
      <c r="BE159" s="494">
        <v>819.73</v>
      </c>
      <c r="BF159" s="494">
        <v>611.5</v>
      </c>
      <c r="BG159" s="494">
        <v>1080.04</v>
      </c>
      <c r="BH159" s="494">
        <v>2671800.0099999998</v>
      </c>
      <c r="BI159" s="494">
        <f t="shared" si="71"/>
        <v>4422.8500000000004</v>
      </c>
      <c r="BJ159" s="494">
        <v>14289.54</v>
      </c>
      <c r="BK159" s="494">
        <v>3389.61</v>
      </c>
      <c r="BL159" s="494">
        <v>5995.76</v>
      </c>
      <c r="BM159" s="494">
        <v>548.62</v>
      </c>
      <c r="BN159" s="493" t="e">
        <f t="shared" si="98"/>
        <v>#VALUE!</v>
      </c>
      <c r="BO159" s="493" t="e">
        <f t="shared" si="99"/>
        <v>#DIV/0!</v>
      </c>
      <c r="BP159" s="493" t="e">
        <f t="shared" si="100"/>
        <v>#DIV/0!</v>
      </c>
      <c r="BQ159" s="493" t="e">
        <f t="shared" si="101"/>
        <v>#DIV/0!</v>
      </c>
      <c r="BR159" s="493" t="e">
        <f t="shared" si="102"/>
        <v>#DIV/0!</v>
      </c>
      <c r="BS159" s="493" t="e">
        <f t="shared" si="103"/>
        <v>#DIV/0!</v>
      </c>
      <c r="BT159" s="493" t="str">
        <f t="shared" si="104"/>
        <v xml:space="preserve"> </v>
      </c>
      <c r="BU159" s="493" t="str">
        <f t="shared" si="105"/>
        <v xml:space="preserve"> </v>
      </c>
      <c r="BV159" s="493" t="e">
        <f t="shared" si="106"/>
        <v>#DIV/0!</v>
      </c>
      <c r="BW159" s="493" t="str">
        <f t="shared" si="107"/>
        <v xml:space="preserve"> </v>
      </c>
      <c r="BX159" s="493" t="e">
        <f t="shared" si="108"/>
        <v>#DIV/0!</v>
      </c>
      <c r="BY159" s="493" t="str">
        <f t="shared" si="109"/>
        <v xml:space="preserve"> </v>
      </c>
    </row>
    <row r="160" spans="1:77" s="28" customFormat="1" ht="15.75" customHeight="1">
      <c r="A160" s="989" t="s">
        <v>221</v>
      </c>
      <c r="B160" s="842"/>
      <c r="C160" s="842"/>
      <c r="D160" s="842"/>
      <c r="E160" s="842"/>
      <c r="F160" s="842"/>
      <c r="G160" s="842"/>
      <c r="H160" s="842"/>
      <c r="I160" s="842"/>
      <c r="J160" s="842"/>
      <c r="K160" s="842"/>
      <c r="L160" s="842"/>
      <c r="M160" s="842"/>
      <c r="N160" s="842"/>
      <c r="O160" s="842"/>
      <c r="P160" s="842"/>
      <c r="Q160" s="842"/>
      <c r="R160" s="842"/>
      <c r="S160" s="842"/>
      <c r="T160" s="842"/>
      <c r="U160" s="842"/>
      <c r="V160" s="842"/>
      <c r="W160" s="842"/>
      <c r="X160" s="842"/>
      <c r="Y160" s="842"/>
      <c r="Z160" s="842"/>
      <c r="AA160" s="842"/>
      <c r="AB160" s="842"/>
      <c r="AC160" s="842"/>
      <c r="AD160" s="842"/>
      <c r="AE160" s="842"/>
      <c r="AF160" s="842"/>
      <c r="AG160" s="842"/>
      <c r="AH160" s="842"/>
      <c r="AI160" s="842"/>
      <c r="AJ160" s="842"/>
      <c r="AK160" s="842"/>
      <c r="AL160" s="842"/>
      <c r="AM160" s="842"/>
      <c r="AN160" s="990"/>
      <c r="AO160" s="404"/>
      <c r="AP160" s="486" t="e">
        <f t="shared" si="85"/>
        <v>#DIV/0!</v>
      </c>
      <c r="AQ160" s="486" t="e">
        <f t="shared" si="88"/>
        <v>#DIV/0!</v>
      </c>
      <c r="AR160" s="497" t="e">
        <f t="shared" si="89"/>
        <v>#DIV/0!</v>
      </c>
      <c r="AS160" s="497" t="e">
        <f t="shared" si="90"/>
        <v>#DIV/0!</v>
      </c>
      <c r="AT160" s="497" t="e">
        <f t="shared" si="91"/>
        <v>#DIV/0!</v>
      </c>
      <c r="AU160" s="497" t="e">
        <f t="shared" si="92"/>
        <v>#DIV/0!</v>
      </c>
      <c r="AV160" s="497" t="e">
        <f t="shared" si="93"/>
        <v>#DIV/0!</v>
      </c>
      <c r="AW160" s="497" t="e">
        <f t="shared" si="94"/>
        <v>#DIV/0!</v>
      </c>
      <c r="AX160" s="497" t="e">
        <f t="shared" si="95"/>
        <v>#DIV/0!</v>
      </c>
      <c r="AY160" s="486" t="e">
        <f t="shared" si="96"/>
        <v>#DIV/0!</v>
      </c>
      <c r="AZ160" s="497" t="e">
        <f t="shared" si="97"/>
        <v>#DIV/0!</v>
      </c>
      <c r="BA160" s="486" t="e">
        <f t="shared" si="86"/>
        <v>#DIV/0!</v>
      </c>
      <c r="BB160" s="494">
        <v>5155.41</v>
      </c>
      <c r="BC160" s="494">
        <v>2070.12</v>
      </c>
      <c r="BD160" s="494">
        <v>848.92</v>
      </c>
      <c r="BE160" s="494">
        <v>819.73</v>
      </c>
      <c r="BF160" s="494">
        <v>611.5</v>
      </c>
      <c r="BG160" s="494">
        <v>1080.04</v>
      </c>
      <c r="BH160" s="494">
        <v>2671800.0099999998</v>
      </c>
      <c r="BI160" s="494">
        <f t="shared" si="71"/>
        <v>4422.8500000000004</v>
      </c>
      <c r="BJ160" s="494">
        <v>14289.54</v>
      </c>
      <c r="BK160" s="494">
        <v>3389.61</v>
      </c>
      <c r="BL160" s="494">
        <v>5995.76</v>
      </c>
      <c r="BM160" s="494">
        <v>548.62</v>
      </c>
      <c r="BN160" s="493" t="e">
        <f t="shared" si="98"/>
        <v>#DIV/0!</v>
      </c>
      <c r="BO160" s="493" t="e">
        <f t="shared" si="99"/>
        <v>#DIV/0!</v>
      </c>
      <c r="BP160" s="493" t="e">
        <f t="shared" si="100"/>
        <v>#DIV/0!</v>
      </c>
      <c r="BQ160" s="493" t="e">
        <f t="shared" si="101"/>
        <v>#DIV/0!</v>
      </c>
      <c r="BR160" s="493" t="e">
        <f t="shared" si="102"/>
        <v>#DIV/0!</v>
      </c>
      <c r="BS160" s="493" t="e">
        <f t="shared" si="103"/>
        <v>#DIV/0!</v>
      </c>
      <c r="BT160" s="493" t="e">
        <f t="shared" si="104"/>
        <v>#DIV/0!</v>
      </c>
      <c r="BU160" s="493" t="e">
        <f t="shared" si="105"/>
        <v>#DIV/0!</v>
      </c>
      <c r="BV160" s="493" t="e">
        <f t="shared" si="106"/>
        <v>#DIV/0!</v>
      </c>
      <c r="BW160" s="493" t="e">
        <f t="shared" si="107"/>
        <v>#DIV/0!</v>
      </c>
      <c r="BX160" s="493" t="e">
        <f t="shared" si="108"/>
        <v>#DIV/0!</v>
      </c>
      <c r="BY160" s="493" t="e">
        <f>IF(BA160&gt;BM160, "+", " ")</f>
        <v>#DIV/0!</v>
      </c>
    </row>
    <row r="161" spans="1:78" s="369" customFormat="1" ht="9" customHeight="1">
      <c r="A161" s="366">
        <v>143</v>
      </c>
      <c r="B161" s="309" t="s">
        <v>750</v>
      </c>
      <c r="C161" s="468">
        <v>2530.3000000000002</v>
      </c>
      <c r="D161" s="376"/>
      <c r="E161" s="387" t="s">
        <v>1006</v>
      </c>
      <c r="F161" s="387"/>
      <c r="G161" s="387"/>
      <c r="H161" s="313">
        <v>3833260.2</v>
      </c>
      <c r="I161" s="368">
        <f t="shared" ref="I161:I167" si="119">J161+L161+N161+P161+R161+T161</f>
        <v>0</v>
      </c>
      <c r="J161" s="313">
        <v>0</v>
      </c>
      <c r="K161" s="479">
        <v>0</v>
      </c>
      <c r="L161" s="313">
        <v>0</v>
      </c>
      <c r="M161" s="479">
        <v>0</v>
      </c>
      <c r="N161" s="313">
        <v>0</v>
      </c>
      <c r="O161" s="249">
        <v>0</v>
      </c>
      <c r="P161" s="368">
        <v>0</v>
      </c>
      <c r="Q161" s="249">
        <v>0</v>
      </c>
      <c r="R161" s="368">
        <v>0</v>
      </c>
      <c r="S161" s="249">
        <v>0</v>
      </c>
      <c r="T161" s="368">
        <v>0</v>
      </c>
      <c r="U161" s="130">
        <v>0</v>
      </c>
      <c r="V161" s="368">
        <v>0</v>
      </c>
      <c r="W161" s="368">
        <v>1185.4000000000001</v>
      </c>
      <c r="X161" s="368">
        <f t="shared" ref="X161:X164" si="120">ROUND(H161/100*95.5,2)</f>
        <v>3660763.49</v>
      </c>
      <c r="Y161" s="370">
        <v>0</v>
      </c>
      <c r="Z161" s="370">
        <v>0</v>
      </c>
      <c r="AA161" s="370">
        <v>0</v>
      </c>
      <c r="AB161" s="370">
        <v>0</v>
      </c>
      <c r="AC161" s="370">
        <v>0</v>
      </c>
      <c r="AD161" s="370">
        <v>0</v>
      </c>
      <c r="AE161" s="370">
        <v>0</v>
      </c>
      <c r="AF161" s="370">
        <v>0</v>
      </c>
      <c r="AG161" s="370">
        <v>0</v>
      </c>
      <c r="AH161" s="370">
        <v>0</v>
      </c>
      <c r="AI161" s="370">
        <v>0</v>
      </c>
      <c r="AJ161" s="370">
        <f t="shared" ref="AJ161" si="121">ROUND(H161/100*3,2)</f>
        <v>114997.81</v>
      </c>
      <c r="AK161" s="370">
        <f t="shared" ref="AK161" si="122">ROUND(H161/100*1.5,2)</f>
        <v>57498.9</v>
      </c>
      <c r="AL161" s="370">
        <v>0</v>
      </c>
      <c r="AM161" s="480"/>
      <c r="AN161" s="480"/>
      <c r="AO161" s="491"/>
      <c r="AP161" s="486" t="e">
        <f t="shared" si="85"/>
        <v>#DIV/0!</v>
      </c>
      <c r="AQ161" s="486" t="e">
        <f t="shared" si="88"/>
        <v>#DIV/0!</v>
      </c>
      <c r="AR161" s="486" t="e">
        <f t="shared" si="89"/>
        <v>#DIV/0!</v>
      </c>
      <c r="AS161" s="486" t="e">
        <f t="shared" si="90"/>
        <v>#DIV/0!</v>
      </c>
      <c r="AT161" s="486" t="e">
        <f t="shared" si="91"/>
        <v>#DIV/0!</v>
      </c>
      <c r="AU161" s="486" t="e">
        <f t="shared" si="92"/>
        <v>#DIV/0!</v>
      </c>
      <c r="AV161" s="486" t="e">
        <f t="shared" si="93"/>
        <v>#DIV/0!</v>
      </c>
      <c r="AW161" s="486">
        <f t="shared" si="94"/>
        <v>3088.209456723469</v>
      </c>
      <c r="AX161" s="486" t="e">
        <f t="shared" si="95"/>
        <v>#DIV/0!</v>
      </c>
      <c r="AY161" s="486" t="e">
        <f t="shared" si="96"/>
        <v>#DIV/0!</v>
      </c>
      <c r="AZ161" s="486" t="e">
        <f t="shared" si="97"/>
        <v>#DIV/0!</v>
      </c>
      <c r="BA161" s="486">
        <f t="shared" si="86"/>
        <v>0</v>
      </c>
      <c r="BB161" s="494">
        <v>5155.41</v>
      </c>
      <c r="BC161" s="494">
        <v>2070.12</v>
      </c>
      <c r="BD161" s="494">
        <v>848.92</v>
      </c>
      <c r="BE161" s="494">
        <v>819.73</v>
      </c>
      <c r="BF161" s="494">
        <v>611.5</v>
      </c>
      <c r="BG161" s="494">
        <v>1080.04</v>
      </c>
      <c r="BH161" s="494">
        <v>2671800.0099999998</v>
      </c>
      <c r="BI161" s="494">
        <f t="shared" si="71"/>
        <v>4422.8500000000004</v>
      </c>
      <c r="BJ161" s="494">
        <v>14289.54</v>
      </c>
      <c r="BK161" s="494">
        <v>3389.61</v>
      </c>
      <c r="BL161" s="494">
        <v>5995.76</v>
      </c>
      <c r="BM161" s="494">
        <v>548.62</v>
      </c>
      <c r="BN161" s="495" t="e">
        <f t="shared" si="98"/>
        <v>#DIV/0!</v>
      </c>
      <c r="BO161" s="495" t="e">
        <f t="shared" si="99"/>
        <v>#DIV/0!</v>
      </c>
      <c r="BP161" s="495" t="e">
        <f t="shared" si="100"/>
        <v>#DIV/0!</v>
      </c>
      <c r="BQ161" s="495" t="e">
        <f t="shared" si="101"/>
        <v>#DIV/0!</v>
      </c>
      <c r="BR161" s="495" t="e">
        <f t="shared" si="102"/>
        <v>#DIV/0!</v>
      </c>
      <c r="BS161" s="495" t="e">
        <f t="shared" si="103"/>
        <v>#DIV/0!</v>
      </c>
      <c r="BT161" s="495" t="e">
        <f t="shared" si="104"/>
        <v>#DIV/0!</v>
      </c>
      <c r="BU161" s="495" t="str">
        <f t="shared" si="105"/>
        <v xml:space="preserve"> </v>
      </c>
      <c r="BV161" s="495" t="e">
        <f t="shared" si="106"/>
        <v>#DIV/0!</v>
      </c>
      <c r="BW161" s="495" t="e">
        <f t="shared" si="107"/>
        <v>#DIV/0!</v>
      </c>
      <c r="BX161" s="495" t="e">
        <f t="shared" si="108"/>
        <v>#DIV/0!</v>
      </c>
      <c r="BY161" s="495" t="str">
        <f t="shared" si="109"/>
        <v xml:space="preserve"> </v>
      </c>
      <c r="BZ161" s="490"/>
    </row>
    <row r="162" spans="1:78" s="369" customFormat="1" ht="9" customHeight="1">
      <c r="A162" s="366">
        <v>144</v>
      </c>
      <c r="B162" s="309" t="s">
        <v>751</v>
      </c>
      <c r="C162" s="468">
        <v>1510.5</v>
      </c>
      <c r="D162" s="376"/>
      <c r="E162" s="387"/>
      <c r="F162" s="387"/>
      <c r="G162" s="387"/>
      <c r="H162" s="313">
        <f>AB162+AJ162+AK162</f>
        <v>2075139.66</v>
      </c>
      <c r="I162" s="368">
        <f t="shared" si="119"/>
        <v>0</v>
      </c>
      <c r="J162" s="313">
        <v>0</v>
      </c>
      <c r="K162" s="479">
        <v>0</v>
      </c>
      <c r="L162" s="313">
        <v>0</v>
      </c>
      <c r="M162" s="479">
        <v>0</v>
      </c>
      <c r="N162" s="313">
        <v>0</v>
      </c>
      <c r="O162" s="249">
        <v>0</v>
      </c>
      <c r="P162" s="368">
        <v>0</v>
      </c>
      <c r="Q162" s="249">
        <v>0</v>
      </c>
      <c r="R162" s="368">
        <v>0</v>
      </c>
      <c r="S162" s="249">
        <v>0</v>
      </c>
      <c r="T162" s="368">
        <v>0</v>
      </c>
      <c r="U162" s="130">
        <v>0</v>
      </c>
      <c r="V162" s="368">
        <v>0</v>
      </c>
      <c r="W162" s="368">
        <v>0</v>
      </c>
      <c r="X162" s="370">
        <v>0</v>
      </c>
      <c r="Y162" s="370">
        <v>0</v>
      </c>
      <c r="Z162" s="370">
        <v>0</v>
      </c>
      <c r="AA162" s="370">
        <v>957</v>
      </c>
      <c r="AB162" s="370">
        <f>ROUND(0.955*2168.38*AA162,2)</f>
        <v>1981758.38</v>
      </c>
      <c r="AC162" s="370">
        <v>0</v>
      </c>
      <c r="AD162" s="370">
        <v>0</v>
      </c>
      <c r="AE162" s="370">
        <v>0</v>
      </c>
      <c r="AF162" s="370">
        <v>0</v>
      </c>
      <c r="AG162" s="370">
        <v>0</v>
      </c>
      <c r="AH162" s="370">
        <v>0</v>
      </c>
      <c r="AI162" s="370">
        <v>0</v>
      </c>
      <c r="AJ162" s="370">
        <f>ROUND(AB162/0.955*0.03,2)</f>
        <v>62254.19</v>
      </c>
      <c r="AK162" s="370">
        <f>ROUND(AB162/0.955*0.015,2)</f>
        <v>31127.09</v>
      </c>
      <c r="AL162" s="370">
        <v>0</v>
      </c>
      <c r="AM162" s="480"/>
      <c r="AN162" s="480"/>
      <c r="AO162" s="491"/>
      <c r="AP162" s="486" t="e">
        <f t="shared" si="85"/>
        <v>#DIV/0!</v>
      </c>
      <c r="AQ162" s="486" t="e">
        <f t="shared" si="88"/>
        <v>#DIV/0!</v>
      </c>
      <c r="AR162" s="486" t="e">
        <f t="shared" si="89"/>
        <v>#DIV/0!</v>
      </c>
      <c r="AS162" s="486" t="e">
        <f t="shared" si="90"/>
        <v>#DIV/0!</v>
      </c>
      <c r="AT162" s="486" t="e">
        <f t="shared" si="91"/>
        <v>#DIV/0!</v>
      </c>
      <c r="AU162" s="486" t="e">
        <f t="shared" si="92"/>
        <v>#DIV/0!</v>
      </c>
      <c r="AV162" s="486" t="e">
        <f t="shared" si="93"/>
        <v>#DIV/0!</v>
      </c>
      <c r="AW162" s="486" t="e">
        <f t="shared" si="94"/>
        <v>#DIV/0!</v>
      </c>
      <c r="AX162" s="486" t="e">
        <f t="shared" si="95"/>
        <v>#DIV/0!</v>
      </c>
      <c r="AY162" s="486">
        <f t="shared" si="96"/>
        <v>2070.8029049111806</v>
      </c>
      <c r="AZ162" s="486" t="e">
        <f t="shared" si="97"/>
        <v>#DIV/0!</v>
      </c>
      <c r="BA162" s="486">
        <f t="shared" si="86"/>
        <v>0</v>
      </c>
      <c r="BB162" s="494">
        <v>5155.41</v>
      </c>
      <c r="BC162" s="494">
        <v>2070.12</v>
      </c>
      <c r="BD162" s="494">
        <v>848.92</v>
      </c>
      <c r="BE162" s="494">
        <v>819.73</v>
      </c>
      <c r="BF162" s="494">
        <v>611.5</v>
      </c>
      <c r="BG162" s="494">
        <v>1080.04</v>
      </c>
      <c r="BH162" s="494">
        <v>2671800.0099999998</v>
      </c>
      <c r="BI162" s="494">
        <f t="shared" si="71"/>
        <v>4422.8500000000004</v>
      </c>
      <c r="BJ162" s="494">
        <v>14289.54</v>
      </c>
      <c r="BK162" s="494">
        <v>3389.61</v>
      </c>
      <c r="BL162" s="494">
        <v>5995.76</v>
      </c>
      <c r="BM162" s="494">
        <v>548.62</v>
      </c>
      <c r="BN162" s="495" t="e">
        <f t="shared" si="98"/>
        <v>#DIV/0!</v>
      </c>
      <c r="BO162" s="495" t="e">
        <f t="shared" si="99"/>
        <v>#DIV/0!</v>
      </c>
      <c r="BP162" s="495" t="e">
        <f t="shared" si="100"/>
        <v>#DIV/0!</v>
      </c>
      <c r="BQ162" s="495" t="e">
        <f t="shared" si="101"/>
        <v>#DIV/0!</v>
      </c>
      <c r="BR162" s="495" t="e">
        <f t="shared" si="102"/>
        <v>#DIV/0!</v>
      </c>
      <c r="BS162" s="495" t="e">
        <f t="shared" si="103"/>
        <v>#DIV/0!</v>
      </c>
      <c r="BT162" s="495" t="e">
        <f t="shared" si="104"/>
        <v>#DIV/0!</v>
      </c>
      <c r="BU162" s="495" t="e">
        <f t="shared" si="105"/>
        <v>#DIV/0!</v>
      </c>
      <c r="BV162" s="495" t="e">
        <f t="shared" si="106"/>
        <v>#DIV/0!</v>
      </c>
      <c r="BW162" s="495" t="str">
        <f t="shared" si="107"/>
        <v xml:space="preserve"> </v>
      </c>
      <c r="BX162" s="495" t="e">
        <f t="shared" si="108"/>
        <v>#DIV/0!</v>
      </c>
      <c r="BY162" s="495" t="str">
        <f t="shared" si="109"/>
        <v xml:space="preserve"> </v>
      </c>
      <c r="BZ162" s="490"/>
    </row>
    <row r="163" spans="1:78" s="369" customFormat="1" ht="9" customHeight="1">
      <c r="A163" s="366">
        <v>145</v>
      </c>
      <c r="B163" s="309" t="s">
        <v>752</v>
      </c>
      <c r="C163" s="468">
        <v>1684.6</v>
      </c>
      <c r="D163" s="376"/>
      <c r="E163" s="387" t="s">
        <v>1006</v>
      </c>
      <c r="F163" s="387"/>
      <c r="G163" s="387"/>
      <c r="H163" s="313">
        <v>3858162</v>
      </c>
      <c r="I163" s="368">
        <f t="shared" si="119"/>
        <v>0</v>
      </c>
      <c r="J163" s="313">
        <v>0</v>
      </c>
      <c r="K163" s="479">
        <v>0</v>
      </c>
      <c r="L163" s="313">
        <v>0</v>
      </c>
      <c r="M163" s="479">
        <v>0</v>
      </c>
      <c r="N163" s="313">
        <v>0</v>
      </c>
      <c r="O163" s="249">
        <v>0</v>
      </c>
      <c r="P163" s="368">
        <v>0</v>
      </c>
      <c r="Q163" s="249">
        <v>0</v>
      </c>
      <c r="R163" s="368">
        <v>0</v>
      </c>
      <c r="S163" s="249">
        <v>0</v>
      </c>
      <c r="T163" s="368">
        <v>0</v>
      </c>
      <c r="U163" s="130">
        <v>0</v>
      </c>
      <c r="V163" s="368">
        <v>0</v>
      </c>
      <c r="W163" s="368">
        <v>1193</v>
      </c>
      <c r="X163" s="368">
        <f t="shared" si="120"/>
        <v>3684544.71</v>
      </c>
      <c r="Y163" s="370">
        <v>0</v>
      </c>
      <c r="Z163" s="370">
        <v>0</v>
      </c>
      <c r="AA163" s="370">
        <v>0</v>
      </c>
      <c r="AB163" s="370">
        <v>0</v>
      </c>
      <c r="AC163" s="370">
        <v>0</v>
      </c>
      <c r="AD163" s="370">
        <v>0</v>
      </c>
      <c r="AE163" s="370">
        <v>0</v>
      </c>
      <c r="AF163" s="370">
        <v>0</v>
      </c>
      <c r="AG163" s="370">
        <v>0</v>
      </c>
      <c r="AH163" s="370">
        <v>0</v>
      </c>
      <c r="AI163" s="370">
        <v>0</v>
      </c>
      <c r="AJ163" s="370">
        <f t="shared" ref="AJ163:AJ164" si="123">ROUND(H163/100*3,2)</f>
        <v>115744.86</v>
      </c>
      <c r="AK163" s="370">
        <f t="shared" ref="AK163:AK164" si="124">ROUND(H163/100*1.5,2)</f>
        <v>57872.43</v>
      </c>
      <c r="AL163" s="370">
        <v>0</v>
      </c>
      <c r="AM163" s="480"/>
      <c r="AN163" s="480"/>
      <c r="AO163" s="491"/>
      <c r="AP163" s="486" t="e">
        <f t="shared" si="85"/>
        <v>#DIV/0!</v>
      </c>
      <c r="AQ163" s="486" t="e">
        <f t="shared" si="88"/>
        <v>#DIV/0!</v>
      </c>
      <c r="AR163" s="486" t="e">
        <f t="shared" si="89"/>
        <v>#DIV/0!</v>
      </c>
      <c r="AS163" s="486" t="e">
        <f t="shared" si="90"/>
        <v>#DIV/0!</v>
      </c>
      <c r="AT163" s="486" t="e">
        <f t="shared" si="91"/>
        <v>#DIV/0!</v>
      </c>
      <c r="AU163" s="486" t="e">
        <f t="shared" si="92"/>
        <v>#DIV/0!</v>
      </c>
      <c r="AV163" s="486" t="e">
        <f t="shared" si="93"/>
        <v>#DIV/0!</v>
      </c>
      <c r="AW163" s="486">
        <f t="shared" si="94"/>
        <v>3088.47</v>
      </c>
      <c r="AX163" s="486" t="e">
        <f t="shared" si="95"/>
        <v>#DIV/0!</v>
      </c>
      <c r="AY163" s="486" t="e">
        <f t="shared" si="96"/>
        <v>#DIV/0!</v>
      </c>
      <c r="AZ163" s="486" t="e">
        <f t="shared" si="97"/>
        <v>#DIV/0!</v>
      </c>
      <c r="BA163" s="486">
        <f t="shared" si="86"/>
        <v>0</v>
      </c>
      <c r="BB163" s="494">
        <v>5155.41</v>
      </c>
      <c r="BC163" s="494">
        <v>2070.12</v>
      </c>
      <c r="BD163" s="494">
        <v>848.92</v>
      </c>
      <c r="BE163" s="494">
        <v>819.73</v>
      </c>
      <c r="BF163" s="494">
        <v>611.5</v>
      </c>
      <c r="BG163" s="494">
        <v>1080.04</v>
      </c>
      <c r="BH163" s="494">
        <v>2671800.0099999998</v>
      </c>
      <c r="BI163" s="494">
        <f t="shared" ref="BI163:BI226" si="125">IF(E163="ПК",4607.6,4422.85)</f>
        <v>4422.8500000000004</v>
      </c>
      <c r="BJ163" s="494">
        <v>14289.54</v>
      </c>
      <c r="BK163" s="494">
        <v>3389.61</v>
      </c>
      <c r="BL163" s="494">
        <v>5995.76</v>
      </c>
      <c r="BM163" s="494">
        <v>548.62</v>
      </c>
      <c r="BN163" s="495" t="e">
        <f t="shared" si="98"/>
        <v>#DIV/0!</v>
      </c>
      <c r="BO163" s="495" t="e">
        <f t="shared" si="99"/>
        <v>#DIV/0!</v>
      </c>
      <c r="BP163" s="495" t="e">
        <f t="shared" si="100"/>
        <v>#DIV/0!</v>
      </c>
      <c r="BQ163" s="495" t="e">
        <f t="shared" si="101"/>
        <v>#DIV/0!</v>
      </c>
      <c r="BR163" s="495" t="e">
        <f t="shared" si="102"/>
        <v>#DIV/0!</v>
      </c>
      <c r="BS163" s="495" t="e">
        <f t="shared" si="103"/>
        <v>#DIV/0!</v>
      </c>
      <c r="BT163" s="495" t="e">
        <f t="shared" si="104"/>
        <v>#DIV/0!</v>
      </c>
      <c r="BU163" s="495" t="str">
        <f t="shared" si="105"/>
        <v xml:space="preserve"> </v>
      </c>
      <c r="BV163" s="495" t="e">
        <f t="shared" si="106"/>
        <v>#DIV/0!</v>
      </c>
      <c r="BW163" s="495" t="e">
        <f t="shared" si="107"/>
        <v>#DIV/0!</v>
      </c>
      <c r="BX163" s="495" t="e">
        <f t="shared" si="108"/>
        <v>#DIV/0!</v>
      </c>
      <c r="BY163" s="495" t="str">
        <f t="shared" si="109"/>
        <v xml:space="preserve"> </v>
      </c>
      <c r="BZ163" s="490"/>
    </row>
    <row r="164" spans="1:78" s="369" customFormat="1" ht="9" customHeight="1">
      <c r="A164" s="366">
        <v>146</v>
      </c>
      <c r="B164" s="309" t="s">
        <v>1064</v>
      </c>
      <c r="C164" s="468">
        <v>3523.8</v>
      </c>
      <c r="D164" s="376"/>
      <c r="E164" s="387" t="s">
        <v>1006</v>
      </c>
      <c r="F164" s="387"/>
      <c r="G164" s="387"/>
      <c r="H164" s="313">
        <v>3848460</v>
      </c>
      <c r="I164" s="368">
        <f t="shared" si="119"/>
        <v>0</v>
      </c>
      <c r="J164" s="313">
        <v>0</v>
      </c>
      <c r="K164" s="479">
        <v>0</v>
      </c>
      <c r="L164" s="313">
        <v>0</v>
      </c>
      <c r="M164" s="479">
        <v>0</v>
      </c>
      <c r="N164" s="313">
        <v>0</v>
      </c>
      <c r="O164" s="249">
        <v>0</v>
      </c>
      <c r="P164" s="368">
        <v>0</v>
      </c>
      <c r="Q164" s="249">
        <v>0</v>
      </c>
      <c r="R164" s="368">
        <v>0</v>
      </c>
      <c r="S164" s="249">
        <v>0</v>
      </c>
      <c r="T164" s="368">
        <v>0</v>
      </c>
      <c r="U164" s="130">
        <v>0</v>
      </c>
      <c r="V164" s="368">
        <v>0</v>
      </c>
      <c r="W164" s="368">
        <v>1392</v>
      </c>
      <c r="X164" s="368">
        <f t="shared" si="120"/>
        <v>3675279.3</v>
      </c>
      <c r="Y164" s="370">
        <v>0</v>
      </c>
      <c r="Z164" s="370">
        <v>0</v>
      </c>
      <c r="AA164" s="370">
        <v>0</v>
      </c>
      <c r="AB164" s="370">
        <v>0</v>
      </c>
      <c r="AC164" s="370">
        <v>0</v>
      </c>
      <c r="AD164" s="370">
        <v>0</v>
      </c>
      <c r="AE164" s="370">
        <v>0</v>
      </c>
      <c r="AF164" s="370">
        <v>0</v>
      </c>
      <c r="AG164" s="370">
        <v>0</v>
      </c>
      <c r="AH164" s="370">
        <v>0</v>
      </c>
      <c r="AI164" s="370">
        <v>0</v>
      </c>
      <c r="AJ164" s="370">
        <f t="shared" si="123"/>
        <v>115453.8</v>
      </c>
      <c r="AK164" s="370">
        <f t="shared" si="124"/>
        <v>57726.9</v>
      </c>
      <c r="AL164" s="370">
        <v>0</v>
      </c>
      <c r="AM164" s="480"/>
      <c r="AN164" s="480"/>
      <c r="AO164" s="491"/>
      <c r="AP164" s="486" t="e">
        <f t="shared" si="85"/>
        <v>#DIV/0!</v>
      </c>
      <c r="AQ164" s="486" t="e">
        <f t="shared" si="88"/>
        <v>#DIV/0!</v>
      </c>
      <c r="AR164" s="486" t="e">
        <f t="shared" si="89"/>
        <v>#DIV/0!</v>
      </c>
      <c r="AS164" s="486" t="e">
        <f t="shared" si="90"/>
        <v>#DIV/0!</v>
      </c>
      <c r="AT164" s="486" t="e">
        <f t="shared" si="91"/>
        <v>#DIV/0!</v>
      </c>
      <c r="AU164" s="486" t="e">
        <f t="shared" si="92"/>
        <v>#DIV/0!</v>
      </c>
      <c r="AV164" s="486" t="e">
        <f t="shared" si="93"/>
        <v>#DIV/0!</v>
      </c>
      <c r="AW164" s="486">
        <f t="shared" si="94"/>
        <v>2640.2868534482759</v>
      </c>
      <c r="AX164" s="486" t="e">
        <f t="shared" si="95"/>
        <v>#DIV/0!</v>
      </c>
      <c r="AY164" s="486" t="e">
        <f t="shared" si="96"/>
        <v>#DIV/0!</v>
      </c>
      <c r="AZ164" s="486" t="e">
        <f t="shared" si="97"/>
        <v>#DIV/0!</v>
      </c>
      <c r="BA164" s="486">
        <f t="shared" si="86"/>
        <v>0</v>
      </c>
      <c r="BB164" s="494">
        <v>5155.41</v>
      </c>
      <c r="BC164" s="494">
        <v>2070.12</v>
      </c>
      <c r="BD164" s="494">
        <v>848.92</v>
      </c>
      <c r="BE164" s="494">
        <v>819.73</v>
      </c>
      <c r="BF164" s="494">
        <v>611.5</v>
      </c>
      <c r="BG164" s="494">
        <v>1080.04</v>
      </c>
      <c r="BH164" s="494">
        <v>2671800.0099999998</v>
      </c>
      <c r="BI164" s="494">
        <f t="shared" si="125"/>
        <v>4422.8500000000004</v>
      </c>
      <c r="BJ164" s="494">
        <v>14289.54</v>
      </c>
      <c r="BK164" s="494">
        <v>3389.61</v>
      </c>
      <c r="BL164" s="494">
        <v>5995.76</v>
      </c>
      <c r="BM164" s="494">
        <v>548.62</v>
      </c>
      <c r="BN164" s="495" t="e">
        <f t="shared" si="98"/>
        <v>#DIV/0!</v>
      </c>
      <c r="BO164" s="495" t="e">
        <f t="shared" si="99"/>
        <v>#DIV/0!</v>
      </c>
      <c r="BP164" s="495" t="e">
        <f t="shared" si="100"/>
        <v>#DIV/0!</v>
      </c>
      <c r="BQ164" s="495" t="e">
        <f t="shared" si="101"/>
        <v>#DIV/0!</v>
      </c>
      <c r="BR164" s="495" t="e">
        <f t="shared" si="102"/>
        <v>#DIV/0!</v>
      </c>
      <c r="BS164" s="495" t="e">
        <f t="shared" si="103"/>
        <v>#DIV/0!</v>
      </c>
      <c r="BT164" s="495" t="e">
        <f t="shared" si="104"/>
        <v>#DIV/0!</v>
      </c>
      <c r="BU164" s="495" t="str">
        <f t="shared" si="105"/>
        <v xml:space="preserve"> </v>
      </c>
      <c r="BV164" s="495" t="e">
        <f t="shared" si="106"/>
        <v>#DIV/0!</v>
      </c>
      <c r="BW164" s="495" t="e">
        <f t="shared" si="107"/>
        <v>#DIV/0!</v>
      </c>
      <c r="BX164" s="495" t="e">
        <f t="shared" si="108"/>
        <v>#DIV/0!</v>
      </c>
      <c r="BY164" s="495" t="str">
        <f t="shared" si="109"/>
        <v xml:space="preserve"> </v>
      </c>
      <c r="BZ164" s="490"/>
    </row>
    <row r="165" spans="1:78" s="369" customFormat="1" ht="9" customHeight="1">
      <c r="A165" s="366">
        <v>147</v>
      </c>
      <c r="B165" s="309" t="s">
        <v>1065</v>
      </c>
      <c r="C165" s="468">
        <v>5924.7</v>
      </c>
      <c r="D165" s="376">
        <v>1003.3</v>
      </c>
      <c r="E165" s="387"/>
      <c r="F165" s="387"/>
      <c r="G165" s="387"/>
      <c r="H165" s="313">
        <f>I165+AJ165+AK165</f>
        <v>15092739.390000001</v>
      </c>
      <c r="I165" s="368">
        <f t="shared" si="119"/>
        <v>14413566.120000001</v>
      </c>
      <c r="J165" s="205">
        <f>ROUND(0.955*(5865.7*370)-0.01,2)</f>
        <v>2072645.09</v>
      </c>
      <c r="K165" s="479">
        <v>2868</v>
      </c>
      <c r="L165" s="205">
        <f>ROUND(0.955*(5865.7*1200),2)</f>
        <v>6722092.2000000002</v>
      </c>
      <c r="M165" s="465">
        <v>722</v>
      </c>
      <c r="N165" s="205">
        <f>ROUND(0.955*(5865.7*303.05),2)</f>
        <v>1697608.37</v>
      </c>
      <c r="O165" s="249">
        <v>1192</v>
      </c>
      <c r="P165" s="368">
        <f>ROUND(0.955*(5865.7*210),2)</f>
        <v>1176366.1399999999</v>
      </c>
      <c r="Q165" s="249">
        <v>1699</v>
      </c>
      <c r="R165" s="368">
        <f>ROUND(0.955*(5865.7*270),2)</f>
        <v>1512470.75</v>
      </c>
      <c r="S165" s="249">
        <v>1141</v>
      </c>
      <c r="T165" s="368">
        <f>ROUND(0.955*(5865.7*220),2)</f>
        <v>1232383.57</v>
      </c>
      <c r="U165" s="130">
        <v>0</v>
      </c>
      <c r="V165" s="368">
        <v>0</v>
      </c>
      <c r="W165" s="368">
        <v>0</v>
      </c>
      <c r="X165" s="370">
        <v>0</v>
      </c>
      <c r="Y165" s="370">
        <v>0</v>
      </c>
      <c r="Z165" s="370">
        <v>0</v>
      </c>
      <c r="AA165" s="370">
        <v>0</v>
      </c>
      <c r="AB165" s="370">
        <v>0</v>
      </c>
      <c r="AC165" s="370">
        <v>0</v>
      </c>
      <c r="AD165" s="370">
        <v>0</v>
      </c>
      <c r="AE165" s="370">
        <v>0</v>
      </c>
      <c r="AF165" s="370">
        <v>0</v>
      </c>
      <c r="AG165" s="370">
        <v>0</v>
      </c>
      <c r="AH165" s="370">
        <v>0</v>
      </c>
      <c r="AI165" s="370">
        <v>0</v>
      </c>
      <c r="AJ165" s="370">
        <f>ROUND(0.03*(210+220+1200+370+270+303.05)*5865.7,2)</f>
        <v>452782.18</v>
      </c>
      <c r="AK165" s="370">
        <f>ROUND(0.015*(210+220+1200+270+370+303.05)*5865.7,2)</f>
        <v>226391.09</v>
      </c>
      <c r="AL165" s="370">
        <v>0</v>
      </c>
      <c r="AM165" s="480"/>
      <c r="AN165" s="480"/>
      <c r="AO165" s="491"/>
      <c r="AP165" s="486">
        <f t="shared" si="85"/>
        <v>2065.8278580683746</v>
      </c>
      <c r="AQ165" s="486">
        <f t="shared" si="88"/>
        <v>2343.8257322175732</v>
      </c>
      <c r="AR165" s="486">
        <f t="shared" si="89"/>
        <v>2351.2581301939058</v>
      </c>
      <c r="AS165" s="486">
        <f t="shared" si="90"/>
        <v>986.88434563758381</v>
      </c>
      <c r="AT165" s="486">
        <f t="shared" si="91"/>
        <v>890.21233078281341</v>
      </c>
      <c r="AU165" s="486">
        <f t="shared" si="92"/>
        <v>1080.0907712532867</v>
      </c>
      <c r="AV165" s="486" t="e">
        <f t="shared" si="93"/>
        <v>#DIV/0!</v>
      </c>
      <c r="AW165" s="486" t="e">
        <f t="shared" si="94"/>
        <v>#DIV/0!</v>
      </c>
      <c r="AX165" s="486" t="e">
        <f t="shared" si="95"/>
        <v>#DIV/0!</v>
      </c>
      <c r="AY165" s="486" t="e">
        <f t="shared" si="96"/>
        <v>#DIV/0!</v>
      </c>
      <c r="AZ165" s="486" t="e">
        <f t="shared" si="97"/>
        <v>#DIV/0!</v>
      </c>
      <c r="BA165" s="486">
        <f t="shared" si="86"/>
        <v>0</v>
      </c>
      <c r="BB165" s="494">
        <v>5155.41</v>
      </c>
      <c r="BC165" s="494">
        <v>2070.12</v>
      </c>
      <c r="BD165" s="494">
        <v>848.92</v>
      </c>
      <c r="BE165" s="494">
        <v>819.73</v>
      </c>
      <c r="BF165" s="494">
        <v>611.5</v>
      </c>
      <c r="BG165" s="494">
        <v>1080.04</v>
      </c>
      <c r="BH165" s="494">
        <v>2671800.0099999998</v>
      </c>
      <c r="BI165" s="494">
        <f t="shared" si="125"/>
        <v>4422.8500000000004</v>
      </c>
      <c r="BJ165" s="494">
        <v>14289.54</v>
      </c>
      <c r="BK165" s="494">
        <v>3389.61</v>
      </c>
      <c r="BL165" s="494">
        <v>5995.76</v>
      </c>
      <c r="BM165" s="494">
        <v>548.62</v>
      </c>
      <c r="BN165" s="495" t="str">
        <f t="shared" si="98"/>
        <v xml:space="preserve"> </v>
      </c>
      <c r="BO165" s="495" t="str">
        <f t="shared" si="99"/>
        <v>+</v>
      </c>
      <c r="BP165" s="495" t="str">
        <f t="shared" si="100"/>
        <v>+</v>
      </c>
      <c r="BQ165" s="495" t="str">
        <f t="shared" si="101"/>
        <v>+</v>
      </c>
      <c r="BR165" s="495" t="str">
        <f t="shared" si="102"/>
        <v>+</v>
      </c>
      <c r="BS165" s="495" t="str">
        <f t="shared" si="103"/>
        <v>+</v>
      </c>
      <c r="BT165" s="495" t="e">
        <f t="shared" si="104"/>
        <v>#DIV/0!</v>
      </c>
      <c r="BU165" s="495" t="e">
        <f t="shared" si="105"/>
        <v>#DIV/0!</v>
      </c>
      <c r="BV165" s="495" t="e">
        <f t="shared" si="106"/>
        <v>#DIV/0!</v>
      </c>
      <c r="BW165" s="495" t="e">
        <f t="shared" si="107"/>
        <v>#DIV/0!</v>
      </c>
      <c r="BX165" s="495" t="e">
        <f t="shared" si="108"/>
        <v>#DIV/0!</v>
      </c>
      <c r="BY165" s="495" t="str">
        <f t="shared" si="109"/>
        <v xml:space="preserve"> </v>
      </c>
      <c r="BZ165" s="490"/>
    </row>
    <row r="166" spans="1:78" s="369" customFormat="1" ht="9" customHeight="1">
      <c r="A166" s="366">
        <v>148</v>
      </c>
      <c r="B166" s="309" t="s">
        <v>230</v>
      </c>
      <c r="C166" s="468">
        <v>634.79999999999995</v>
      </c>
      <c r="D166" s="468"/>
      <c r="E166" s="387"/>
      <c r="F166" s="387"/>
      <c r="G166" s="387"/>
      <c r="H166" s="313">
        <v>1106278.29</v>
      </c>
      <c r="I166" s="368">
        <f t="shared" si="119"/>
        <v>0</v>
      </c>
      <c r="J166" s="313">
        <v>0</v>
      </c>
      <c r="K166" s="479">
        <v>0</v>
      </c>
      <c r="L166" s="313">
        <v>0</v>
      </c>
      <c r="M166" s="479">
        <v>0</v>
      </c>
      <c r="N166" s="313">
        <v>0</v>
      </c>
      <c r="O166" s="249">
        <v>0</v>
      </c>
      <c r="P166" s="368">
        <v>0</v>
      </c>
      <c r="Q166" s="249">
        <v>0</v>
      </c>
      <c r="R166" s="368">
        <v>0</v>
      </c>
      <c r="S166" s="249">
        <v>0</v>
      </c>
      <c r="T166" s="368">
        <v>0</v>
      </c>
      <c r="U166" s="130">
        <v>0</v>
      </c>
      <c r="V166" s="368">
        <v>0</v>
      </c>
      <c r="W166" s="368">
        <v>364</v>
      </c>
      <c r="X166" s="370">
        <f>1106278.29*95.5/100</f>
        <v>1056495.7669500001</v>
      </c>
      <c r="Y166" s="370">
        <v>0</v>
      </c>
      <c r="Z166" s="370">
        <v>0</v>
      </c>
      <c r="AA166" s="370">
        <v>0</v>
      </c>
      <c r="AB166" s="370">
        <v>0</v>
      </c>
      <c r="AC166" s="370">
        <v>0</v>
      </c>
      <c r="AD166" s="370">
        <v>0</v>
      </c>
      <c r="AE166" s="370">
        <v>0</v>
      </c>
      <c r="AF166" s="370">
        <v>0</v>
      </c>
      <c r="AG166" s="370">
        <v>0</v>
      </c>
      <c r="AH166" s="370">
        <v>0</v>
      </c>
      <c r="AI166" s="370">
        <v>0</v>
      </c>
      <c r="AJ166" s="370">
        <f>ROUND(X166/95.5*3,2)</f>
        <v>33188.35</v>
      </c>
      <c r="AK166" s="432">
        <f>ROUND(X166/95.5*1.5,2)</f>
        <v>16594.169999999998</v>
      </c>
      <c r="AL166" s="370">
        <v>0</v>
      </c>
      <c r="AM166" s="480"/>
      <c r="AN166" s="480"/>
      <c r="AO166" s="491"/>
      <c r="AP166" s="486" t="e">
        <f t="shared" si="85"/>
        <v>#DIV/0!</v>
      </c>
      <c r="AQ166" s="486" t="e">
        <f t="shared" si="88"/>
        <v>#DIV/0!</v>
      </c>
      <c r="AR166" s="486" t="e">
        <f t="shared" si="89"/>
        <v>#DIV/0!</v>
      </c>
      <c r="AS166" s="486" t="e">
        <f t="shared" si="90"/>
        <v>#DIV/0!</v>
      </c>
      <c r="AT166" s="486" t="e">
        <f t="shared" si="91"/>
        <v>#DIV/0!</v>
      </c>
      <c r="AU166" s="486" t="e">
        <f t="shared" si="92"/>
        <v>#DIV/0!</v>
      </c>
      <c r="AV166" s="486" t="e">
        <f t="shared" si="93"/>
        <v>#DIV/0!</v>
      </c>
      <c r="AW166" s="486">
        <f t="shared" si="94"/>
        <v>2902.4608982142859</v>
      </c>
      <c r="AX166" s="486" t="e">
        <f t="shared" si="95"/>
        <v>#DIV/0!</v>
      </c>
      <c r="AY166" s="486" t="e">
        <f t="shared" si="96"/>
        <v>#DIV/0!</v>
      </c>
      <c r="AZ166" s="486" t="e">
        <f t="shared" si="97"/>
        <v>#DIV/0!</v>
      </c>
      <c r="BA166" s="486">
        <f t="shared" si="86"/>
        <v>0</v>
      </c>
      <c r="BB166" s="494">
        <v>5155.41</v>
      </c>
      <c r="BC166" s="494">
        <v>2070.12</v>
      </c>
      <c r="BD166" s="494">
        <v>848.92</v>
      </c>
      <c r="BE166" s="494">
        <v>819.73</v>
      </c>
      <c r="BF166" s="494">
        <v>611.5</v>
      </c>
      <c r="BG166" s="494">
        <v>1080.04</v>
      </c>
      <c r="BH166" s="494">
        <v>2671800.0099999998</v>
      </c>
      <c r="BI166" s="494">
        <f t="shared" si="125"/>
        <v>4422.8500000000004</v>
      </c>
      <c r="BJ166" s="494">
        <v>14289.54</v>
      </c>
      <c r="BK166" s="494">
        <v>3389.61</v>
      </c>
      <c r="BL166" s="494">
        <v>5995.76</v>
      </c>
      <c r="BM166" s="494">
        <v>548.62</v>
      </c>
      <c r="BN166" s="495" t="e">
        <f t="shared" si="98"/>
        <v>#DIV/0!</v>
      </c>
      <c r="BO166" s="495" t="e">
        <f t="shared" si="99"/>
        <v>#DIV/0!</v>
      </c>
      <c r="BP166" s="495" t="e">
        <f t="shared" si="100"/>
        <v>#DIV/0!</v>
      </c>
      <c r="BQ166" s="495" t="e">
        <f t="shared" si="101"/>
        <v>#DIV/0!</v>
      </c>
      <c r="BR166" s="495" t="e">
        <f t="shared" si="102"/>
        <v>#DIV/0!</v>
      </c>
      <c r="BS166" s="495" t="e">
        <f t="shared" si="103"/>
        <v>#DIV/0!</v>
      </c>
      <c r="BT166" s="495" t="e">
        <f t="shared" si="104"/>
        <v>#DIV/0!</v>
      </c>
      <c r="BU166" s="495" t="str">
        <f t="shared" si="105"/>
        <v xml:space="preserve"> </v>
      </c>
      <c r="BV166" s="495" t="e">
        <f t="shared" si="106"/>
        <v>#DIV/0!</v>
      </c>
      <c r="BW166" s="495" t="e">
        <f t="shared" si="107"/>
        <v>#DIV/0!</v>
      </c>
      <c r="BX166" s="495" t="e">
        <f t="shared" si="108"/>
        <v>#DIV/0!</v>
      </c>
      <c r="BY166" s="495" t="str">
        <f t="shared" si="109"/>
        <v xml:space="preserve"> </v>
      </c>
      <c r="BZ166" s="490"/>
    </row>
    <row r="167" spans="1:78" s="369" customFormat="1" ht="9" customHeight="1">
      <c r="A167" s="366">
        <v>149</v>
      </c>
      <c r="B167" s="309" t="s">
        <v>1037</v>
      </c>
      <c r="C167" s="468">
        <v>2829.6</v>
      </c>
      <c r="D167" s="468"/>
      <c r="E167" s="387"/>
      <c r="F167" s="387"/>
      <c r="G167" s="387"/>
      <c r="H167" s="313">
        <v>857510.28</v>
      </c>
      <c r="I167" s="368">
        <f t="shared" si="119"/>
        <v>857510.28</v>
      </c>
      <c r="J167" s="313">
        <v>0</v>
      </c>
      <c r="K167" s="479">
        <v>0</v>
      </c>
      <c r="L167" s="313">
        <v>0</v>
      </c>
      <c r="M167" s="479">
        <v>0</v>
      </c>
      <c r="N167" s="313">
        <v>857510.28</v>
      </c>
      <c r="O167" s="249">
        <v>0</v>
      </c>
      <c r="P167" s="368">
        <v>0</v>
      </c>
      <c r="Q167" s="249">
        <v>0</v>
      </c>
      <c r="R167" s="368">
        <v>0</v>
      </c>
      <c r="S167" s="249">
        <v>0</v>
      </c>
      <c r="T167" s="368">
        <v>0</v>
      </c>
      <c r="U167" s="130">
        <v>0</v>
      </c>
      <c r="V167" s="368">
        <v>0</v>
      </c>
      <c r="W167" s="368">
        <v>0</v>
      </c>
      <c r="X167" s="370">
        <v>0</v>
      </c>
      <c r="Y167" s="370">
        <v>0</v>
      </c>
      <c r="Z167" s="370">
        <v>0</v>
      </c>
      <c r="AA167" s="370">
        <v>0</v>
      </c>
      <c r="AB167" s="370">
        <v>0</v>
      </c>
      <c r="AC167" s="370">
        <v>0</v>
      </c>
      <c r="AD167" s="370">
        <v>0</v>
      </c>
      <c r="AE167" s="370">
        <v>0</v>
      </c>
      <c r="AF167" s="370">
        <v>0</v>
      </c>
      <c r="AG167" s="370">
        <v>0</v>
      </c>
      <c r="AH167" s="370">
        <v>0</v>
      </c>
      <c r="AI167" s="370">
        <v>0</v>
      </c>
      <c r="AJ167" s="432">
        <v>0</v>
      </c>
      <c r="AK167" s="432">
        <v>0</v>
      </c>
      <c r="AL167" s="370">
        <v>0</v>
      </c>
      <c r="AM167" s="480"/>
      <c r="AN167" s="480"/>
      <c r="AO167" s="491"/>
      <c r="AP167" s="486" t="e">
        <f t="shared" si="85"/>
        <v>#DIV/0!</v>
      </c>
      <c r="AQ167" s="486" t="e">
        <f t="shared" si="88"/>
        <v>#DIV/0!</v>
      </c>
      <c r="AR167" s="486" t="e">
        <f t="shared" si="89"/>
        <v>#DIV/0!</v>
      </c>
      <c r="AS167" s="486" t="e">
        <f t="shared" si="90"/>
        <v>#DIV/0!</v>
      </c>
      <c r="AT167" s="486" t="e">
        <f t="shared" si="91"/>
        <v>#DIV/0!</v>
      </c>
      <c r="AU167" s="486" t="e">
        <f t="shared" si="92"/>
        <v>#DIV/0!</v>
      </c>
      <c r="AV167" s="486" t="e">
        <f t="shared" si="93"/>
        <v>#DIV/0!</v>
      </c>
      <c r="AW167" s="486" t="e">
        <f t="shared" si="94"/>
        <v>#DIV/0!</v>
      </c>
      <c r="AX167" s="486" t="e">
        <f t="shared" si="95"/>
        <v>#DIV/0!</v>
      </c>
      <c r="AY167" s="486" t="e">
        <f t="shared" si="96"/>
        <v>#DIV/0!</v>
      </c>
      <c r="AZ167" s="486" t="e">
        <f t="shared" si="97"/>
        <v>#DIV/0!</v>
      </c>
      <c r="BA167" s="486">
        <f t="shared" si="86"/>
        <v>0</v>
      </c>
      <c r="BB167" s="494">
        <v>5155.41</v>
      </c>
      <c r="BC167" s="494">
        <v>2070.12</v>
      </c>
      <c r="BD167" s="494">
        <v>848.92</v>
      </c>
      <c r="BE167" s="494">
        <v>819.73</v>
      </c>
      <c r="BF167" s="494">
        <v>611.5</v>
      </c>
      <c r="BG167" s="494">
        <v>1080.04</v>
      </c>
      <c r="BH167" s="494">
        <v>2671800.0099999998</v>
      </c>
      <c r="BI167" s="494">
        <f t="shared" si="125"/>
        <v>4422.8500000000004</v>
      </c>
      <c r="BJ167" s="494">
        <v>14289.54</v>
      </c>
      <c r="BK167" s="494">
        <v>3389.61</v>
      </c>
      <c r="BL167" s="494">
        <v>5995.76</v>
      </c>
      <c r="BM167" s="494">
        <v>548.62</v>
      </c>
      <c r="BN167" s="495" t="e">
        <f t="shared" si="98"/>
        <v>#DIV/0!</v>
      </c>
      <c r="BO167" s="495" t="e">
        <f t="shared" si="99"/>
        <v>#DIV/0!</v>
      </c>
      <c r="BP167" s="495" t="e">
        <f t="shared" si="100"/>
        <v>#DIV/0!</v>
      </c>
      <c r="BQ167" s="495" t="e">
        <f t="shared" si="101"/>
        <v>#DIV/0!</v>
      </c>
      <c r="BR167" s="495" t="e">
        <f t="shared" si="102"/>
        <v>#DIV/0!</v>
      </c>
      <c r="BS167" s="495" t="e">
        <f t="shared" si="103"/>
        <v>#DIV/0!</v>
      </c>
      <c r="BT167" s="495" t="e">
        <f t="shared" si="104"/>
        <v>#DIV/0!</v>
      </c>
      <c r="BU167" s="495" t="e">
        <f t="shared" si="105"/>
        <v>#DIV/0!</v>
      </c>
      <c r="BV167" s="495" t="e">
        <f t="shared" si="106"/>
        <v>#DIV/0!</v>
      </c>
      <c r="BW167" s="495" t="e">
        <f t="shared" si="107"/>
        <v>#DIV/0!</v>
      </c>
      <c r="BX167" s="495" t="e">
        <f t="shared" si="108"/>
        <v>#DIV/0!</v>
      </c>
      <c r="BY167" s="495" t="str">
        <f t="shared" si="109"/>
        <v xml:space="preserve"> </v>
      </c>
      <c r="BZ167" s="490"/>
    </row>
    <row r="168" spans="1:78" s="28" customFormat="1" ht="24.75" customHeight="1">
      <c r="A168" s="965" t="s">
        <v>222</v>
      </c>
      <c r="B168" s="965"/>
      <c r="C168" s="388">
        <f>SUM(C161:C167)</f>
        <v>18638.3</v>
      </c>
      <c r="D168" s="431" t="s">
        <v>391</v>
      </c>
      <c r="E168" s="388" t="s">
        <v>391</v>
      </c>
      <c r="F168" s="388"/>
      <c r="G168" s="388"/>
      <c r="H168" s="388">
        <f>SUM(H161:H167)</f>
        <v>30671549.82</v>
      </c>
      <c r="I168" s="388">
        <f t="shared" ref="I168:AL168" si="126">SUM(I161:I167)</f>
        <v>15271076.4</v>
      </c>
      <c r="J168" s="388">
        <f t="shared" si="126"/>
        <v>2072645.09</v>
      </c>
      <c r="K168" s="388">
        <f t="shared" si="126"/>
        <v>2868</v>
      </c>
      <c r="L168" s="388">
        <f t="shared" si="126"/>
        <v>6722092.2000000002</v>
      </c>
      <c r="M168" s="388">
        <f t="shared" si="126"/>
        <v>722</v>
      </c>
      <c r="N168" s="388">
        <f t="shared" si="126"/>
        <v>2555118.6500000004</v>
      </c>
      <c r="O168" s="388">
        <f t="shared" si="126"/>
        <v>1192</v>
      </c>
      <c r="P168" s="388">
        <f t="shared" si="126"/>
        <v>1176366.1399999999</v>
      </c>
      <c r="Q168" s="388">
        <f t="shared" si="126"/>
        <v>1699</v>
      </c>
      <c r="R168" s="388">
        <f t="shared" si="126"/>
        <v>1512470.75</v>
      </c>
      <c r="S168" s="388">
        <f t="shared" si="126"/>
        <v>1141</v>
      </c>
      <c r="T168" s="388">
        <f t="shared" si="126"/>
        <v>1232383.57</v>
      </c>
      <c r="U168" s="391">
        <f t="shared" si="126"/>
        <v>0</v>
      </c>
      <c r="V168" s="388">
        <f t="shared" si="126"/>
        <v>0</v>
      </c>
      <c r="W168" s="388">
        <f t="shared" si="126"/>
        <v>4134.3999999999996</v>
      </c>
      <c r="X168" s="388">
        <f t="shared" si="126"/>
        <v>12077083.26695</v>
      </c>
      <c r="Y168" s="388">
        <f t="shared" si="126"/>
        <v>0</v>
      </c>
      <c r="Z168" s="388">
        <f t="shared" si="126"/>
        <v>0</v>
      </c>
      <c r="AA168" s="388">
        <f t="shared" si="126"/>
        <v>957</v>
      </c>
      <c r="AB168" s="388">
        <f t="shared" si="126"/>
        <v>1981758.38</v>
      </c>
      <c r="AC168" s="388">
        <f t="shared" si="126"/>
        <v>0</v>
      </c>
      <c r="AD168" s="388">
        <f t="shared" si="126"/>
        <v>0</v>
      </c>
      <c r="AE168" s="388">
        <f t="shared" si="126"/>
        <v>0</v>
      </c>
      <c r="AF168" s="388">
        <f t="shared" si="126"/>
        <v>0</v>
      </c>
      <c r="AG168" s="388">
        <f t="shared" si="126"/>
        <v>0</v>
      </c>
      <c r="AH168" s="388">
        <f t="shared" si="126"/>
        <v>0</v>
      </c>
      <c r="AI168" s="388">
        <f t="shared" si="126"/>
        <v>0</v>
      </c>
      <c r="AJ168" s="388">
        <f t="shared" si="126"/>
        <v>894421.19</v>
      </c>
      <c r="AK168" s="388">
        <f t="shared" si="126"/>
        <v>447210.58</v>
      </c>
      <c r="AL168" s="388">
        <f t="shared" si="126"/>
        <v>0</v>
      </c>
      <c r="AM168" s="389"/>
      <c r="AN168" s="389"/>
      <c r="AP168" s="486" t="e">
        <f t="shared" si="85"/>
        <v>#VALUE!</v>
      </c>
      <c r="AQ168" s="486">
        <f t="shared" si="88"/>
        <v>2343.8257322175732</v>
      </c>
      <c r="AR168" s="497">
        <f t="shared" si="89"/>
        <v>3538.945498614959</v>
      </c>
      <c r="AS168" s="497">
        <f t="shared" si="90"/>
        <v>986.88434563758381</v>
      </c>
      <c r="AT168" s="497">
        <f t="shared" si="91"/>
        <v>890.21233078281341</v>
      </c>
      <c r="AU168" s="497">
        <f t="shared" si="92"/>
        <v>1080.0907712532867</v>
      </c>
      <c r="AV168" s="497" t="e">
        <f t="shared" si="93"/>
        <v>#DIV/0!</v>
      </c>
      <c r="AW168" s="497">
        <f t="shared" si="94"/>
        <v>2921.1211462243618</v>
      </c>
      <c r="AX168" s="497" t="e">
        <f t="shared" si="95"/>
        <v>#DIV/0!</v>
      </c>
      <c r="AY168" s="486">
        <f t="shared" si="96"/>
        <v>2070.8029049111806</v>
      </c>
      <c r="AZ168" s="497" t="e">
        <f t="shared" si="97"/>
        <v>#DIV/0!</v>
      </c>
      <c r="BA168" s="486">
        <f t="shared" si="86"/>
        <v>0</v>
      </c>
      <c r="BB168" s="494">
        <v>5155.41</v>
      </c>
      <c r="BC168" s="494">
        <v>2070.12</v>
      </c>
      <c r="BD168" s="494">
        <v>848.92</v>
      </c>
      <c r="BE168" s="494">
        <v>819.73</v>
      </c>
      <c r="BF168" s="494">
        <v>611.5</v>
      </c>
      <c r="BG168" s="494">
        <v>1080.04</v>
      </c>
      <c r="BH168" s="494">
        <v>2671800.0099999998</v>
      </c>
      <c r="BI168" s="494">
        <f t="shared" si="125"/>
        <v>4422.8500000000004</v>
      </c>
      <c r="BJ168" s="494">
        <v>14289.54</v>
      </c>
      <c r="BK168" s="494">
        <v>3389.61</v>
      </c>
      <c r="BL168" s="494">
        <v>5995.76</v>
      </c>
      <c r="BM168" s="494">
        <v>548.62</v>
      </c>
      <c r="BN168" s="493" t="e">
        <f t="shared" si="98"/>
        <v>#VALUE!</v>
      </c>
      <c r="BO168" s="493" t="str">
        <f t="shared" si="99"/>
        <v>+</v>
      </c>
      <c r="BP168" s="493" t="str">
        <f t="shared" si="100"/>
        <v>+</v>
      </c>
      <c r="BQ168" s="493" t="str">
        <f t="shared" si="101"/>
        <v>+</v>
      </c>
      <c r="BR168" s="493" t="str">
        <f t="shared" si="102"/>
        <v>+</v>
      </c>
      <c r="BS168" s="493" t="str">
        <f t="shared" si="103"/>
        <v>+</v>
      </c>
      <c r="BT168" s="493" t="e">
        <f t="shared" si="104"/>
        <v>#DIV/0!</v>
      </c>
      <c r="BU168" s="493" t="str">
        <f t="shared" si="105"/>
        <v xml:space="preserve"> </v>
      </c>
      <c r="BV168" s="493" t="e">
        <f t="shared" si="106"/>
        <v>#DIV/0!</v>
      </c>
      <c r="BW168" s="493" t="str">
        <f t="shared" si="107"/>
        <v xml:space="preserve"> </v>
      </c>
      <c r="BX168" s="493" t="e">
        <f t="shared" si="108"/>
        <v>#DIV/0!</v>
      </c>
      <c r="BY168" s="493" t="str">
        <f t="shared" si="109"/>
        <v xml:space="preserve"> </v>
      </c>
    </row>
    <row r="169" spans="1:78" s="28" customFormat="1" ht="12.75" customHeight="1">
      <c r="A169" s="837" t="s">
        <v>232</v>
      </c>
      <c r="B169" s="838"/>
      <c r="C169" s="838"/>
      <c r="D169" s="838"/>
      <c r="E169" s="838"/>
      <c r="F169" s="838"/>
      <c r="G169" s="838"/>
      <c r="H169" s="838"/>
      <c r="I169" s="838"/>
      <c r="J169" s="838"/>
      <c r="K169" s="838"/>
      <c r="L169" s="838"/>
      <c r="M169" s="838"/>
      <c r="N169" s="838"/>
      <c r="O169" s="838"/>
      <c r="P169" s="838"/>
      <c r="Q169" s="838"/>
      <c r="R169" s="838"/>
      <c r="S169" s="838"/>
      <c r="T169" s="838"/>
      <c r="U169" s="838"/>
      <c r="V169" s="838"/>
      <c r="W169" s="838"/>
      <c r="X169" s="838"/>
      <c r="Y169" s="838"/>
      <c r="Z169" s="838"/>
      <c r="AA169" s="838"/>
      <c r="AB169" s="838"/>
      <c r="AC169" s="838"/>
      <c r="AD169" s="838"/>
      <c r="AE169" s="838"/>
      <c r="AF169" s="838"/>
      <c r="AG169" s="838"/>
      <c r="AH169" s="838"/>
      <c r="AI169" s="838"/>
      <c r="AJ169" s="838"/>
      <c r="AK169" s="838"/>
      <c r="AL169" s="838"/>
      <c r="AM169" s="838"/>
      <c r="AN169" s="839"/>
      <c r="AP169" s="486" t="e">
        <f t="shared" si="85"/>
        <v>#DIV/0!</v>
      </c>
      <c r="AQ169" s="486" t="e">
        <f t="shared" si="88"/>
        <v>#DIV/0!</v>
      </c>
      <c r="AR169" s="497" t="e">
        <f t="shared" si="89"/>
        <v>#DIV/0!</v>
      </c>
      <c r="AS169" s="497" t="e">
        <f t="shared" si="90"/>
        <v>#DIV/0!</v>
      </c>
      <c r="AT169" s="497" t="e">
        <f t="shared" si="91"/>
        <v>#DIV/0!</v>
      </c>
      <c r="AU169" s="497" t="e">
        <f t="shared" si="92"/>
        <v>#DIV/0!</v>
      </c>
      <c r="AV169" s="497" t="e">
        <f t="shared" si="93"/>
        <v>#DIV/0!</v>
      </c>
      <c r="AW169" s="497" t="e">
        <f t="shared" si="94"/>
        <v>#DIV/0!</v>
      </c>
      <c r="AX169" s="497" t="e">
        <f t="shared" si="95"/>
        <v>#DIV/0!</v>
      </c>
      <c r="AY169" s="486" t="e">
        <f t="shared" si="96"/>
        <v>#DIV/0!</v>
      </c>
      <c r="AZ169" s="497" t="e">
        <f t="shared" si="97"/>
        <v>#DIV/0!</v>
      </c>
      <c r="BA169" s="486" t="e">
        <f t="shared" si="86"/>
        <v>#DIV/0!</v>
      </c>
      <c r="BB169" s="494">
        <v>5155.41</v>
      </c>
      <c r="BC169" s="494">
        <v>2070.12</v>
      </c>
      <c r="BD169" s="494">
        <v>848.92</v>
      </c>
      <c r="BE169" s="494">
        <v>819.73</v>
      </c>
      <c r="BF169" s="494">
        <v>611.5</v>
      </c>
      <c r="BG169" s="494">
        <v>1080.04</v>
      </c>
      <c r="BH169" s="494">
        <v>2671800.0099999998</v>
      </c>
      <c r="BI169" s="494">
        <f t="shared" si="125"/>
        <v>4422.8500000000004</v>
      </c>
      <c r="BJ169" s="494">
        <v>14289.54</v>
      </c>
      <c r="BK169" s="494">
        <v>3389.61</v>
      </c>
      <c r="BL169" s="494">
        <v>5995.76</v>
      </c>
      <c r="BM169" s="494">
        <v>548.62</v>
      </c>
      <c r="BN169" s="493" t="e">
        <f t="shared" si="98"/>
        <v>#DIV/0!</v>
      </c>
      <c r="BO169" s="493" t="e">
        <f t="shared" si="99"/>
        <v>#DIV/0!</v>
      </c>
      <c r="BP169" s="493" t="e">
        <f t="shared" si="100"/>
        <v>#DIV/0!</v>
      </c>
      <c r="BQ169" s="493" t="e">
        <f t="shared" si="101"/>
        <v>#DIV/0!</v>
      </c>
      <c r="BR169" s="493" t="e">
        <f t="shared" si="102"/>
        <v>#DIV/0!</v>
      </c>
      <c r="BS169" s="493" t="e">
        <f t="shared" si="103"/>
        <v>#DIV/0!</v>
      </c>
      <c r="BT169" s="493" t="e">
        <f t="shared" si="104"/>
        <v>#DIV/0!</v>
      </c>
      <c r="BU169" s="493" t="e">
        <f t="shared" si="105"/>
        <v>#DIV/0!</v>
      </c>
      <c r="BV169" s="493" t="e">
        <f t="shared" si="106"/>
        <v>#DIV/0!</v>
      </c>
      <c r="BW169" s="493" t="e">
        <f t="shared" si="107"/>
        <v>#DIV/0!</v>
      </c>
      <c r="BX169" s="493" t="e">
        <f t="shared" si="108"/>
        <v>#DIV/0!</v>
      </c>
      <c r="BY169" s="493" t="e">
        <f t="shared" si="109"/>
        <v>#DIV/0!</v>
      </c>
    </row>
    <row r="170" spans="1:78" s="28" customFormat="1" ht="9" customHeight="1">
      <c r="A170" s="366">
        <v>150</v>
      </c>
      <c r="B170" s="213" t="s">
        <v>763</v>
      </c>
      <c r="C170" s="469">
        <v>3936.1</v>
      </c>
      <c r="D170" s="470"/>
      <c r="E170" s="215" t="s">
        <v>1005</v>
      </c>
      <c r="F170" s="215"/>
      <c r="G170" s="393"/>
      <c r="H170" s="217">
        <v>3770754</v>
      </c>
      <c r="I170" s="368">
        <f t="shared" ref="I170:I182" si="127">J170+L170+N170+P170+R170+T170</f>
        <v>0</v>
      </c>
      <c r="J170" s="217">
        <v>0</v>
      </c>
      <c r="K170" s="469">
        <v>0</v>
      </c>
      <c r="L170" s="217">
        <v>0</v>
      </c>
      <c r="M170" s="469">
        <v>0</v>
      </c>
      <c r="N170" s="217">
        <v>0</v>
      </c>
      <c r="O170" s="249">
        <v>0</v>
      </c>
      <c r="P170" s="368">
        <v>0</v>
      </c>
      <c r="Q170" s="249">
        <v>0</v>
      </c>
      <c r="R170" s="368">
        <v>0</v>
      </c>
      <c r="S170" s="249">
        <v>0</v>
      </c>
      <c r="T170" s="368">
        <v>0</v>
      </c>
      <c r="U170" s="130">
        <v>0</v>
      </c>
      <c r="V170" s="368">
        <v>0</v>
      </c>
      <c r="W170" s="368">
        <v>1131</v>
      </c>
      <c r="X170" s="368">
        <f t="shared" ref="X170:X182" si="128">ROUND(H170/100*95.5,2)</f>
        <v>3601070.07</v>
      </c>
      <c r="Y170" s="370">
        <v>0</v>
      </c>
      <c r="Z170" s="370">
        <v>0</v>
      </c>
      <c r="AA170" s="370">
        <v>0</v>
      </c>
      <c r="AB170" s="370">
        <v>0</v>
      </c>
      <c r="AC170" s="370">
        <v>0</v>
      </c>
      <c r="AD170" s="370">
        <v>0</v>
      </c>
      <c r="AE170" s="370">
        <v>0</v>
      </c>
      <c r="AF170" s="370">
        <v>0</v>
      </c>
      <c r="AG170" s="370">
        <v>0</v>
      </c>
      <c r="AH170" s="370">
        <v>0</v>
      </c>
      <c r="AI170" s="370">
        <v>0</v>
      </c>
      <c r="AJ170" s="370">
        <f t="shared" ref="AJ170" si="129">ROUND(H170/100*3,2)</f>
        <v>113122.62</v>
      </c>
      <c r="AK170" s="370">
        <f t="shared" ref="AK170" si="130">ROUND(H170/100*1.5,2)</f>
        <v>56561.31</v>
      </c>
      <c r="AL170" s="370">
        <v>0</v>
      </c>
      <c r="AM170" s="229"/>
      <c r="AN170" s="229"/>
      <c r="AP170" s="486" t="e">
        <f t="shared" si="85"/>
        <v>#DIV/0!</v>
      </c>
      <c r="AQ170" s="486" t="e">
        <f t="shared" si="88"/>
        <v>#DIV/0!</v>
      </c>
      <c r="AR170" s="486" t="e">
        <f t="shared" si="89"/>
        <v>#DIV/0!</v>
      </c>
      <c r="AS170" s="486" t="e">
        <f t="shared" si="90"/>
        <v>#DIV/0!</v>
      </c>
      <c r="AT170" s="486" t="e">
        <f t="shared" si="91"/>
        <v>#DIV/0!</v>
      </c>
      <c r="AU170" s="486" t="e">
        <f t="shared" si="92"/>
        <v>#DIV/0!</v>
      </c>
      <c r="AV170" s="486" t="e">
        <f t="shared" si="93"/>
        <v>#DIV/0!</v>
      </c>
      <c r="AW170" s="486">
        <f t="shared" si="94"/>
        <v>3183.97</v>
      </c>
      <c r="AX170" s="486" t="e">
        <f t="shared" si="95"/>
        <v>#DIV/0!</v>
      </c>
      <c r="AY170" s="486" t="e">
        <f t="shared" si="96"/>
        <v>#DIV/0!</v>
      </c>
      <c r="AZ170" s="486" t="e">
        <f t="shared" si="97"/>
        <v>#DIV/0!</v>
      </c>
      <c r="BA170" s="486">
        <f t="shared" si="86"/>
        <v>0</v>
      </c>
      <c r="BB170" s="494">
        <v>5155.41</v>
      </c>
      <c r="BC170" s="494">
        <v>2070.12</v>
      </c>
      <c r="BD170" s="494">
        <v>848.92</v>
      </c>
      <c r="BE170" s="494">
        <v>819.73</v>
      </c>
      <c r="BF170" s="494">
        <v>611.5</v>
      </c>
      <c r="BG170" s="494">
        <v>1080.04</v>
      </c>
      <c r="BH170" s="494">
        <v>2671800.0099999998</v>
      </c>
      <c r="BI170" s="494">
        <f t="shared" si="125"/>
        <v>4607.6000000000004</v>
      </c>
      <c r="BJ170" s="494">
        <v>14289.54</v>
      </c>
      <c r="BK170" s="494">
        <v>3389.61</v>
      </c>
      <c r="BL170" s="494">
        <v>5995.76</v>
      </c>
      <c r="BM170" s="494">
        <v>548.62</v>
      </c>
      <c r="BN170" s="495" t="e">
        <f t="shared" si="98"/>
        <v>#DIV/0!</v>
      </c>
      <c r="BO170" s="495" t="e">
        <f t="shared" si="99"/>
        <v>#DIV/0!</v>
      </c>
      <c r="BP170" s="495" t="e">
        <f t="shared" si="100"/>
        <v>#DIV/0!</v>
      </c>
      <c r="BQ170" s="495" t="e">
        <f t="shared" si="101"/>
        <v>#DIV/0!</v>
      </c>
      <c r="BR170" s="495" t="e">
        <f t="shared" si="102"/>
        <v>#DIV/0!</v>
      </c>
      <c r="BS170" s="495" t="e">
        <f t="shared" si="103"/>
        <v>#DIV/0!</v>
      </c>
      <c r="BT170" s="495" t="e">
        <f t="shared" si="104"/>
        <v>#DIV/0!</v>
      </c>
      <c r="BU170" s="495" t="str">
        <f t="shared" si="105"/>
        <v xml:space="preserve"> </v>
      </c>
      <c r="BV170" s="495" t="e">
        <f t="shared" si="106"/>
        <v>#DIV/0!</v>
      </c>
      <c r="BW170" s="495" t="e">
        <f t="shared" si="107"/>
        <v>#DIV/0!</v>
      </c>
      <c r="BX170" s="495" t="e">
        <f t="shared" si="108"/>
        <v>#DIV/0!</v>
      </c>
      <c r="BY170" s="495" t="str">
        <f t="shared" si="109"/>
        <v xml:space="preserve"> </v>
      </c>
    </row>
    <row r="171" spans="1:78" s="28" customFormat="1" ht="9" customHeight="1">
      <c r="A171" s="366">
        <v>151</v>
      </c>
      <c r="B171" s="213" t="s">
        <v>764</v>
      </c>
      <c r="C171" s="469">
        <v>2892.3</v>
      </c>
      <c r="D171" s="470"/>
      <c r="E171" s="215" t="s">
        <v>1005</v>
      </c>
      <c r="F171" s="215"/>
      <c r="G171" s="393"/>
      <c r="H171" s="217">
        <v>2409815.2000000002</v>
      </c>
      <c r="I171" s="368">
        <f t="shared" si="127"/>
        <v>0</v>
      </c>
      <c r="J171" s="217">
        <v>0</v>
      </c>
      <c r="K171" s="469">
        <v>0</v>
      </c>
      <c r="L171" s="217">
        <v>0</v>
      </c>
      <c r="M171" s="469">
        <v>0</v>
      </c>
      <c r="N171" s="217">
        <v>0</v>
      </c>
      <c r="O171" s="249">
        <v>0</v>
      </c>
      <c r="P171" s="368">
        <v>0</v>
      </c>
      <c r="Q171" s="249">
        <v>0</v>
      </c>
      <c r="R171" s="368">
        <v>0</v>
      </c>
      <c r="S171" s="249">
        <v>0</v>
      </c>
      <c r="T171" s="368">
        <v>0</v>
      </c>
      <c r="U171" s="130">
        <v>0</v>
      </c>
      <c r="V171" s="368">
        <v>0</v>
      </c>
      <c r="W171" s="368">
        <v>722.8</v>
      </c>
      <c r="X171" s="368">
        <f>ROUND(H171/100*95.5-0.01,2)</f>
        <v>2301373.5099999998</v>
      </c>
      <c r="Y171" s="370">
        <v>0</v>
      </c>
      <c r="Z171" s="370">
        <v>0</v>
      </c>
      <c r="AA171" s="370">
        <v>0</v>
      </c>
      <c r="AB171" s="370">
        <v>0</v>
      </c>
      <c r="AC171" s="370">
        <v>0</v>
      </c>
      <c r="AD171" s="370">
        <v>0</v>
      </c>
      <c r="AE171" s="370">
        <v>0</v>
      </c>
      <c r="AF171" s="370">
        <v>0</v>
      </c>
      <c r="AG171" s="370">
        <v>0</v>
      </c>
      <c r="AH171" s="370">
        <v>0</v>
      </c>
      <c r="AI171" s="370">
        <v>0</v>
      </c>
      <c r="AJ171" s="370">
        <f t="shared" ref="AJ171:AJ182" si="131">ROUND(H171/100*3,2)</f>
        <v>72294.460000000006</v>
      </c>
      <c r="AK171" s="370">
        <f t="shared" ref="AK171:AK182" si="132">ROUND(H171/100*1.5,2)</f>
        <v>36147.230000000003</v>
      </c>
      <c r="AL171" s="370">
        <v>0</v>
      </c>
      <c r="AM171" s="229"/>
      <c r="AN171" s="229"/>
      <c r="AP171" s="486" t="e">
        <f t="shared" si="85"/>
        <v>#DIV/0!</v>
      </c>
      <c r="AQ171" s="486" t="e">
        <f t="shared" si="88"/>
        <v>#DIV/0!</v>
      </c>
      <c r="AR171" s="486" t="e">
        <f t="shared" si="89"/>
        <v>#DIV/0!</v>
      </c>
      <c r="AS171" s="486" t="e">
        <f t="shared" si="90"/>
        <v>#DIV/0!</v>
      </c>
      <c r="AT171" s="486" t="e">
        <f t="shared" si="91"/>
        <v>#DIV/0!</v>
      </c>
      <c r="AU171" s="486" t="e">
        <f t="shared" si="92"/>
        <v>#DIV/0!</v>
      </c>
      <c r="AV171" s="486" t="e">
        <f t="shared" si="93"/>
        <v>#DIV/0!</v>
      </c>
      <c r="AW171" s="486">
        <f t="shared" si="94"/>
        <v>3183.9699916989484</v>
      </c>
      <c r="AX171" s="486" t="e">
        <f t="shared" si="95"/>
        <v>#DIV/0!</v>
      </c>
      <c r="AY171" s="486" t="e">
        <f t="shared" si="96"/>
        <v>#DIV/0!</v>
      </c>
      <c r="AZ171" s="486" t="e">
        <f t="shared" si="97"/>
        <v>#DIV/0!</v>
      </c>
      <c r="BA171" s="486">
        <f t="shared" si="86"/>
        <v>0</v>
      </c>
      <c r="BB171" s="494">
        <v>5155.41</v>
      </c>
      <c r="BC171" s="494">
        <v>2070.12</v>
      </c>
      <c r="BD171" s="494">
        <v>848.92</v>
      </c>
      <c r="BE171" s="494">
        <v>819.73</v>
      </c>
      <c r="BF171" s="494">
        <v>611.5</v>
      </c>
      <c r="BG171" s="494">
        <v>1080.04</v>
      </c>
      <c r="BH171" s="494">
        <v>2671800.0099999998</v>
      </c>
      <c r="BI171" s="494">
        <f t="shared" si="125"/>
        <v>4607.6000000000004</v>
      </c>
      <c r="BJ171" s="494">
        <v>14289.54</v>
      </c>
      <c r="BK171" s="494">
        <v>3389.61</v>
      </c>
      <c r="BL171" s="494">
        <v>5995.76</v>
      </c>
      <c r="BM171" s="494">
        <v>548.62</v>
      </c>
      <c r="BN171" s="495" t="e">
        <f t="shared" si="98"/>
        <v>#DIV/0!</v>
      </c>
      <c r="BO171" s="495" t="e">
        <f t="shared" si="99"/>
        <v>#DIV/0!</v>
      </c>
      <c r="BP171" s="495" t="e">
        <f t="shared" si="100"/>
        <v>#DIV/0!</v>
      </c>
      <c r="BQ171" s="495" t="e">
        <f t="shared" si="101"/>
        <v>#DIV/0!</v>
      </c>
      <c r="BR171" s="495" t="e">
        <f t="shared" si="102"/>
        <v>#DIV/0!</v>
      </c>
      <c r="BS171" s="495" t="e">
        <f t="shared" si="103"/>
        <v>#DIV/0!</v>
      </c>
      <c r="BT171" s="495" t="e">
        <f t="shared" si="104"/>
        <v>#DIV/0!</v>
      </c>
      <c r="BU171" s="495" t="str">
        <f t="shared" si="105"/>
        <v xml:space="preserve"> </v>
      </c>
      <c r="BV171" s="495" t="e">
        <f t="shared" si="106"/>
        <v>#DIV/0!</v>
      </c>
      <c r="BW171" s="495" t="e">
        <f t="shared" si="107"/>
        <v>#DIV/0!</v>
      </c>
      <c r="BX171" s="495" t="e">
        <f t="shared" si="108"/>
        <v>#DIV/0!</v>
      </c>
      <c r="BY171" s="495" t="str">
        <f t="shared" si="109"/>
        <v xml:space="preserve"> </v>
      </c>
    </row>
    <row r="172" spans="1:78" s="28" customFormat="1" ht="9" customHeight="1">
      <c r="A172" s="366">
        <v>152</v>
      </c>
      <c r="B172" s="213" t="s">
        <v>765</v>
      </c>
      <c r="C172" s="469">
        <v>4096.3999999999996</v>
      </c>
      <c r="D172" s="470"/>
      <c r="E172" s="215"/>
      <c r="F172" s="215"/>
      <c r="G172" s="393"/>
      <c r="H172" s="217">
        <f>I172+AI172+AJ172+AK172</f>
        <v>1851572.8</v>
      </c>
      <c r="I172" s="368">
        <f t="shared" si="127"/>
        <v>1682186.67</v>
      </c>
      <c r="J172" s="217">
        <v>0</v>
      </c>
      <c r="K172" s="469">
        <v>0</v>
      </c>
      <c r="L172" s="217">
        <v>0</v>
      </c>
      <c r="M172" s="469">
        <v>0</v>
      </c>
      <c r="N172" s="217">
        <v>0</v>
      </c>
      <c r="O172" s="249">
        <v>406</v>
      </c>
      <c r="P172" s="368">
        <f>ROUND(0.955*(C172*210)+0.01,2)</f>
        <v>821533.03</v>
      </c>
      <c r="Q172" s="249">
        <v>0</v>
      </c>
      <c r="R172" s="368">
        <v>0</v>
      </c>
      <c r="S172" s="249">
        <v>526</v>
      </c>
      <c r="T172" s="368">
        <f>ROUND(0.955*(C172*220),2)</f>
        <v>860653.64</v>
      </c>
      <c r="U172" s="130">
        <v>0</v>
      </c>
      <c r="V172" s="368">
        <v>0</v>
      </c>
      <c r="W172" s="368">
        <v>0</v>
      </c>
      <c r="X172" s="368">
        <v>0</v>
      </c>
      <c r="Y172" s="370">
        <v>0</v>
      </c>
      <c r="Z172" s="370">
        <v>0</v>
      </c>
      <c r="AA172" s="370">
        <v>0</v>
      </c>
      <c r="AB172" s="370">
        <v>0</v>
      </c>
      <c r="AC172" s="370">
        <v>0</v>
      </c>
      <c r="AD172" s="370">
        <v>0</v>
      </c>
      <c r="AE172" s="370">
        <v>0</v>
      </c>
      <c r="AF172" s="370">
        <v>0</v>
      </c>
      <c r="AG172" s="370">
        <v>0</v>
      </c>
      <c r="AH172" s="370">
        <v>0</v>
      </c>
      <c r="AI172" s="370">
        <f>ROUND((0.955*C172*22),2)</f>
        <v>86065.36</v>
      </c>
      <c r="AJ172" s="370">
        <f>ROUND(0.03*(210+220+22)*C172,2)</f>
        <v>55547.18</v>
      </c>
      <c r="AK172" s="370">
        <f>ROUND(0.015*(210+220+22)*C172,2)</f>
        <v>27773.59</v>
      </c>
      <c r="AL172" s="370">
        <v>0</v>
      </c>
      <c r="AM172" s="229"/>
      <c r="AN172" s="229"/>
      <c r="AP172" s="486" t="e">
        <f t="shared" si="85"/>
        <v>#DIV/0!</v>
      </c>
      <c r="AQ172" s="486" t="e">
        <f t="shared" si="88"/>
        <v>#DIV/0!</v>
      </c>
      <c r="AR172" s="486" t="e">
        <f t="shared" si="89"/>
        <v>#DIV/0!</v>
      </c>
      <c r="AS172" s="486">
        <f t="shared" si="90"/>
        <v>2023.4803694581281</v>
      </c>
      <c r="AT172" s="486" t="e">
        <f t="shared" si="91"/>
        <v>#DIV/0!</v>
      </c>
      <c r="AU172" s="486">
        <f t="shared" si="92"/>
        <v>1636.2236501901141</v>
      </c>
      <c r="AV172" s="486" t="e">
        <f t="shared" si="93"/>
        <v>#DIV/0!</v>
      </c>
      <c r="AW172" s="486" t="e">
        <f t="shared" si="94"/>
        <v>#DIV/0!</v>
      </c>
      <c r="AX172" s="486" t="e">
        <f t="shared" si="95"/>
        <v>#DIV/0!</v>
      </c>
      <c r="AY172" s="486" t="e">
        <f t="shared" si="96"/>
        <v>#DIV/0!</v>
      </c>
      <c r="AZ172" s="486" t="e">
        <f t="shared" si="97"/>
        <v>#DIV/0!</v>
      </c>
      <c r="BA172" s="486">
        <f t="shared" si="86"/>
        <v>21.00999902353286</v>
      </c>
      <c r="BB172" s="494">
        <v>5155.41</v>
      </c>
      <c r="BC172" s="494">
        <v>2070.12</v>
      </c>
      <c r="BD172" s="494">
        <v>848.92</v>
      </c>
      <c r="BE172" s="494">
        <v>819.73</v>
      </c>
      <c r="BF172" s="494">
        <v>611.5</v>
      </c>
      <c r="BG172" s="494">
        <v>1080.04</v>
      </c>
      <c r="BH172" s="494">
        <v>2671800.0099999998</v>
      </c>
      <c r="BI172" s="494">
        <f t="shared" si="125"/>
        <v>4422.8500000000004</v>
      </c>
      <c r="BJ172" s="494">
        <v>14289.54</v>
      </c>
      <c r="BK172" s="494">
        <v>3389.61</v>
      </c>
      <c r="BL172" s="494">
        <v>5995.76</v>
      </c>
      <c r="BM172" s="494">
        <v>548.62</v>
      </c>
      <c r="BN172" s="495" t="e">
        <f t="shared" si="98"/>
        <v>#DIV/0!</v>
      </c>
      <c r="BO172" s="495" t="e">
        <f t="shared" si="99"/>
        <v>#DIV/0!</v>
      </c>
      <c r="BP172" s="495" t="e">
        <f t="shared" si="100"/>
        <v>#DIV/0!</v>
      </c>
      <c r="BQ172" s="495" t="str">
        <f t="shared" si="101"/>
        <v>+</v>
      </c>
      <c r="BR172" s="495" t="e">
        <f t="shared" si="102"/>
        <v>#DIV/0!</v>
      </c>
      <c r="BS172" s="495" t="str">
        <f t="shared" si="103"/>
        <v>+</v>
      </c>
      <c r="BT172" s="495" t="e">
        <f t="shared" si="104"/>
        <v>#DIV/0!</v>
      </c>
      <c r="BU172" s="495" t="e">
        <f t="shared" si="105"/>
        <v>#DIV/0!</v>
      </c>
      <c r="BV172" s="495" t="e">
        <f t="shared" si="106"/>
        <v>#DIV/0!</v>
      </c>
      <c r="BW172" s="495" t="e">
        <f t="shared" si="107"/>
        <v>#DIV/0!</v>
      </c>
      <c r="BX172" s="495" t="e">
        <f t="shared" si="108"/>
        <v>#DIV/0!</v>
      </c>
      <c r="BY172" s="495" t="str">
        <f t="shared" si="109"/>
        <v xml:space="preserve"> </v>
      </c>
    </row>
    <row r="173" spans="1:78" s="28" customFormat="1" ht="9" customHeight="1">
      <c r="A173" s="366">
        <v>153</v>
      </c>
      <c r="B173" s="213" t="s">
        <v>766</v>
      </c>
      <c r="C173" s="469">
        <v>3701.7</v>
      </c>
      <c r="D173" s="470"/>
      <c r="E173" s="215" t="s">
        <v>1005</v>
      </c>
      <c r="F173" s="215"/>
      <c r="G173" s="393"/>
      <c r="H173" s="217">
        <v>2982596.4</v>
      </c>
      <c r="I173" s="368">
        <f t="shared" si="127"/>
        <v>0</v>
      </c>
      <c r="J173" s="217">
        <v>0</v>
      </c>
      <c r="K173" s="469">
        <v>0</v>
      </c>
      <c r="L173" s="217">
        <v>0</v>
      </c>
      <c r="M173" s="469">
        <v>0</v>
      </c>
      <c r="N173" s="217">
        <v>0</v>
      </c>
      <c r="O173" s="249">
        <v>0</v>
      </c>
      <c r="P173" s="368">
        <v>0</v>
      </c>
      <c r="Q173" s="249">
        <v>0</v>
      </c>
      <c r="R173" s="368">
        <v>0</v>
      </c>
      <c r="S173" s="249">
        <v>0</v>
      </c>
      <c r="T173" s="368">
        <v>0</v>
      </c>
      <c r="U173" s="130">
        <v>0</v>
      </c>
      <c r="V173" s="368">
        <v>0</v>
      </c>
      <c r="W173" s="368">
        <v>894.6</v>
      </c>
      <c r="X173" s="368">
        <f t="shared" si="128"/>
        <v>2848379.56</v>
      </c>
      <c r="Y173" s="370">
        <v>0</v>
      </c>
      <c r="Z173" s="370">
        <v>0</v>
      </c>
      <c r="AA173" s="370">
        <v>0</v>
      </c>
      <c r="AB173" s="370">
        <v>0</v>
      </c>
      <c r="AC173" s="370">
        <v>0</v>
      </c>
      <c r="AD173" s="370">
        <v>0</v>
      </c>
      <c r="AE173" s="370">
        <v>0</v>
      </c>
      <c r="AF173" s="370">
        <v>0</v>
      </c>
      <c r="AG173" s="370">
        <v>0</v>
      </c>
      <c r="AH173" s="370">
        <v>0</v>
      </c>
      <c r="AI173" s="370">
        <v>0</v>
      </c>
      <c r="AJ173" s="370">
        <f t="shared" si="131"/>
        <v>89477.89</v>
      </c>
      <c r="AK173" s="370">
        <f t="shared" si="132"/>
        <v>44738.95</v>
      </c>
      <c r="AL173" s="370">
        <v>0</v>
      </c>
      <c r="AM173" s="229"/>
      <c r="AN173" s="229"/>
      <c r="AP173" s="486" t="e">
        <f t="shared" si="85"/>
        <v>#DIV/0!</v>
      </c>
      <c r="AQ173" s="486" t="e">
        <f t="shared" si="88"/>
        <v>#DIV/0!</v>
      </c>
      <c r="AR173" s="486" t="e">
        <f t="shared" si="89"/>
        <v>#DIV/0!</v>
      </c>
      <c r="AS173" s="486" t="e">
        <f t="shared" si="90"/>
        <v>#DIV/0!</v>
      </c>
      <c r="AT173" s="486" t="e">
        <f t="shared" si="91"/>
        <v>#DIV/0!</v>
      </c>
      <c r="AU173" s="486" t="e">
        <f t="shared" si="92"/>
        <v>#DIV/0!</v>
      </c>
      <c r="AV173" s="486" t="e">
        <f t="shared" si="93"/>
        <v>#DIV/0!</v>
      </c>
      <c r="AW173" s="486">
        <f t="shared" si="94"/>
        <v>3183.9699977643641</v>
      </c>
      <c r="AX173" s="486" t="e">
        <f t="shared" si="95"/>
        <v>#DIV/0!</v>
      </c>
      <c r="AY173" s="486" t="e">
        <f t="shared" si="96"/>
        <v>#DIV/0!</v>
      </c>
      <c r="AZ173" s="486" t="e">
        <f t="shared" si="97"/>
        <v>#DIV/0!</v>
      </c>
      <c r="BA173" s="486">
        <f t="shared" si="86"/>
        <v>0</v>
      </c>
      <c r="BB173" s="494">
        <v>5155.41</v>
      </c>
      <c r="BC173" s="494">
        <v>2070.12</v>
      </c>
      <c r="BD173" s="494">
        <v>848.92</v>
      </c>
      <c r="BE173" s="494">
        <v>819.73</v>
      </c>
      <c r="BF173" s="494">
        <v>611.5</v>
      </c>
      <c r="BG173" s="494">
        <v>1080.04</v>
      </c>
      <c r="BH173" s="494">
        <v>2671800.0099999998</v>
      </c>
      <c r="BI173" s="494">
        <f t="shared" si="125"/>
        <v>4607.6000000000004</v>
      </c>
      <c r="BJ173" s="494">
        <v>14289.54</v>
      </c>
      <c r="BK173" s="494">
        <v>3389.61</v>
      </c>
      <c r="BL173" s="494">
        <v>5995.76</v>
      </c>
      <c r="BM173" s="494">
        <v>548.62</v>
      </c>
      <c r="BN173" s="495" t="e">
        <f t="shared" si="98"/>
        <v>#DIV/0!</v>
      </c>
      <c r="BO173" s="495" t="e">
        <f t="shared" si="99"/>
        <v>#DIV/0!</v>
      </c>
      <c r="BP173" s="495" t="e">
        <f t="shared" si="100"/>
        <v>#DIV/0!</v>
      </c>
      <c r="BQ173" s="495" t="e">
        <f t="shared" si="101"/>
        <v>#DIV/0!</v>
      </c>
      <c r="BR173" s="495" t="e">
        <f t="shared" si="102"/>
        <v>#DIV/0!</v>
      </c>
      <c r="BS173" s="495" t="e">
        <f t="shared" si="103"/>
        <v>#DIV/0!</v>
      </c>
      <c r="BT173" s="495" t="e">
        <f t="shared" si="104"/>
        <v>#DIV/0!</v>
      </c>
      <c r="BU173" s="495" t="str">
        <f t="shared" si="105"/>
        <v xml:space="preserve"> </v>
      </c>
      <c r="BV173" s="495" t="e">
        <f t="shared" si="106"/>
        <v>#DIV/0!</v>
      </c>
      <c r="BW173" s="495" t="e">
        <f t="shared" si="107"/>
        <v>#DIV/0!</v>
      </c>
      <c r="BX173" s="495" t="e">
        <f t="shared" si="108"/>
        <v>#DIV/0!</v>
      </c>
      <c r="BY173" s="495" t="str">
        <f t="shared" si="109"/>
        <v xml:space="preserve"> </v>
      </c>
    </row>
    <row r="174" spans="1:78" s="28" customFormat="1" ht="9" customHeight="1">
      <c r="A174" s="366">
        <v>154</v>
      </c>
      <c r="B174" s="213" t="s">
        <v>767</v>
      </c>
      <c r="C174" s="469">
        <v>1344.9</v>
      </c>
      <c r="D174" s="470"/>
      <c r="E174" s="215" t="s">
        <v>1006</v>
      </c>
      <c r="F174" s="215"/>
      <c r="G174" s="393"/>
      <c r="H174" s="217">
        <v>1529682</v>
      </c>
      <c r="I174" s="368">
        <f t="shared" si="127"/>
        <v>0</v>
      </c>
      <c r="J174" s="217">
        <v>0</v>
      </c>
      <c r="K174" s="469">
        <v>0</v>
      </c>
      <c r="L174" s="217">
        <v>0</v>
      </c>
      <c r="M174" s="469">
        <v>0</v>
      </c>
      <c r="N174" s="217">
        <v>0</v>
      </c>
      <c r="O174" s="249">
        <v>0</v>
      </c>
      <c r="P174" s="368">
        <v>0</v>
      </c>
      <c r="Q174" s="249">
        <v>0</v>
      </c>
      <c r="R174" s="368">
        <v>0</v>
      </c>
      <c r="S174" s="249">
        <v>0</v>
      </c>
      <c r="T174" s="368">
        <v>0</v>
      </c>
      <c r="U174" s="130">
        <v>0</v>
      </c>
      <c r="V174" s="368">
        <v>0</v>
      </c>
      <c r="W174" s="368">
        <v>473</v>
      </c>
      <c r="X174" s="368">
        <f t="shared" si="128"/>
        <v>1460846.31</v>
      </c>
      <c r="Y174" s="370">
        <v>0</v>
      </c>
      <c r="Z174" s="370">
        <v>0</v>
      </c>
      <c r="AA174" s="370">
        <v>0</v>
      </c>
      <c r="AB174" s="370">
        <v>0</v>
      </c>
      <c r="AC174" s="370">
        <v>0</v>
      </c>
      <c r="AD174" s="370">
        <v>0</v>
      </c>
      <c r="AE174" s="370">
        <v>0</v>
      </c>
      <c r="AF174" s="370">
        <v>0</v>
      </c>
      <c r="AG174" s="370">
        <v>0</v>
      </c>
      <c r="AH174" s="370">
        <v>0</v>
      </c>
      <c r="AI174" s="370">
        <v>0</v>
      </c>
      <c r="AJ174" s="370">
        <f t="shared" si="131"/>
        <v>45890.46</v>
      </c>
      <c r="AK174" s="370">
        <f t="shared" si="132"/>
        <v>22945.23</v>
      </c>
      <c r="AL174" s="370">
        <v>0</v>
      </c>
      <c r="AM174" s="229"/>
      <c r="AN174" s="229"/>
      <c r="AP174" s="486" t="e">
        <f t="shared" si="85"/>
        <v>#DIV/0!</v>
      </c>
      <c r="AQ174" s="486" t="e">
        <f t="shared" si="88"/>
        <v>#DIV/0!</v>
      </c>
      <c r="AR174" s="486" t="e">
        <f t="shared" si="89"/>
        <v>#DIV/0!</v>
      </c>
      <c r="AS174" s="486" t="e">
        <f t="shared" si="90"/>
        <v>#DIV/0!</v>
      </c>
      <c r="AT174" s="486" t="e">
        <f t="shared" si="91"/>
        <v>#DIV/0!</v>
      </c>
      <c r="AU174" s="486" t="e">
        <f t="shared" si="92"/>
        <v>#DIV/0!</v>
      </c>
      <c r="AV174" s="486" t="e">
        <f t="shared" si="93"/>
        <v>#DIV/0!</v>
      </c>
      <c r="AW174" s="486">
        <f t="shared" si="94"/>
        <v>3088.4700000000003</v>
      </c>
      <c r="AX174" s="486" t="e">
        <f t="shared" si="95"/>
        <v>#DIV/0!</v>
      </c>
      <c r="AY174" s="486" t="e">
        <f t="shared" si="96"/>
        <v>#DIV/0!</v>
      </c>
      <c r="AZ174" s="486" t="e">
        <f t="shared" si="97"/>
        <v>#DIV/0!</v>
      </c>
      <c r="BA174" s="486">
        <f t="shared" si="86"/>
        <v>0</v>
      </c>
      <c r="BB174" s="494">
        <v>5155.41</v>
      </c>
      <c r="BC174" s="494">
        <v>2070.12</v>
      </c>
      <c r="BD174" s="494">
        <v>848.92</v>
      </c>
      <c r="BE174" s="494">
        <v>819.73</v>
      </c>
      <c r="BF174" s="494">
        <v>611.5</v>
      </c>
      <c r="BG174" s="494">
        <v>1080.04</v>
      </c>
      <c r="BH174" s="494">
        <v>2671800.0099999998</v>
      </c>
      <c r="BI174" s="494">
        <f t="shared" si="125"/>
        <v>4422.8500000000004</v>
      </c>
      <c r="BJ174" s="494">
        <v>14289.54</v>
      </c>
      <c r="BK174" s="494">
        <v>3389.61</v>
      </c>
      <c r="BL174" s="494">
        <v>5995.76</v>
      </c>
      <c r="BM174" s="494">
        <v>548.62</v>
      </c>
      <c r="BN174" s="495" t="e">
        <f t="shared" si="98"/>
        <v>#DIV/0!</v>
      </c>
      <c r="BO174" s="495" t="e">
        <f t="shared" si="99"/>
        <v>#DIV/0!</v>
      </c>
      <c r="BP174" s="495" t="e">
        <f t="shared" si="100"/>
        <v>#DIV/0!</v>
      </c>
      <c r="BQ174" s="495" t="e">
        <f t="shared" si="101"/>
        <v>#DIV/0!</v>
      </c>
      <c r="BR174" s="495" t="e">
        <f t="shared" si="102"/>
        <v>#DIV/0!</v>
      </c>
      <c r="BS174" s="495" t="e">
        <f t="shared" si="103"/>
        <v>#DIV/0!</v>
      </c>
      <c r="BT174" s="495" t="e">
        <f t="shared" si="104"/>
        <v>#DIV/0!</v>
      </c>
      <c r="BU174" s="495" t="str">
        <f t="shared" si="105"/>
        <v xml:space="preserve"> </v>
      </c>
      <c r="BV174" s="495" t="e">
        <f t="shared" si="106"/>
        <v>#DIV/0!</v>
      </c>
      <c r="BW174" s="495" t="e">
        <f t="shared" si="107"/>
        <v>#DIV/0!</v>
      </c>
      <c r="BX174" s="495" t="e">
        <f t="shared" si="108"/>
        <v>#DIV/0!</v>
      </c>
      <c r="BY174" s="495" t="str">
        <f t="shared" si="109"/>
        <v xml:space="preserve"> </v>
      </c>
    </row>
    <row r="175" spans="1:78" s="28" customFormat="1" ht="9" customHeight="1">
      <c r="A175" s="366">
        <v>155</v>
      </c>
      <c r="B175" s="213" t="s">
        <v>768</v>
      </c>
      <c r="C175" s="469">
        <v>3203</v>
      </c>
      <c r="D175" s="467"/>
      <c r="E175" s="215" t="s">
        <v>1005</v>
      </c>
      <c r="F175" s="215"/>
      <c r="G175" s="393"/>
      <c r="H175" s="217">
        <v>3534040</v>
      </c>
      <c r="I175" s="368">
        <f t="shared" si="127"/>
        <v>0</v>
      </c>
      <c r="J175" s="217">
        <v>0</v>
      </c>
      <c r="K175" s="469">
        <v>0</v>
      </c>
      <c r="L175" s="217">
        <v>0</v>
      </c>
      <c r="M175" s="469">
        <v>0</v>
      </c>
      <c r="N175" s="217">
        <v>0</v>
      </c>
      <c r="O175" s="249">
        <v>0</v>
      </c>
      <c r="P175" s="368">
        <v>0</v>
      </c>
      <c r="Q175" s="249">
        <v>0</v>
      </c>
      <c r="R175" s="368">
        <v>0</v>
      </c>
      <c r="S175" s="249">
        <v>0</v>
      </c>
      <c r="T175" s="368">
        <v>0</v>
      </c>
      <c r="U175" s="130">
        <v>0</v>
      </c>
      <c r="V175" s="368">
        <v>0</v>
      </c>
      <c r="W175" s="368">
        <v>1060</v>
      </c>
      <c r="X175" s="368">
        <f t="shared" si="128"/>
        <v>3375008.2</v>
      </c>
      <c r="Y175" s="370">
        <v>0</v>
      </c>
      <c r="Z175" s="370">
        <v>0</v>
      </c>
      <c r="AA175" s="370">
        <v>0</v>
      </c>
      <c r="AB175" s="370">
        <v>0</v>
      </c>
      <c r="AC175" s="370">
        <v>0</v>
      </c>
      <c r="AD175" s="370">
        <v>0</v>
      </c>
      <c r="AE175" s="370">
        <v>0</v>
      </c>
      <c r="AF175" s="370">
        <v>0</v>
      </c>
      <c r="AG175" s="370">
        <v>0</v>
      </c>
      <c r="AH175" s="370">
        <v>0</v>
      </c>
      <c r="AI175" s="370">
        <v>0</v>
      </c>
      <c r="AJ175" s="370">
        <f t="shared" si="131"/>
        <v>106021.2</v>
      </c>
      <c r="AK175" s="370">
        <f t="shared" si="132"/>
        <v>53010.6</v>
      </c>
      <c r="AL175" s="370">
        <v>0</v>
      </c>
      <c r="AM175" s="229"/>
      <c r="AN175" s="229"/>
      <c r="AP175" s="486" t="e">
        <f t="shared" si="85"/>
        <v>#DIV/0!</v>
      </c>
      <c r="AQ175" s="486" t="e">
        <f t="shared" si="88"/>
        <v>#DIV/0!</v>
      </c>
      <c r="AR175" s="486" t="e">
        <f t="shared" si="89"/>
        <v>#DIV/0!</v>
      </c>
      <c r="AS175" s="486" t="e">
        <f t="shared" si="90"/>
        <v>#DIV/0!</v>
      </c>
      <c r="AT175" s="486" t="e">
        <f t="shared" si="91"/>
        <v>#DIV/0!</v>
      </c>
      <c r="AU175" s="486" t="e">
        <f t="shared" si="92"/>
        <v>#DIV/0!</v>
      </c>
      <c r="AV175" s="486" t="e">
        <f t="shared" si="93"/>
        <v>#DIV/0!</v>
      </c>
      <c r="AW175" s="486">
        <f t="shared" si="94"/>
        <v>3183.9700000000003</v>
      </c>
      <c r="AX175" s="486" t="e">
        <f t="shared" si="95"/>
        <v>#DIV/0!</v>
      </c>
      <c r="AY175" s="486" t="e">
        <f t="shared" si="96"/>
        <v>#DIV/0!</v>
      </c>
      <c r="AZ175" s="486" t="e">
        <f t="shared" si="97"/>
        <v>#DIV/0!</v>
      </c>
      <c r="BA175" s="486">
        <f t="shared" si="86"/>
        <v>0</v>
      </c>
      <c r="BB175" s="494">
        <v>5155.41</v>
      </c>
      <c r="BC175" s="494">
        <v>2070.12</v>
      </c>
      <c r="BD175" s="494">
        <v>848.92</v>
      </c>
      <c r="BE175" s="494">
        <v>819.73</v>
      </c>
      <c r="BF175" s="494">
        <v>611.5</v>
      </c>
      <c r="BG175" s="494">
        <v>1080.04</v>
      </c>
      <c r="BH175" s="494">
        <v>2671800.0099999998</v>
      </c>
      <c r="BI175" s="494">
        <f t="shared" si="125"/>
        <v>4607.6000000000004</v>
      </c>
      <c r="BJ175" s="494">
        <v>14289.54</v>
      </c>
      <c r="BK175" s="494">
        <v>3389.61</v>
      </c>
      <c r="BL175" s="494">
        <v>5995.76</v>
      </c>
      <c r="BM175" s="494">
        <v>548.62</v>
      </c>
      <c r="BN175" s="495" t="e">
        <f t="shared" si="98"/>
        <v>#DIV/0!</v>
      </c>
      <c r="BO175" s="495" t="e">
        <f t="shared" si="99"/>
        <v>#DIV/0!</v>
      </c>
      <c r="BP175" s="495" t="e">
        <f t="shared" si="100"/>
        <v>#DIV/0!</v>
      </c>
      <c r="BQ175" s="495" t="e">
        <f t="shared" si="101"/>
        <v>#DIV/0!</v>
      </c>
      <c r="BR175" s="495" t="e">
        <f t="shared" si="102"/>
        <v>#DIV/0!</v>
      </c>
      <c r="BS175" s="495" t="e">
        <f t="shared" si="103"/>
        <v>#DIV/0!</v>
      </c>
      <c r="BT175" s="495" t="e">
        <f t="shared" si="104"/>
        <v>#DIV/0!</v>
      </c>
      <c r="BU175" s="495" t="str">
        <f t="shared" si="105"/>
        <v xml:space="preserve"> </v>
      </c>
      <c r="BV175" s="495" t="e">
        <f t="shared" si="106"/>
        <v>#DIV/0!</v>
      </c>
      <c r="BW175" s="495" t="e">
        <f t="shared" si="107"/>
        <v>#DIV/0!</v>
      </c>
      <c r="BX175" s="495" t="e">
        <f t="shared" si="108"/>
        <v>#DIV/0!</v>
      </c>
      <c r="BY175" s="495" t="str">
        <f t="shared" si="109"/>
        <v xml:space="preserve"> </v>
      </c>
    </row>
    <row r="176" spans="1:78" s="28" customFormat="1" ht="9" customHeight="1">
      <c r="A176" s="366">
        <v>156</v>
      </c>
      <c r="B176" s="213" t="s">
        <v>769</v>
      </c>
      <c r="C176" s="469">
        <v>1271</v>
      </c>
      <c r="D176" s="467"/>
      <c r="E176" s="215" t="s">
        <v>1005</v>
      </c>
      <c r="F176" s="215"/>
      <c r="G176" s="393"/>
      <c r="H176" s="217">
        <v>2000400</v>
      </c>
      <c r="I176" s="368">
        <f t="shared" si="127"/>
        <v>0</v>
      </c>
      <c r="J176" s="217">
        <v>0</v>
      </c>
      <c r="K176" s="469">
        <v>0</v>
      </c>
      <c r="L176" s="217">
        <v>0</v>
      </c>
      <c r="M176" s="469">
        <v>0</v>
      </c>
      <c r="N176" s="217">
        <v>0</v>
      </c>
      <c r="O176" s="249">
        <v>0</v>
      </c>
      <c r="P176" s="368">
        <v>0</v>
      </c>
      <c r="Q176" s="249">
        <v>0</v>
      </c>
      <c r="R176" s="368">
        <v>0</v>
      </c>
      <c r="S176" s="249">
        <v>0</v>
      </c>
      <c r="T176" s="368">
        <v>0</v>
      </c>
      <c r="U176" s="130">
        <v>0</v>
      </c>
      <c r="V176" s="368">
        <v>0</v>
      </c>
      <c r="W176" s="368">
        <v>600</v>
      </c>
      <c r="X176" s="368">
        <f t="shared" si="128"/>
        <v>1910382</v>
      </c>
      <c r="Y176" s="370">
        <v>0</v>
      </c>
      <c r="Z176" s="370">
        <v>0</v>
      </c>
      <c r="AA176" s="370">
        <v>0</v>
      </c>
      <c r="AB176" s="370">
        <v>0</v>
      </c>
      <c r="AC176" s="370">
        <v>0</v>
      </c>
      <c r="AD176" s="370">
        <v>0</v>
      </c>
      <c r="AE176" s="370">
        <v>0</v>
      </c>
      <c r="AF176" s="370">
        <v>0</v>
      </c>
      <c r="AG176" s="370">
        <v>0</v>
      </c>
      <c r="AH176" s="370">
        <v>0</v>
      </c>
      <c r="AI176" s="370">
        <v>0</v>
      </c>
      <c r="AJ176" s="370">
        <f t="shared" si="131"/>
        <v>60012</v>
      </c>
      <c r="AK176" s="370">
        <f t="shared" si="132"/>
        <v>30006</v>
      </c>
      <c r="AL176" s="370">
        <v>0</v>
      </c>
      <c r="AM176" s="229"/>
      <c r="AN176" s="229"/>
      <c r="AP176" s="486" t="e">
        <f t="shared" si="85"/>
        <v>#DIV/0!</v>
      </c>
      <c r="AQ176" s="486" t="e">
        <f t="shared" si="88"/>
        <v>#DIV/0!</v>
      </c>
      <c r="AR176" s="486" t="e">
        <f t="shared" si="89"/>
        <v>#DIV/0!</v>
      </c>
      <c r="AS176" s="486" t="e">
        <f t="shared" si="90"/>
        <v>#DIV/0!</v>
      </c>
      <c r="AT176" s="486" t="e">
        <f t="shared" si="91"/>
        <v>#DIV/0!</v>
      </c>
      <c r="AU176" s="486" t="e">
        <f t="shared" si="92"/>
        <v>#DIV/0!</v>
      </c>
      <c r="AV176" s="486" t="e">
        <f t="shared" si="93"/>
        <v>#DIV/0!</v>
      </c>
      <c r="AW176" s="486">
        <f t="shared" si="94"/>
        <v>3183.97</v>
      </c>
      <c r="AX176" s="486" t="e">
        <f t="shared" si="95"/>
        <v>#DIV/0!</v>
      </c>
      <c r="AY176" s="486" t="e">
        <f t="shared" si="96"/>
        <v>#DIV/0!</v>
      </c>
      <c r="AZ176" s="486" t="e">
        <f t="shared" si="97"/>
        <v>#DIV/0!</v>
      </c>
      <c r="BA176" s="486">
        <f t="shared" si="86"/>
        <v>0</v>
      </c>
      <c r="BB176" s="494">
        <v>5155.41</v>
      </c>
      <c r="BC176" s="494">
        <v>2070.12</v>
      </c>
      <c r="BD176" s="494">
        <v>848.92</v>
      </c>
      <c r="BE176" s="494">
        <v>819.73</v>
      </c>
      <c r="BF176" s="494">
        <v>611.5</v>
      </c>
      <c r="BG176" s="494">
        <v>1080.04</v>
      </c>
      <c r="BH176" s="494">
        <v>2671800.0099999998</v>
      </c>
      <c r="BI176" s="494">
        <f t="shared" si="125"/>
        <v>4607.6000000000004</v>
      </c>
      <c r="BJ176" s="494">
        <v>14289.54</v>
      </c>
      <c r="BK176" s="494">
        <v>3389.61</v>
      </c>
      <c r="BL176" s="494">
        <v>5995.76</v>
      </c>
      <c r="BM176" s="494">
        <v>548.62</v>
      </c>
      <c r="BN176" s="495" t="e">
        <f t="shared" si="98"/>
        <v>#DIV/0!</v>
      </c>
      <c r="BO176" s="495" t="e">
        <f t="shared" si="99"/>
        <v>#DIV/0!</v>
      </c>
      <c r="BP176" s="495" t="e">
        <f t="shared" si="100"/>
        <v>#DIV/0!</v>
      </c>
      <c r="BQ176" s="495" t="e">
        <f t="shared" si="101"/>
        <v>#DIV/0!</v>
      </c>
      <c r="BR176" s="495" t="e">
        <f t="shared" si="102"/>
        <v>#DIV/0!</v>
      </c>
      <c r="BS176" s="495" t="e">
        <f t="shared" si="103"/>
        <v>#DIV/0!</v>
      </c>
      <c r="BT176" s="495" t="e">
        <f t="shared" si="104"/>
        <v>#DIV/0!</v>
      </c>
      <c r="BU176" s="495" t="str">
        <f t="shared" si="105"/>
        <v xml:space="preserve"> </v>
      </c>
      <c r="BV176" s="495" t="e">
        <f t="shared" si="106"/>
        <v>#DIV/0!</v>
      </c>
      <c r="BW176" s="495" t="e">
        <f t="shared" si="107"/>
        <v>#DIV/0!</v>
      </c>
      <c r="BX176" s="495" t="e">
        <f t="shared" si="108"/>
        <v>#DIV/0!</v>
      </c>
      <c r="BY176" s="495" t="str">
        <f t="shared" si="109"/>
        <v xml:space="preserve"> </v>
      </c>
    </row>
    <row r="177" spans="1:77" s="28" customFormat="1" ht="9" customHeight="1">
      <c r="A177" s="366">
        <v>157</v>
      </c>
      <c r="B177" s="213" t="s">
        <v>770</v>
      </c>
      <c r="C177" s="469">
        <v>4444.8</v>
      </c>
      <c r="D177" s="467"/>
      <c r="E177" s="215" t="s">
        <v>1005</v>
      </c>
      <c r="F177" s="215"/>
      <c r="G177" s="393"/>
      <c r="H177" s="217">
        <v>4487564</v>
      </c>
      <c r="I177" s="368">
        <f t="shared" si="127"/>
        <v>0</v>
      </c>
      <c r="J177" s="217">
        <v>0</v>
      </c>
      <c r="K177" s="469">
        <v>0</v>
      </c>
      <c r="L177" s="217">
        <v>0</v>
      </c>
      <c r="M177" s="469">
        <v>0</v>
      </c>
      <c r="N177" s="217">
        <v>0</v>
      </c>
      <c r="O177" s="249">
        <v>0</v>
      </c>
      <c r="P177" s="368">
        <v>0</v>
      </c>
      <c r="Q177" s="249">
        <v>0</v>
      </c>
      <c r="R177" s="368">
        <v>0</v>
      </c>
      <c r="S177" s="249">
        <v>0</v>
      </c>
      <c r="T177" s="368">
        <v>0</v>
      </c>
      <c r="U177" s="130">
        <v>0</v>
      </c>
      <c r="V177" s="368">
        <v>0</v>
      </c>
      <c r="W177" s="368">
        <v>1346</v>
      </c>
      <c r="X177" s="368">
        <f t="shared" si="128"/>
        <v>4285623.62</v>
      </c>
      <c r="Y177" s="370">
        <v>0</v>
      </c>
      <c r="Z177" s="370">
        <v>0</v>
      </c>
      <c r="AA177" s="370">
        <v>0</v>
      </c>
      <c r="AB177" s="370">
        <v>0</v>
      </c>
      <c r="AC177" s="370">
        <v>0</v>
      </c>
      <c r="AD177" s="370">
        <v>0</v>
      </c>
      <c r="AE177" s="370">
        <v>0</v>
      </c>
      <c r="AF177" s="370">
        <v>0</v>
      </c>
      <c r="AG177" s="370">
        <v>0</v>
      </c>
      <c r="AH177" s="370">
        <v>0</v>
      </c>
      <c r="AI177" s="370">
        <v>0</v>
      </c>
      <c r="AJ177" s="370">
        <f t="shared" si="131"/>
        <v>134626.92000000001</v>
      </c>
      <c r="AK177" s="370">
        <f t="shared" si="132"/>
        <v>67313.460000000006</v>
      </c>
      <c r="AL177" s="370">
        <v>0</v>
      </c>
      <c r="AM177" s="229"/>
      <c r="AN177" s="229"/>
      <c r="AP177" s="486" t="e">
        <f t="shared" si="85"/>
        <v>#DIV/0!</v>
      </c>
      <c r="AQ177" s="486" t="e">
        <f t="shared" si="88"/>
        <v>#DIV/0!</v>
      </c>
      <c r="AR177" s="486" t="e">
        <f t="shared" si="89"/>
        <v>#DIV/0!</v>
      </c>
      <c r="AS177" s="486" t="e">
        <f t="shared" si="90"/>
        <v>#DIV/0!</v>
      </c>
      <c r="AT177" s="486" t="e">
        <f t="shared" si="91"/>
        <v>#DIV/0!</v>
      </c>
      <c r="AU177" s="486" t="e">
        <f t="shared" si="92"/>
        <v>#DIV/0!</v>
      </c>
      <c r="AV177" s="486" t="e">
        <f t="shared" si="93"/>
        <v>#DIV/0!</v>
      </c>
      <c r="AW177" s="486">
        <f t="shared" si="94"/>
        <v>3183.9700000000003</v>
      </c>
      <c r="AX177" s="486" t="e">
        <f t="shared" si="95"/>
        <v>#DIV/0!</v>
      </c>
      <c r="AY177" s="486" t="e">
        <f t="shared" si="96"/>
        <v>#DIV/0!</v>
      </c>
      <c r="AZ177" s="486" t="e">
        <f t="shared" si="97"/>
        <v>#DIV/0!</v>
      </c>
      <c r="BA177" s="486">
        <f t="shared" si="86"/>
        <v>0</v>
      </c>
      <c r="BB177" s="494">
        <v>5155.41</v>
      </c>
      <c r="BC177" s="494">
        <v>2070.12</v>
      </c>
      <c r="BD177" s="494">
        <v>848.92</v>
      </c>
      <c r="BE177" s="494">
        <v>819.73</v>
      </c>
      <c r="BF177" s="494">
        <v>611.5</v>
      </c>
      <c r="BG177" s="494">
        <v>1080.04</v>
      </c>
      <c r="BH177" s="494">
        <v>2671800.0099999998</v>
      </c>
      <c r="BI177" s="494">
        <f t="shared" si="125"/>
        <v>4607.6000000000004</v>
      </c>
      <c r="BJ177" s="494">
        <v>14289.54</v>
      </c>
      <c r="BK177" s="494">
        <v>3389.61</v>
      </c>
      <c r="BL177" s="494">
        <v>5995.76</v>
      </c>
      <c r="BM177" s="494">
        <v>548.62</v>
      </c>
      <c r="BN177" s="495" t="e">
        <f t="shared" si="98"/>
        <v>#DIV/0!</v>
      </c>
      <c r="BO177" s="495" t="e">
        <f t="shared" si="99"/>
        <v>#DIV/0!</v>
      </c>
      <c r="BP177" s="495" t="e">
        <f t="shared" si="100"/>
        <v>#DIV/0!</v>
      </c>
      <c r="BQ177" s="495" t="e">
        <f t="shared" si="101"/>
        <v>#DIV/0!</v>
      </c>
      <c r="BR177" s="495" t="e">
        <f t="shared" si="102"/>
        <v>#DIV/0!</v>
      </c>
      <c r="BS177" s="495" t="e">
        <f t="shared" si="103"/>
        <v>#DIV/0!</v>
      </c>
      <c r="BT177" s="495" t="e">
        <f t="shared" si="104"/>
        <v>#DIV/0!</v>
      </c>
      <c r="BU177" s="495" t="str">
        <f t="shared" si="105"/>
        <v xml:space="preserve"> </v>
      </c>
      <c r="BV177" s="495" t="e">
        <f t="shared" si="106"/>
        <v>#DIV/0!</v>
      </c>
      <c r="BW177" s="495" t="e">
        <f t="shared" si="107"/>
        <v>#DIV/0!</v>
      </c>
      <c r="BX177" s="495" t="e">
        <f t="shared" si="108"/>
        <v>#DIV/0!</v>
      </c>
      <c r="BY177" s="495" t="str">
        <f t="shared" si="109"/>
        <v xml:space="preserve"> </v>
      </c>
    </row>
    <row r="178" spans="1:77" s="28" customFormat="1" ht="9" customHeight="1">
      <c r="A178" s="366">
        <v>158</v>
      </c>
      <c r="B178" s="213" t="s">
        <v>771</v>
      </c>
      <c r="C178" s="469">
        <v>861.6</v>
      </c>
      <c r="D178" s="467"/>
      <c r="E178" s="215" t="s">
        <v>1005</v>
      </c>
      <c r="F178" s="215"/>
      <c r="G178" s="393"/>
      <c r="H178" s="217">
        <v>2600136</v>
      </c>
      <c r="I178" s="368">
        <f t="shared" si="127"/>
        <v>0</v>
      </c>
      <c r="J178" s="217">
        <v>0</v>
      </c>
      <c r="K178" s="469">
        <v>0</v>
      </c>
      <c r="L178" s="217">
        <v>0</v>
      </c>
      <c r="M178" s="469">
        <v>0</v>
      </c>
      <c r="N178" s="217">
        <v>0</v>
      </c>
      <c r="O178" s="249">
        <v>0</v>
      </c>
      <c r="P178" s="368">
        <v>0</v>
      </c>
      <c r="Q178" s="249">
        <v>0</v>
      </c>
      <c r="R178" s="368">
        <v>0</v>
      </c>
      <c r="S178" s="249">
        <v>0</v>
      </c>
      <c r="T178" s="368">
        <v>0</v>
      </c>
      <c r="U178" s="130">
        <v>0</v>
      </c>
      <c r="V178" s="368">
        <v>0</v>
      </c>
      <c r="W178" s="368">
        <v>804</v>
      </c>
      <c r="X178" s="368">
        <f t="shared" si="128"/>
        <v>2483129.88</v>
      </c>
      <c r="Y178" s="370">
        <v>0</v>
      </c>
      <c r="Z178" s="370">
        <v>0</v>
      </c>
      <c r="AA178" s="370">
        <v>0</v>
      </c>
      <c r="AB178" s="370">
        <v>0</v>
      </c>
      <c r="AC178" s="370">
        <v>0</v>
      </c>
      <c r="AD178" s="370">
        <v>0</v>
      </c>
      <c r="AE178" s="370">
        <v>0</v>
      </c>
      <c r="AF178" s="370">
        <v>0</v>
      </c>
      <c r="AG178" s="370">
        <v>0</v>
      </c>
      <c r="AH178" s="370">
        <v>0</v>
      </c>
      <c r="AI178" s="370">
        <v>0</v>
      </c>
      <c r="AJ178" s="370">
        <f t="shared" si="131"/>
        <v>78004.08</v>
      </c>
      <c r="AK178" s="370">
        <f t="shared" si="132"/>
        <v>39002.04</v>
      </c>
      <c r="AL178" s="370">
        <v>0</v>
      </c>
      <c r="AM178" s="229"/>
      <c r="AN178" s="229"/>
      <c r="AP178" s="486" t="e">
        <f t="shared" si="85"/>
        <v>#DIV/0!</v>
      </c>
      <c r="AQ178" s="486" t="e">
        <f t="shared" si="88"/>
        <v>#DIV/0!</v>
      </c>
      <c r="AR178" s="486" t="e">
        <f t="shared" si="89"/>
        <v>#DIV/0!</v>
      </c>
      <c r="AS178" s="486" t="e">
        <f t="shared" si="90"/>
        <v>#DIV/0!</v>
      </c>
      <c r="AT178" s="486" t="e">
        <f t="shared" si="91"/>
        <v>#DIV/0!</v>
      </c>
      <c r="AU178" s="486" t="e">
        <f t="shared" si="92"/>
        <v>#DIV/0!</v>
      </c>
      <c r="AV178" s="486" t="e">
        <f t="shared" si="93"/>
        <v>#DIV/0!</v>
      </c>
      <c r="AW178" s="486">
        <f t="shared" si="94"/>
        <v>3088.47</v>
      </c>
      <c r="AX178" s="486" t="e">
        <f t="shared" si="95"/>
        <v>#DIV/0!</v>
      </c>
      <c r="AY178" s="486" t="e">
        <f t="shared" si="96"/>
        <v>#DIV/0!</v>
      </c>
      <c r="AZ178" s="486" t="e">
        <f t="shared" si="97"/>
        <v>#DIV/0!</v>
      </c>
      <c r="BA178" s="486">
        <f t="shared" si="86"/>
        <v>0</v>
      </c>
      <c r="BB178" s="494">
        <v>5155.41</v>
      </c>
      <c r="BC178" s="494">
        <v>2070.12</v>
      </c>
      <c r="BD178" s="494">
        <v>848.92</v>
      </c>
      <c r="BE178" s="494">
        <v>819.73</v>
      </c>
      <c r="BF178" s="494">
        <v>611.5</v>
      </c>
      <c r="BG178" s="494">
        <v>1080.04</v>
      </c>
      <c r="BH178" s="494">
        <v>2671800.0099999998</v>
      </c>
      <c r="BI178" s="494">
        <f t="shared" si="125"/>
        <v>4607.6000000000004</v>
      </c>
      <c r="BJ178" s="494">
        <v>14289.54</v>
      </c>
      <c r="BK178" s="494">
        <v>3389.61</v>
      </c>
      <c r="BL178" s="494">
        <v>5995.76</v>
      </c>
      <c r="BM178" s="494">
        <v>548.62</v>
      </c>
      <c r="BN178" s="495" t="e">
        <f t="shared" si="98"/>
        <v>#DIV/0!</v>
      </c>
      <c r="BO178" s="495" t="e">
        <f t="shared" si="99"/>
        <v>#DIV/0!</v>
      </c>
      <c r="BP178" s="495" t="e">
        <f t="shared" si="100"/>
        <v>#DIV/0!</v>
      </c>
      <c r="BQ178" s="495" t="e">
        <f t="shared" si="101"/>
        <v>#DIV/0!</v>
      </c>
      <c r="BR178" s="495" t="e">
        <f t="shared" si="102"/>
        <v>#DIV/0!</v>
      </c>
      <c r="BS178" s="495" t="e">
        <f t="shared" si="103"/>
        <v>#DIV/0!</v>
      </c>
      <c r="BT178" s="495" t="e">
        <f t="shared" si="104"/>
        <v>#DIV/0!</v>
      </c>
      <c r="BU178" s="495" t="str">
        <f t="shared" si="105"/>
        <v xml:space="preserve"> </v>
      </c>
      <c r="BV178" s="495" t="e">
        <f t="shared" si="106"/>
        <v>#DIV/0!</v>
      </c>
      <c r="BW178" s="495" t="e">
        <f t="shared" si="107"/>
        <v>#DIV/0!</v>
      </c>
      <c r="BX178" s="495" t="e">
        <f t="shared" si="108"/>
        <v>#DIV/0!</v>
      </c>
      <c r="BY178" s="495" t="str">
        <f t="shared" si="109"/>
        <v xml:space="preserve"> </v>
      </c>
    </row>
    <row r="179" spans="1:77" s="28" customFormat="1" ht="9" customHeight="1">
      <c r="A179" s="366">
        <v>159</v>
      </c>
      <c r="B179" s="213" t="s">
        <v>772</v>
      </c>
      <c r="C179" s="469">
        <v>836.9</v>
      </c>
      <c r="D179" s="467"/>
      <c r="E179" s="215" t="s">
        <v>1005</v>
      </c>
      <c r="F179" s="215"/>
      <c r="G179" s="393"/>
      <c r="H179" s="217">
        <v>2277122</v>
      </c>
      <c r="I179" s="368">
        <f t="shared" si="127"/>
        <v>0</v>
      </c>
      <c r="J179" s="217">
        <v>0</v>
      </c>
      <c r="K179" s="469">
        <v>0</v>
      </c>
      <c r="L179" s="217">
        <v>0</v>
      </c>
      <c r="M179" s="469">
        <v>0</v>
      </c>
      <c r="N179" s="217">
        <v>0</v>
      </c>
      <c r="O179" s="249">
        <v>0</v>
      </c>
      <c r="P179" s="368">
        <v>0</v>
      </c>
      <c r="Q179" s="249">
        <v>0</v>
      </c>
      <c r="R179" s="368">
        <v>0</v>
      </c>
      <c r="S179" s="249">
        <v>0</v>
      </c>
      <c r="T179" s="368">
        <v>0</v>
      </c>
      <c r="U179" s="130">
        <v>0</v>
      </c>
      <c r="V179" s="368">
        <v>0</v>
      </c>
      <c r="W179" s="368">
        <v>683</v>
      </c>
      <c r="X179" s="368">
        <f t="shared" si="128"/>
        <v>2174651.5099999998</v>
      </c>
      <c r="Y179" s="370">
        <v>0</v>
      </c>
      <c r="Z179" s="370">
        <v>0</v>
      </c>
      <c r="AA179" s="370">
        <v>0</v>
      </c>
      <c r="AB179" s="370">
        <v>0</v>
      </c>
      <c r="AC179" s="370">
        <v>0</v>
      </c>
      <c r="AD179" s="370">
        <v>0</v>
      </c>
      <c r="AE179" s="370">
        <v>0</v>
      </c>
      <c r="AF179" s="370">
        <v>0</v>
      </c>
      <c r="AG179" s="370">
        <v>0</v>
      </c>
      <c r="AH179" s="370">
        <v>0</v>
      </c>
      <c r="AI179" s="370">
        <v>0</v>
      </c>
      <c r="AJ179" s="370">
        <f t="shared" si="131"/>
        <v>68313.66</v>
      </c>
      <c r="AK179" s="370">
        <f t="shared" si="132"/>
        <v>34156.83</v>
      </c>
      <c r="AL179" s="370">
        <v>0</v>
      </c>
      <c r="AM179" s="229"/>
      <c r="AN179" s="229"/>
      <c r="AP179" s="486" t="e">
        <f t="shared" si="85"/>
        <v>#DIV/0!</v>
      </c>
      <c r="AQ179" s="486" t="e">
        <f t="shared" si="88"/>
        <v>#DIV/0!</v>
      </c>
      <c r="AR179" s="486" t="e">
        <f t="shared" si="89"/>
        <v>#DIV/0!</v>
      </c>
      <c r="AS179" s="486" t="e">
        <f t="shared" si="90"/>
        <v>#DIV/0!</v>
      </c>
      <c r="AT179" s="486" t="e">
        <f t="shared" si="91"/>
        <v>#DIV/0!</v>
      </c>
      <c r="AU179" s="486" t="e">
        <f t="shared" si="92"/>
        <v>#DIV/0!</v>
      </c>
      <c r="AV179" s="486" t="e">
        <f t="shared" si="93"/>
        <v>#DIV/0!</v>
      </c>
      <c r="AW179" s="486">
        <f t="shared" si="94"/>
        <v>3183.97</v>
      </c>
      <c r="AX179" s="486" t="e">
        <f t="shared" si="95"/>
        <v>#DIV/0!</v>
      </c>
      <c r="AY179" s="486" t="e">
        <f t="shared" si="96"/>
        <v>#DIV/0!</v>
      </c>
      <c r="AZ179" s="486" t="e">
        <f t="shared" si="97"/>
        <v>#DIV/0!</v>
      </c>
      <c r="BA179" s="486">
        <f t="shared" si="86"/>
        <v>0</v>
      </c>
      <c r="BB179" s="494">
        <v>5155.41</v>
      </c>
      <c r="BC179" s="494">
        <v>2070.12</v>
      </c>
      <c r="BD179" s="494">
        <v>848.92</v>
      </c>
      <c r="BE179" s="494">
        <v>819.73</v>
      </c>
      <c r="BF179" s="494">
        <v>611.5</v>
      </c>
      <c r="BG179" s="494">
        <v>1080.04</v>
      </c>
      <c r="BH179" s="494">
        <v>2671800.0099999998</v>
      </c>
      <c r="BI179" s="494">
        <f t="shared" si="125"/>
        <v>4607.6000000000004</v>
      </c>
      <c r="BJ179" s="494">
        <v>14289.54</v>
      </c>
      <c r="BK179" s="494">
        <v>3389.61</v>
      </c>
      <c r="BL179" s="494">
        <v>5995.76</v>
      </c>
      <c r="BM179" s="494">
        <v>548.62</v>
      </c>
      <c r="BN179" s="495" t="e">
        <f t="shared" si="98"/>
        <v>#DIV/0!</v>
      </c>
      <c r="BO179" s="495" t="e">
        <f t="shared" si="99"/>
        <v>#DIV/0!</v>
      </c>
      <c r="BP179" s="495" t="e">
        <f t="shared" si="100"/>
        <v>#DIV/0!</v>
      </c>
      <c r="BQ179" s="495" t="e">
        <f t="shared" si="101"/>
        <v>#DIV/0!</v>
      </c>
      <c r="BR179" s="495" t="e">
        <f t="shared" si="102"/>
        <v>#DIV/0!</v>
      </c>
      <c r="BS179" s="495" t="e">
        <f t="shared" si="103"/>
        <v>#DIV/0!</v>
      </c>
      <c r="BT179" s="495" t="e">
        <f t="shared" si="104"/>
        <v>#DIV/0!</v>
      </c>
      <c r="BU179" s="495" t="str">
        <f t="shared" si="105"/>
        <v xml:space="preserve"> </v>
      </c>
      <c r="BV179" s="495" t="e">
        <f t="shared" si="106"/>
        <v>#DIV/0!</v>
      </c>
      <c r="BW179" s="495" t="e">
        <f t="shared" si="107"/>
        <v>#DIV/0!</v>
      </c>
      <c r="BX179" s="495" t="e">
        <f t="shared" si="108"/>
        <v>#DIV/0!</v>
      </c>
      <c r="BY179" s="495" t="str">
        <f t="shared" si="109"/>
        <v xml:space="preserve"> </v>
      </c>
    </row>
    <row r="180" spans="1:77" s="28" customFormat="1" ht="9" customHeight="1">
      <c r="A180" s="366">
        <v>160</v>
      </c>
      <c r="B180" s="213" t="s">
        <v>773</v>
      </c>
      <c r="C180" s="469">
        <v>1990.5</v>
      </c>
      <c r="D180" s="467"/>
      <c r="E180" s="215" t="s">
        <v>1005</v>
      </c>
      <c r="F180" s="215"/>
      <c r="G180" s="393"/>
      <c r="H180" s="217">
        <v>2120424</v>
      </c>
      <c r="I180" s="368">
        <f t="shared" si="127"/>
        <v>0</v>
      </c>
      <c r="J180" s="217">
        <v>0</v>
      </c>
      <c r="K180" s="469">
        <v>0</v>
      </c>
      <c r="L180" s="217">
        <v>0</v>
      </c>
      <c r="M180" s="469">
        <v>0</v>
      </c>
      <c r="N180" s="217">
        <v>0</v>
      </c>
      <c r="O180" s="249">
        <v>0</v>
      </c>
      <c r="P180" s="368">
        <v>0</v>
      </c>
      <c r="Q180" s="249">
        <v>0</v>
      </c>
      <c r="R180" s="368">
        <v>0</v>
      </c>
      <c r="S180" s="249">
        <v>0</v>
      </c>
      <c r="T180" s="368">
        <v>0</v>
      </c>
      <c r="U180" s="130">
        <v>0</v>
      </c>
      <c r="V180" s="368">
        <v>0</v>
      </c>
      <c r="W180" s="368">
        <v>636</v>
      </c>
      <c r="X180" s="368">
        <f t="shared" si="128"/>
        <v>2025004.92</v>
      </c>
      <c r="Y180" s="370">
        <v>0</v>
      </c>
      <c r="Z180" s="370">
        <v>0</v>
      </c>
      <c r="AA180" s="370">
        <v>0</v>
      </c>
      <c r="AB180" s="370">
        <v>0</v>
      </c>
      <c r="AC180" s="370">
        <v>0</v>
      </c>
      <c r="AD180" s="370">
        <v>0</v>
      </c>
      <c r="AE180" s="370">
        <v>0</v>
      </c>
      <c r="AF180" s="370">
        <v>0</v>
      </c>
      <c r="AG180" s="370">
        <v>0</v>
      </c>
      <c r="AH180" s="370">
        <v>0</v>
      </c>
      <c r="AI180" s="370">
        <v>0</v>
      </c>
      <c r="AJ180" s="370">
        <f t="shared" si="131"/>
        <v>63612.72</v>
      </c>
      <c r="AK180" s="370">
        <f t="shared" si="132"/>
        <v>31806.36</v>
      </c>
      <c r="AL180" s="370">
        <v>0</v>
      </c>
      <c r="AM180" s="229"/>
      <c r="AN180" s="229"/>
      <c r="AP180" s="486" t="e">
        <f t="shared" si="85"/>
        <v>#DIV/0!</v>
      </c>
      <c r="AQ180" s="486" t="e">
        <f t="shared" si="88"/>
        <v>#DIV/0!</v>
      </c>
      <c r="AR180" s="486" t="e">
        <f t="shared" si="89"/>
        <v>#DIV/0!</v>
      </c>
      <c r="AS180" s="486" t="e">
        <f t="shared" si="90"/>
        <v>#DIV/0!</v>
      </c>
      <c r="AT180" s="486" t="e">
        <f t="shared" si="91"/>
        <v>#DIV/0!</v>
      </c>
      <c r="AU180" s="486" t="e">
        <f t="shared" si="92"/>
        <v>#DIV/0!</v>
      </c>
      <c r="AV180" s="486" t="e">
        <f t="shared" si="93"/>
        <v>#DIV/0!</v>
      </c>
      <c r="AW180" s="486">
        <f t="shared" si="94"/>
        <v>3183.97</v>
      </c>
      <c r="AX180" s="486" t="e">
        <f t="shared" si="95"/>
        <v>#DIV/0!</v>
      </c>
      <c r="AY180" s="486" t="e">
        <f t="shared" si="96"/>
        <v>#DIV/0!</v>
      </c>
      <c r="AZ180" s="486" t="e">
        <f t="shared" si="97"/>
        <v>#DIV/0!</v>
      </c>
      <c r="BA180" s="486">
        <f t="shared" si="86"/>
        <v>0</v>
      </c>
      <c r="BB180" s="494">
        <v>5155.41</v>
      </c>
      <c r="BC180" s="494">
        <v>2070.12</v>
      </c>
      <c r="BD180" s="494">
        <v>848.92</v>
      </c>
      <c r="BE180" s="494">
        <v>819.73</v>
      </c>
      <c r="BF180" s="494">
        <v>611.5</v>
      </c>
      <c r="BG180" s="494">
        <v>1080.04</v>
      </c>
      <c r="BH180" s="494">
        <v>2671800.0099999998</v>
      </c>
      <c r="BI180" s="494">
        <f t="shared" si="125"/>
        <v>4607.6000000000004</v>
      </c>
      <c r="BJ180" s="494">
        <v>14289.54</v>
      </c>
      <c r="BK180" s="494">
        <v>3389.61</v>
      </c>
      <c r="BL180" s="494">
        <v>5995.76</v>
      </c>
      <c r="BM180" s="494">
        <v>548.62</v>
      </c>
      <c r="BN180" s="495" t="e">
        <f t="shared" si="98"/>
        <v>#DIV/0!</v>
      </c>
      <c r="BO180" s="495" t="e">
        <f t="shared" si="99"/>
        <v>#DIV/0!</v>
      </c>
      <c r="BP180" s="495" t="e">
        <f t="shared" si="100"/>
        <v>#DIV/0!</v>
      </c>
      <c r="BQ180" s="495" t="e">
        <f t="shared" si="101"/>
        <v>#DIV/0!</v>
      </c>
      <c r="BR180" s="495" t="e">
        <f t="shared" si="102"/>
        <v>#DIV/0!</v>
      </c>
      <c r="BS180" s="495" t="e">
        <f t="shared" si="103"/>
        <v>#DIV/0!</v>
      </c>
      <c r="BT180" s="495" t="e">
        <f t="shared" si="104"/>
        <v>#DIV/0!</v>
      </c>
      <c r="BU180" s="495" t="str">
        <f t="shared" si="105"/>
        <v xml:space="preserve"> </v>
      </c>
      <c r="BV180" s="495" t="e">
        <f t="shared" si="106"/>
        <v>#DIV/0!</v>
      </c>
      <c r="BW180" s="495" t="e">
        <f t="shared" si="107"/>
        <v>#DIV/0!</v>
      </c>
      <c r="BX180" s="495" t="e">
        <f t="shared" si="108"/>
        <v>#DIV/0!</v>
      </c>
      <c r="BY180" s="495" t="str">
        <f t="shared" si="109"/>
        <v xml:space="preserve"> </v>
      </c>
    </row>
    <row r="181" spans="1:77" s="28" customFormat="1" ht="9" customHeight="1">
      <c r="A181" s="366">
        <v>161</v>
      </c>
      <c r="B181" s="213" t="s">
        <v>774</v>
      </c>
      <c r="C181" s="469">
        <v>4338.1000000000004</v>
      </c>
      <c r="D181" s="467"/>
      <c r="E181" s="215" t="s">
        <v>1005</v>
      </c>
      <c r="F181" s="215"/>
      <c r="G181" s="393"/>
      <c r="H181" s="217">
        <v>4467560</v>
      </c>
      <c r="I181" s="368">
        <f t="shared" si="127"/>
        <v>0</v>
      </c>
      <c r="J181" s="217">
        <v>0</v>
      </c>
      <c r="K181" s="469">
        <v>0</v>
      </c>
      <c r="L181" s="217">
        <v>0</v>
      </c>
      <c r="M181" s="469">
        <v>0</v>
      </c>
      <c r="N181" s="217">
        <v>0</v>
      </c>
      <c r="O181" s="249">
        <v>0</v>
      </c>
      <c r="P181" s="368">
        <v>0</v>
      </c>
      <c r="Q181" s="249">
        <v>0</v>
      </c>
      <c r="R181" s="368">
        <v>0</v>
      </c>
      <c r="S181" s="249">
        <v>0</v>
      </c>
      <c r="T181" s="368">
        <v>0</v>
      </c>
      <c r="U181" s="130">
        <v>0</v>
      </c>
      <c r="V181" s="368">
        <v>0</v>
      </c>
      <c r="W181" s="368">
        <v>1340</v>
      </c>
      <c r="X181" s="368">
        <f t="shared" si="128"/>
        <v>4266519.8</v>
      </c>
      <c r="Y181" s="370">
        <v>0</v>
      </c>
      <c r="Z181" s="370">
        <v>0</v>
      </c>
      <c r="AA181" s="370">
        <v>0</v>
      </c>
      <c r="AB181" s="370">
        <v>0</v>
      </c>
      <c r="AC181" s="370">
        <v>0</v>
      </c>
      <c r="AD181" s="370">
        <v>0</v>
      </c>
      <c r="AE181" s="370">
        <v>0</v>
      </c>
      <c r="AF181" s="370">
        <v>0</v>
      </c>
      <c r="AG181" s="370">
        <v>0</v>
      </c>
      <c r="AH181" s="370">
        <v>0</v>
      </c>
      <c r="AI181" s="370">
        <v>0</v>
      </c>
      <c r="AJ181" s="370">
        <f t="shared" si="131"/>
        <v>134026.79999999999</v>
      </c>
      <c r="AK181" s="370">
        <f t="shared" si="132"/>
        <v>67013.399999999994</v>
      </c>
      <c r="AL181" s="370">
        <v>0</v>
      </c>
      <c r="AM181" s="229"/>
      <c r="AN181" s="229"/>
      <c r="AP181" s="486" t="e">
        <f t="shared" si="85"/>
        <v>#DIV/0!</v>
      </c>
      <c r="AQ181" s="486" t="e">
        <f t="shared" si="88"/>
        <v>#DIV/0!</v>
      </c>
      <c r="AR181" s="486" t="e">
        <f t="shared" si="89"/>
        <v>#DIV/0!</v>
      </c>
      <c r="AS181" s="486" t="e">
        <f t="shared" si="90"/>
        <v>#DIV/0!</v>
      </c>
      <c r="AT181" s="486" t="e">
        <f t="shared" si="91"/>
        <v>#DIV/0!</v>
      </c>
      <c r="AU181" s="486" t="e">
        <f t="shared" si="92"/>
        <v>#DIV/0!</v>
      </c>
      <c r="AV181" s="486" t="e">
        <f t="shared" si="93"/>
        <v>#DIV/0!</v>
      </c>
      <c r="AW181" s="486">
        <f t="shared" si="94"/>
        <v>3183.97</v>
      </c>
      <c r="AX181" s="486" t="e">
        <f t="shared" si="95"/>
        <v>#DIV/0!</v>
      </c>
      <c r="AY181" s="486" t="e">
        <f t="shared" si="96"/>
        <v>#DIV/0!</v>
      </c>
      <c r="AZ181" s="486" t="e">
        <f t="shared" si="97"/>
        <v>#DIV/0!</v>
      </c>
      <c r="BA181" s="486">
        <f t="shared" si="86"/>
        <v>0</v>
      </c>
      <c r="BB181" s="494">
        <v>5155.41</v>
      </c>
      <c r="BC181" s="494">
        <v>2070.12</v>
      </c>
      <c r="BD181" s="494">
        <v>848.92</v>
      </c>
      <c r="BE181" s="494">
        <v>819.73</v>
      </c>
      <c r="BF181" s="494">
        <v>611.5</v>
      </c>
      <c r="BG181" s="494">
        <v>1080.04</v>
      </c>
      <c r="BH181" s="494">
        <v>2671800.0099999998</v>
      </c>
      <c r="BI181" s="494">
        <f t="shared" si="125"/>
        <v>4607.6000000000004</v>
      </c>
      <c r="BJ181" s="494">
        <v>14289.54</v>
      </c>
      <c r="BK181" s="494">
        <v>3389.61</v>
      </c>
      <c r="BL181" s="494">
        <v>5995.76</v>
      </c>
      <c r="BM181" s="494">
        <v>548.62</v>
      </c>
      <c r="BN181" s="495" t="e">
        <f t="shared" si="98"/>
        <v>#DIV/0!</v>
      </c>
      <c r="BO181" s="495" t="e">
        <f t="shared" si="99"/>
        <v>#DIV/0!</v>
      </c>
      <c r="BP181" s="495" t="e">
        <f t="shared" si="100"/>
        <v>#DIV/0!</v>
      </c>
      <c r="BQ181" s="495" t="e">
        <f t="shared" si="101"/>
        <v>#DIV/0!</v>
      </c>
      <c r="BR181" s="495" t="e">
        <f t="shared" si="102"/>
        <v>#DIV/0!</v>
      </c>
      <c r="BS181" s="495" t="e">
        <f t="shared" si="103"/>
        <v>#DIV/0!</v>
      </c>
      <c r="BT181" s="495" t="e">
        <f t="shared" si="104"/>
        <v>#DIV/0!</v>
      </c>
      <c r="BU181" s="495" t="str">
        <f t="shared" si="105"/>
        <v xml:space="preserve"> </v>
      </c>
      <c r="BV181" s="495" t="e">
        <f t="shared" si="106"/>
        <v>#DIV/0!</v>
      </c>
      <c r="BW181" s="495" t="e">
        <f t="shared" si="107"/>
        <v>#DIV/0!</v>
      </c>
      <c r="BX181" s="495" t="e">
        <f t="shared" si="108"/>
        <v>#DIV/0!</v>
      </c>
      <c r="BY181" s="495" t="str">
        <f t="shared" si="109"/>
        <v xml:space="preserve"> </v>
      </c>
    </row>
    <row r="182" spans="1:77" s="28" customFormat="1" ht="9" customHeight="1">
      <c r="A182" s="366">
        <v>162</v>
      </c>
      <c r="B182" s="213" t="s">
        <v>1054</v>
      </c>
      <c r="C182" s="469">
        <v>777.4</v>
      </c>
      <c r="D182" s="467"/>
      <c r="E182" s="215" t="s">
        <v>1005</v>
      </c>
      <c r="F182" s="215"/>
      <c r="G182" s="393"/>
      <c r="H182" s="217">
        <v>1703674</v>
      </c>
      <c r="I182" s="368">
        <f t="shared" si="127"/>
        <v>0</v>
      </c>
      <c r="J182" s="217">
        <v>0</v>
      </c>
      <c r="K182" s="469">
        <v>0</v>
      </c>
      <c r="L182" s="217">
        <v>0</v>
      </c>
      <c r="M182" s="469">
        <v>0</v>
      </c>
      <c r="N182" s="217">
        <v>0</v>
      </c>
      <c r="O182" s="249">
        <v>0</v>
      </c>
      <c r="P182" s="368">
        <v>0</v>
      </c>
      <c r="Q182" s="249">
        <v>0</v>
      </c>
      <c r="R182" s="368">
        <v>0</v>
      </c>
      <c r="S182" s="249">
        <v>0</v>
      </c>
      <c r="T182" s="368">
        <v>0</v>
      </c>
      <c r="U182" s="130">
        <v>0</v>
      </c>
      <c r="V182" s="368">
        <v>0</v>
      </c>
      <c r="W182" s="368">
        <v>511</v>
      </c>
      <c r="X182" s="368">
        <f t="shared" si="128"/>
        <v>1627008.67</v>
      </c>
      <c r="Y182" s="370">
        <v>0</v>
      </c>
      <c r="Z182" s="370">
        <v>0</v>
      </c>
      <c r="AA182" s="370">
        <v>0</v>
      </c>
      <c r="AB182" s="370">
        <v>0</v>
      </c>
      <c r="AC182" s="370">
        <v>0</v>
      </c>
      <c r="AD182" s="370">
        <v>0</v>
      </c>
      <c r="AE182" s="370">
        <v>0</v>
      </c>
      <c r="AF182" s="370">
        <v>0</v>
      </c>
      <c r="AG182" s="370">
        <v>0</v>
      </c>
      <c r="AH182" s="370">
        <v>0</v>
      </c>
      <c r="AI182" s="370">
        <v>0</v>
      </c>
      <c r="AJ182" s="370">
        <f t="shared" si="131"/>
        <v>51110.22</v>
      </c>
      <c r="AK182" s="370">
        <f t="shared" si="132"/>
        <v>25555.11</v>
      </c>
      <c r="AL182" s="370">
        <v>0</v>
      </c>
      <c r="AM182" s="229"/>
      <c r="AN182" s="229"/>
      <c r="AP182" s="486" t="e">
        <f t="shared" si="85"/>
        <v>#DIV/0!</v>
      </c>
      <c r="AQ182" s="486" t="e">
        <f t="shared" si="88"/>
        <v>#DIV/0!</v>
      </c>
      <c r="AR182" s="486" t="e">
        <f t="shared" si="89"/>
        <v>#DIV/0!</v>
      </c>
      <c r="AS182" s="486" t="e">
        <f t="shared" si="90"/>
        <v>#DIV/0!</v>
      </c>
      <c r="AT182" s="486" t="e">
        <f t="shared" si="91"/>
        <v>#DIV/0!</v>
      </c>
      <c r="AU182" s="486" t="e">
        <f t="shared" si="92"/>
        <v>#DIV/0!</v>
      </c>
      <c r="AV182" s="486" t="e">
        <f t="shared" si="93"/>
        <v>#DIV/0!</v>
      </c>
      <c r="AW182" s="486">
        <f t="shared" si="94"/>
        <v>3183.97</v>
      </c>
      <c r="AX182" s="486" t="e">
        <f t="shared" si="95"/>
        <v>#DIV/0!</v>
      </c>
      <c r="AY182" s="486" t="e">
        <f t="shared" si="96"/>
        <v>#DIV/0!</v>
      </c>
      <c r="AZ182" s="486" t="e">
        <f t="shared" si="97"/>
        <v>#DIV/0!</v>
      </c>
      <c r="BA182" s="486">
        <f t="shared" si="86"/>
        <v>0</v>
      </c>
      <c r="BB182" s="494">
        <v>5155.41</v>
      </c>
      <c r="BC182" s="494">
        <v>2070.12</v>
      </c>
      <c r="BD182" s="494">
        <v>848.92</v>
      </c>
      <c r="BE182" s="494">
        <v>819.73</v>
      </c>
      <c r="BF182" s="494">
        <v>611.5</v>
      </c>
      <c r="BG182" s="494">
        <v>1080.04</v>
      </c>
      <c r="BH182" s="494">
        <v>2671800.0099999998</v>
      </c>
      <c r="BI182" s="494">
        <f t="shared" si="125"/>
        <v>4607.6000000000004</v>
      </c>
      <c r="BJ182" s="494">
        <v>14289.54</v>
      </c>
      <c r="BK182" s="494">
        <v>3389.61</v>
      </c>
      <c r="BL182" s="494">
        <v>5995.76</v>
      </c>
      <c r="BM182" s="494">
        <v>548.62</v>
      </c>
      <c r="BN182" s="495" t="e">
        <f t="shared" si="98"/>
        <v>#DIV/0!</v>
      </c>
      <c r="BO182" s="495" t="e">
        <f t="shared" si="99"/>
        <v>#DIV/0!</v>
      </c>
      <c r="BP182" s="495" t="e">
        <f t="shared" si="100"/>
        <v>#DIV/0!</v>
      </c>
      <c r="BQ182" s="495" t="e">
        <f t="shared" si="101"/>
        <v>#DIV/0!</v>
      </c>
      <c r="BR182" s="495" t="e">
        <f t="shared" si="102"/>
        <v>#DIV/0!</v>
      </c>
      <c r="BS182" s="495" t="e">
        <f t="shared" si="103"/>
        <v>#DIV/0!</v>
      </c>
      <c r="BT182" s="495" t="e">
        <f t="shared" si="104"/>
        <v>#DIV/0!</v>
      </c>
      <c r="BU182" s="495" t="str">
        <f t="shared" si="105"/>
        <v xml:space="preserve"> </v>
      </c>
      <c r="BV182" s="495" t="e">
        <f t="shared" si="106"/>
        <v>#DIV/0!</v>
      </c>
      <c r="BW182" s="495" t="e">
        <f t="shared" si="107"/>
        <v>#DIV/0!</v>
      </c>
      <c r="BX182" s="495" t="e">
        <f t="shared" si="108"/>
        <v>#DIV/0!</v>
      </c>
      <c r="BY182" s="495" t="str">
        <f t="shared" si="109"/>
        <v xml:space="preserve"> </v>
      </c>
    </row>
    <row r="183" spans="1:77" s="28" customFormat="1" ht="24.75" customHeight="1">
      <c r="A183" s="954" t="s">
        <v>231</v>
      </c>
      <c r="B183" s="954"/>
      <c r="C183" s="368">
        <f>SUM(C170:C182)</f>
        <v>33694.700000000004</v>
      </c>
      <c r="D183" s="431" t="s">
        <v>391</v>
      </c>
      <c r="E183" s="141" t="s">
        <v>391</v>
      </c>
      <c r="F183" s="141"/>
      <c r="G183" s="141"/>
      <c r="H183" s="368">
        <f>SUM(H170:H182)</f>
        <v>35735340.399999999</v>
      </c>
      <c r="I183" s="368">
        <f>SUM(I170:I182)</f>
        <v>1682186.67</v>
      </c>
      <c r="J183" s="368">
        <f>SUM(J170:J182)</f>
        <v>0</v>
      </c>
      <c r="K183" s="368">
        <f>SUM(K170:K182)</f>
        <v>0</v>
      </c>
      <c r="L183" s="368">
        <f t="shared" ref="L183:AN183" si="133">SUM(L170:L182)</f>
        <v>0</v>
      </c>
      <c r="M183" s="368">
        <f t="shared" si="133"/>
        <v>0</v>
      </c>
      <c r="N183" s="368">
        <f t="shared" si="133"/>
        <v>0</v>
      </c>
      <c r="O183" s="368">
        <f t="shared" si="133"/>
        <v>406</v>
      </c>
      <c r="P183" s="368">
        <f t="shared" si="133"/>
        <v>821533.03</v>
      </c>
      <c r="Q183" s="368">
        <f t="shared" si="133"/>
        <v>0</v>
      </c>
      <c r="R183" s="368">
        <f t="shared" si="133"/>
        <v>0</v>
      </c>
      <c r="S183" s="368">
        <f t="shared" si="133"/>
        <v>526</v>
      </c>
      <c r="T183" s="368">
        <f t="shared" si="133"/>
        <v>860653.64</v>
      </c>
      <c r="U183" s="130">
        <f t="shared" si="133"/>
        <v>0</v>
      </c>
      <c r="V183" s="368">
        <f t="shared" si="133"/>
        <v>0</v>
      </c>
      <c r="W183" s="368">
        <f t="shared" si="133"/>
        <v>10201.4</v>
      </c>
      <c r="X183" s="368">
        <f t="shared" si="133"/>
        <v>32358998.050000004</v>
      </c>
      <c r="Y183" s="368">
        <f t="shared" si="133"/>
        <v>0</v>
      </c>
      <c r="Z183" s="368">
        <f t="shared" si="133"/>
        <v>0</v>
      </c>
      <c r="AA183" s="368">
        <f t="shared" si="133"/>
        <v>0</v>
      </c>
      <c r="AB183" s="368">
        <f t="shared" si="133"/>
        <v>0</v>
      </c>
      <c r="AC183" s="368">
        <f t="shared" si="133"/>
        <v>0</v>
      </c>
      <c r="AD183" s="368">
        <f t="shared" si="133"/>
        <v>0</v>
      </c>
      <c r="AE183" s="368">
        <f t="shared" si="133"/>
        <v>0</v>
      </c>
      <c r="AF183" s="368">
        <f t="shared" si="133"/>
        <v>0</v>
      </c>
      <c r="AG183" s="368">
        <f t="shared" si="133"/>
        <v>0</v>
      </c>
      <c r="AH183" s="368">
        <f t="shared" si="133"/>
        <v>0</v>
      </c>
      <c r="AI183" s="368">
        <f t="shared" si="133"/>
        <v>86065.36</v>
      </c>
      <c r="AJ183" s="368">
        <f t="shared" si="133"/>
        <v>1072060.21</v>
      </c>
      <c r="AK183" s="368">
        <f t="shared" si="133"/>
        <v>536030.11</v>
      </c>
      <c r="AL183" s="368">
        <f t="shared" si="133"/>
        <v>0</v>
      </c>
      <c r="AM183" s="368">
        <f t="shared" si="133"/>
        <v>0</v>
      </c>
      <c r="AN183" s="368">
        <f t="shared" si="133"/>
        <v>0</v>
      </c>
      <c r="AP183" s="486" t="e">
        <f t="shared" si="85"/>
        <v>#VALUE!</v>
      </c>
      <c r="AQ183" s="486" t="e">
        <f t="shared" si="88"/>
        <v>#DIV/0!</v>
      </c>
      <c r="AR183" s="497" t="e">
        <f t="shared" si="89"/>
        <v>#DIV/0!</v>
      </c>
      <c r="AS183" s="497">
        <f t="shared" si="90"/>
        <v>2023.4803694581281</v>
      </c>
      <c r="AT183" s="497" t="e">
        <f t="shared" si="91"/>
        <v>#DIV/0!</v>
      </c>
      <c r="AU183" s="497">
        <f t="shared" si="92"/>
        <v>1636.2236501901141</v>
      </c>
      <c r="AV183" s="497" t="e">
        <f t="shared" si="93"/>
        <v>#DIV/0!</v>
      </c>
      <c r="AW183" s="497">
        <f t="shared" si="94"/>
        <v>3172.0154145509446</v>
      </c>
      <c r="AX183" s="497" t="e">
        <f t="shared" si="95"/>
        <v>#DIV/0!</v>
      </c>
      <c r="AY183" s="486" t="e">
        <f t="shared" si="96"/>
        <v>#DIV/0!</v>
      </c>
      <c r="AZ183" s="497" t="e">
        <f t="shared" si="97"/>
        <v>#DIV/0!</v>
      </c>
      <c r="BA183" s="486">
        <f t="shared" si="86"/>
        <v>2.5542699593704645</v>
      </c>
      <c r="BB183" s="494">
        <v>5155.41</v>
      </c>
      <c r="BC183" s="494">
        <v>2070.12</v>
      </c>
      <c r="BD183" s="494">
        <v>848.92</v>
      </c>
      <c r="BE183" s="494">
        <v>819.73</v>
      </c>
      <c r="BF183" s="494">
        <v>611.5</v>
      </c>
      <c r="BG183" s="494">
        <v>1080.04</v>
      </c>
      <c r="BH183" s="494">
        <v>2671800.0099999998</v>
      </c>
      <c r="BI183" s="494">
        <f t="shared" si="125"/>
        <v>4422.8500000000004</v>
      </c>
      <c r="BJ183" s="494">
        <v>14289.54</v>
      </c>
      <c r="BK183" s="494">
        <v>3389.61</v>
      </c>
      <c r="BL183" s="494">
        <v>5995.76</v>
      </c>
      <c r="BM183" s="494">
        <v>548.62</v>
      </c>
      <c r="BN183" s="493" t="e">
        <f t="shared" si="98"/>
        <v>#VALUE!</v>
      </c>
      <c r="BO183" s="493" t="e">
        <f t="shared" si="99"/>
        <v>#DIV/0!</v>
      </c>
      <c r="BP183" s="493" t="e">
        <f t="shared" si="100"/>
        <v>#DIV/0!</v>
      </c>
      <c r="BQ183" s="493" t="str">
        <f t="shared" si="101"/>
        <v>+</v>
      </c>
      <c r="BR183" s="493" t="e">
        <f t="shared" si="102"/>
        <v>#DIV/0!</v>
      </c>
      <c r="BS183" s="493" t="str">
        <f t="shared" si="103"/>
        <v>+</v>
      </c>
      <c r="BT183" s="493" t="e">
        <f t="shared" si="104"/>
        <v>#DIV/0!</v>
      </c>
      <c r="BU183" s="493" t="str">
        <f t="shared" si="105"/>
        <v xml:space="preserve"> </v>
      </c>
      <c r="BV183" s="493" t="e">
        <f t="shared" si="106"/>
        <v>#DIV/0!</v>
      </c>
      <c r="BW183" s="493" t="e">
        <f t="shared" si="107"/>
        <v>#DIV/0!</v>
      </c>
      <c r="BX183" s="493" t="e">
        <f t="shared" si="108"/>
        <v>#DIV/0!</v>
      </c>
      <c r="BY183" s="493" t="str">
        <f t="shared" si="109"/>
        <v xml:space="preserve"> </v>
      </c>
    </row>
    <row r="184" spans="1:77" s="28" customFormat="1" ht="15" customHeight="1">
      <c r="A184" s="837" t="s">
        <v>242</v>
      </c>
      <c r="B184" s="838"/>
      <c r="C184" s="838"/>
      <c r="D184" s="838"/>
      <c r="E184" s="838"/>
      <c r="F184" s="838"/>
      <c r="G184" s="838"/>
      <c r="H184" s="838"/>
      <c r="I184" s="838"/>
      <c r="J184" s="838"/>
      <c r="K184" s="838"/>
      <c r="L184" s="838"/>
      <c r="M184" s="838"/>
      <c r="N184" s="838"/>
      <c r="O184" s="838"/>
      <c r="P184" s="838"/>
      <c r="Q184" s="838"/>
      <c r="R184" s="838"/>
      <c r="S184" s="838"/>
      <c r="T184" s="838"/>
      <c r="U184" s="838"/>
      <c r="V184" s="838"/>
      <c r="W184" s="838"/>
      <c r="X184" s="838"/>
      <c r="Y184" s="838"/>
      <c r="Z184" s="838"/>
      <c r="AA184" s="838"/>
      <c r="AB184" s="838"/>
      <c r="AC184" s="838"/>
      <c r="AD184" s="838"/>
      <c r="AE184" s="838"/>
      <c r="AF184" s="838"/>
      <c r="AG184" s="838"/>
      <c r="AH184" s="838"/>
      <c r="AI184" s="838"/>
      <c r="AJ184" s="838"/>
      <c r="AK184" s="838"/>
      <c r="AL184" s="838"/>
      <c r="AM184" s="838"/>
      <c r="AN184" s="839"/>
      <c r="AP184" s="486" t="e">
        <f t="shared" si="85"/>
        <v>#DIV/0!</v>
      </c>
      <c r="AQ184" s="486" t="e">
        <f t="shared" si="88"/>
        <v>#DIV/0!</v>
      </c>
      <c r="AR184" s="497" t="e">
        <f t="shared" si="89"/>
        <v>#DIV/0!</v>
      </c>
      <c r="AS184" s="497" t="e">
        <f t="shared" si="90"/>
        <v>#DIV/0!</v>
      </c>
      <c r="AT184" s="497" t="e">
        <f t="shared" si="91"/>
        <v>#DIV/0!</v>
      </c>
      <c r="AU184" s="497" t="e">
        <f t="shared" si="92"/>
        <v>#DIV/0!</v>
      </c>
      <c r="AV184" s="497" t="e">
        <f t="shared" si="93"/>
        <v>#DIV/0!</v>
      </c>
      <c r="AW184" s="497" t="e">
        <f t="shared" si="94"/>
        <v>#DIV/0!</v>
      </c>
      <c r="AX184" s="497" t="e">
        <f t="shared" si="95"/>
        <v>#DIV/0!</v>
      </c>
      <c r="AY184" s="486" t="e">
        <f t="shared" si="96"/>
        <v>#DIV/0!</v>
      </c>
      <c r="AZ184" s="497" t="e">
        <f t="shared" si="97"/>
        <v>#DIV/0!</v>
      </c>
      <c r="BA184" s="486" t="e">
        <f t="shared" si="86"/>
        <v>#DIV/0!</v>
      </c>
      <c r="BB184" s="494">
        <v>5155.41</v>
      </c>
      <c r="BC184" s="494">
        <v>2070.12</v>
      </c>
      <c r="BD184" s="494">
        <v>848.92</v>
      </c>
      <c r="BE184" s="494">
        <v>819.73</v>
      </c>
      <c r="BF184" s="494">
        <v>611.5</v>
      </c>
      <c r="BG184" s="494">
        <v>1080.04</v>
      </c>
      <c r="BH184" s="494">
        <v>2671800.0099999998</v>
      </c>
      <c r="BI184" s="494">
        <f t="shared" si="125"/>
        <v>4422.8500000000004</v>
      </c>
      <c r="BJ184" s="494">
        <v>14289.54</v>
      </c>
      <c r="BK184" s="494">
        <v>3389.61</v>
      </c>
      <c r="BL184" s="494">
        <v>5995.76</v>
      </c>
      <c r="BM184" s="494">
        <v>548.62</v>
      </c>
      <c r="BN184" s="493" t="e">
        <f t="shared" si="98"/>
        <v>#DIV/0!</v>
      </c>
      <c r="BO184" s="493" t="e">
        <f t="shared" si="99"/>
        <v>#DIV/0!</v>
      </c>
      <c r="BP184" s="493" t="e">
        <f t="shared" si="100"/>
        <v>#DIV/0!</v>
      </c>
      <c r="BQ184" s="493" t="e">
        <f t="shared" si="101"/>
        <v>#DIV/0!</v>
      </c>
      <c r="BR184" s="493" t="e">
        <f t="shared" si="102"/>
        <v>#DIV/0!</v>
      </c>
      <c r="BS184" s="493" t="e">
        <f t="shared" si="103"/>
        <v>#DIV/0!</v>
      </c>
      <c r="BT184" s="493" t="e">
        <f t="shared" si="104"/>
        <v>#DIV/0!</v>
      </c>
      <c r="BU184" s="493" t="e">
        <f t="shared" si="105"/>
        <v>#DIV/0!</v>
      </c>
      <c r="BV184" s="493" t="e">
        <f t="shared" si="106"/>
        <v>#DIV/0!</v>
      </c>
      <c r="BW184" s="493" t="e">
        <f t="shared" si="107"/>
        <v>#DIV/0!</v>
      </c>
      <c r="BX184" s="493" t="e">
        <f t="shared" si="108"/>
        <v>#DIV/0!</v>
      </c>
      <c r="BY184" s="493" t="e">
        <f t="shared" si="109"/>
        <v>#DIV/0!</v>
      </c>
    </row>
    <row r="185" spans="1:77" s="28" customFormat="1" ht="9" customHeight="1">
      <c r="A185" s="278">
        <v>163</v>
      </c>
      <c r="B185" s="315" t="s">
        <v>1016</v>
      </c>
      <c r="C185" s="469">
        <v>1523.7</v>
      </c>
      <c r="D185" s="467"/>
      <c r="E185" s="317" t="s">
        <v>1006</v>
      </c>
      <c r="F185" s="384"/>
      <c r="G185" s="384"/>
      <c r="H185" s="320">
        <v>2690688</v>
      </c>
      <c r="I185" s="368">
        <f t="shared" ref="I185" si="134">J185+L185+N185+P185+R185+T185</f>
        <v>0</v>
      </c>
      <c r="J185" s="217">
        <v>0</v>
      </c>
      <c r="K185" s="469">
        <v>0</v>
      </c>
      <c r="L185" s="217">
        <v>0</v>
      </c>
      <c r="M185" s="469">
        <v>0</v>
      </c>
      <c r="N185" s="217">
        <v>0</v>
      </c>
      <c r="O185" s="249">
        <v>0</v>
      </c>
      <c r="P185" s="368">
        <v>0</v>
      </c>
      <c r="Q185" s="249">
        <v>0</v>
      </c>
      <c r="R185" s="368">
        <v>0</v>
      </c>
      <c r="S185" s="249">
        <v>0</v>
      </c>
      <c r="T185" s="368">
        <v>0</v>
      </c>
      <c r="U185" s="130">
        <v>0</v>
      </c>
      <c r="V185" s="368">
        <v>0</v>
      </c>
      <c r="W185" s="368">
        <v>832</v>
      </c>
      <c r="X185" s="368">
        <f t="shared" ref="X185:X187" si="135">ROUND(H185/100*95.5,2)</f>
        <v>2569607.04</v>
      </c>
      <c r="Y185" s="370">
        <v>0</v>
      </c>
      <c r="Z185" s="370">
        <v>0</v>
      </c>
      <c r="AA185" s="370">
        <v>0</v>
      </c>
      <c r="AB185" s="370">
        <v>0</v>
      </c>
      <c r="AC185" s="370">
        <v>0</v>
      </c>
      <c r="AD185" s="370">
        <v>0</v>
      </c>
      <c r="AE185" s="370">
        <v>0</v>
      </c>
      <c r="AF185" s="370">
        <v>0</v>
      </c>
      <c r="AG185" s="370">
        <v>0</v>
      </c>
      <c r="AH185" s="370">
        <v>0</v>
      </c>
      <c r="AI185" s="370">
        <v>0</v>
      </c>
      <c r="AJ185" s="370">
        <f t="shared" ref="AJ185:AJ187" si="136">ROUND(H185/100*3,2)</f>
        <v>80720.639999999999</v>
      </c>
      <c r="AK185" s="370">
        <f t="shared" ref="AK185:AK187" si="137">ROUND(H185/100*1.5,2)</f>
        <v>40360.32</v>
      </c>
      <c r="AL185" s="370">
        <v>0</v>
      </c>
      <c r="AM185" s="480"/>
      <c r="AN185" s="480"/>
      <c r="AP185" s="486" t="e">
        <f t="shared" si="85"/>
        <v>#DIV/0!</v>
      </c>
      <c r="AQ185" s="486" t="e">
        <f t="shared" si="88"/>
        <v>#DIV/0!</v>
      </c>
      <c r="AR185" s="486" t="e">
        <f t="shared" si="89"/>
        <v>#DIV/0!</v>
      </c>
      <c r="AS185" s="486" t="e">
        <f t="shared" si="90"/>
        <v>#DIV/0!</v>
      </c>
      <c r="AT185" s="486" t="e">
        <f t="shared" si="91"/>
        <v>#DIV/0!</v>
      </c>
      <c r="AU185" s="486" t="e">
        <f t="shared" si="92"/>
        <v>#DIV/0!</v>
      </c>
      <c r="AV185" s="486" t="e">
        <f t="shared" si="93"/>
        <v>#DIV/0!</v>
      </c>
      <c r="AW185" s="486">
        <f t="shared" si="94"/>
        <v>3088.4700000000003</v>
      </c>
      <c r="AX185" s="486" t="e">
        <f t="shared" si="95"/>
        <v>#DIV/0!</v>
      </c>
      <c r="AY185" s="486" t="e">
        <f t="shared" si="96"/>
        <v>#DIV/0!</v>
      </c>
      <c r="AZ185" s="486" t="e">
        <f t="shared" si="97"/>
        <v>#DIV/0!</v>
      </c>
      <c r="BA185" s="486">
        <f t="shared" si="86"/>
        <v>0</v>
      </c>
      <c r="BB185" s="494">
        <v>5155.41</v>
      </c>
      <c r="BC185" s="494">
        <v>2070.12</v>
      </c>
      <c r="BD185" s="494">
        <v>848.92</v>
      </c>
      <c r="BE185" s="494">
        <v>819.73</v>
      </c>
      <c r="BF185" s="494">
        <v>611.5</v>
      </c>
      <c r="BG185" s="494">
        <v>1080.04</v>
      </c>
      <c r="BH185" s="494">
        <v>2671800.0099999998</v>
      </c>
      <c r="BI185" s="494">
        <f t="shared" si="125"/>
        <v>4422.8500000000004</v>
      </c>
      <c r="BJ185" s="494">
        <v>14289.54</v>
      </c>
      <c r="BK185" s="494">
        <v>3389.61</v>
      </c>
      <c r="BL185" s="494">
        <v>5995.76</v>
      </c>
      <c r="BM185" s="494">
        <v>548.62</v>
      </c>
      <c r="BN185" s="495" t="e">
        <f t="shared" si="98"/>
        <v>#DIV/0!</v>
      </c>
      <c r="BO185" s="495" t="e">
        <f t="shared" si="99"/>
        <v>#DIV/0!</v>
      </c>
      <c r="BP185" s="495" t="e">
        <f t="shared" si="100"/>
        <v>#DIV/0!</v>
      </c>
      <c r="BQ185" s="495" t="e">
        <f t="shared" si="101"/>
        <v>#DIV/0!</v>
      </c>
      <c r="BR185" s="495" t="e">
        <f t="shared" si="102"/>
        <v>#DIV/0!</v>
      </c>
      <c r="BS185" s="495" t="e">
        <f t="shared" si="103"/>
        <v>#DIV/0!</v>
      </c>
      <c r="BT185" s="495" t="e">
        <f t="shared" si="104"/>
        <v>#DIV/0!</v>
      </c>
      <c r="BU185" s="495" t="str">
        <f t="shared" si="105"/>
        <v xml:space="preserve"> </v>
      </c>
      <c r="BV185" s="495" t="e">
        <f t="shared" si="106"/>
        <v>#DIV/0!</v>
      </c>
      <c r="BW185" s="495" t="e">
        <f t="shared" si="107"/>
        <v>#DIV/0!</v>
      </c>
      <c r="BX185" s="495" t="e">
        <f t="shared" si="108"/>
        <v>#DIV/0!</v>
      </c>
      <c r="BY185" s="495" t="str">
        <f t="shared" si="109"/>
        <v xml:space="preserve"> </v>
      </c>
    </row>
    <row r="186" spans="1:77" s="28" customFormat="1" ht="9" customHeight="1">
      <c r="A186" s="278">
        <v>164</v>
      </c>
      <c r="B186" s="315" t="s">
        <v>1018</v>
      </c>
      <c r="C186" s="469">
        <v>848.3</v>
      </c>
      <c r="D186" s="467"/>
      <c r="E186" s="317" t="s">
        <v>1006</v>
      </c>
      <c r="F186" s="384"/>
      <c r="G186" s="384"/>
      <c r="H186" s="320">
        <v>2461074</v>
      </c>
      <c r="I186" s="368">
        <f t="shared" ref="I186:I187" si="138">J186+L186+N186+P186+R186+T186</f>
        <v>0</v>
      </c>
      <c r="J186" s="217">
        <v>0</v>
      </c>
      <c r="K186" s="469">
        <v>0</v>
      </c>
      <c r="L186" s="217">
        <v>0</v>
      </c>
      <c r="M186" s="469">
        <v>0</v>
      </c>
      <c r="N186" s="217">
        <v>0</v>
      </c>
      <c r="O186" s="249">
        <v>0</v>
      </c>
      <c r="P186" s="368">
        <v>0</v>
      </c>
      <c r="Q186" s="249">
        <v>0</v>
      </c>
      <c r="R186" s="368">
        <v>0</v>
      </c>
      <c r="S186" s="249">
        <v>0</v>
      </c>
      <c r="T186" s="368">
        <v>0</v>
      </c>
      <c r="U186" s="130">
        <v>0</v>
      </c>
      <c r="V186" s="368">
        <v>0</v>
      </c>
      <c r="W186" s="368">
        <v>761</v>
      </c>
      <c r="X186" s="368">
        <f t="shared" si="135"/>
        <v>2350325.67</v>
      </c>
      <c r="Y186" s="370">
        <v>0</v>
      </c>
      <c r="Z186" s="370">
        <v>0</v>
      </c>
      <c r="AA186" s="370">
        <v>0</v>
      </c>
      <c r="AB186" s="370">
        <v>0</v>
      </c>
      <c r="AC186" s="370">
        <v>0</v>
      </c>
      <c r="AD186" s="370">
        <v>0</v>
      </c>
      <c r="AE186" s="370">
        <v>0</v>
      </c>
      <c r="AF186" s="370">
        <v>0</v>
      </c>
      <c r="AG186" s="370">
        <v>0</v>
      </c>
      <c r="AH186" s="370">
        <v>0</v>
      </c>
      <c r="AI186" s="370">
        <v>0</v>
      </c>
      <c r="AJ186" s="370">
        <f t="shared" si="136"/>
        <v>73832.22</v>
      </c>
      <c r="AK186" s="370">
        <f t="shared" si="137"/>
        <v>36916.11</v>
      </c>
      <c r="AL186" s="370">
        <v>0</v>
      </c>
      <c r="AM186" s="480"/>
      <c r="AN186" s="480"/>
      <c r="AP186" s="486" t="e">
        <f t="shared" si="85"/>
        <v>#DIV/0!</v>
      </c>
      <c r="AQ186" s="486" t="e">
        <f t="shared" si="88"/>
        <v>#DIV/0!</v>
      </c>
      <c r="AR186" s="486" t="e">
        <f t="shared" si="89"/>
        <v>#DIV/0!</v>
      </c>
      <c r="AS186" s="486" t="e">
        <f t="shared" si="90"/>
        <v>#DIV/0!</v>
      </c>
      <c r="AT186" s="486" t="e">
        <f t="shared" si="91"/>
        <v>#DIV/0!</v>
      </c>
      <c r="AU186" s="486" t="e">
        <f t="shared" si="92"/>
        <v>#DIV/0!</v>
      </c>
      <c r="AV186" s="486" t="e">
        <f t="shared" si="93"/>
        <v>#DIV/0!</v>
      </c>
      <c r="AW186" s="486">
        <f t="shared" si="94"/>
        <v>3088.47</v>
      </c>
      <c r="AX186" s="486" t="e">
        <f t="shared" si="95"/>
        <v>#DIV/0!</v>
      </c>
      <c r="AY186" s="486" t="e">
        <f t="shared" si="96"/>
        <v>#DIV/0!</v>
      </c>
      <c r="AZ186" s="486" t="e">
        <f t="shared" si="97"/>
        <v>#DIV/0!</v>
      </c>
      <c r="BA186" s="486">
        <f t="shared" si="86"/>
        <v>0</v>
      </c>
      <c r="BB186" s="494">
        <v>5155.41</v>
      </c>
      <c r="BC186" s="494">
        <v>2070.12</v>
      </c>
      <c r="BD186" s="494">
        <v>848.92</v>
      </c>
      <c r="BE186" s="494">
        <v>819.73</v>
      </c>
      <c r="BF186" s="494">
        <v>611.5</v>
      </c>
      <c r="BG186" s="494">
        <v>1080.04</v>
      </c>
      <c r="BH186" s="494">
        <v>2671800.0099999998</v>
      </c>
      <c r="BI186" s="494">
        <f t="shared" si="125"/>
        <v>4422.8500000000004</v>
      </c>
      <c r="BJ186" s="494">
        <v>14289.54</v>
      </c>
      <c r="BK186" s="494">
        <v>3389.61</v>
      </c>
      <c r="BL186" s="494">
        <v>5995.76</v>
      </c>
      <c r="BM186" s="494">
        <v>548.62</v>
      </c>
      <c r="BN186" s="495" t="e">
        <f t="shared" si="98"/>
        <v>#DIV/0!</v>
      </c>
      <c r="BO186" s="495" t="e">
        <f t="shared" si="99"/>
        <v>#DIV/0!</v>
      </c>
      <c r="BP186" s="495" t="e">
        <f t="shared" si="100"/>
        <v>#DIV/0!</v>
      </c>
      <c r="BQ186" s="495" t="e">
        <f t="shared" si="101"/>
        <v>#DIV/0!</v>
      </c>
      <c r="BR186" s="495" t="e">
        <f t="shared" si="102"/>
        <v>#DIV/0!</v>
      </c>
      <c r="BS186" s="495" t="e">
        <f t="shared" si="103"/>
        <v>#DIV/0!</v>
      </c>
      <c r="BT186" s="495" t="e">
        <f t="shared" si="104"/>
        <v>#DIV/0!</v>
      </c>
      <c r="BU186" s="495" t="str">
        <f t="shared" si="105"/>
        <v xml:space="preserve"> </v>
      </c>
      <c r="BV186" s="495" t="e">
        <f t="shared" si="106"/>
        <v>#DIV/0!</v>
      </c>
      <c r="BW186" s="495" t="e">
        <f t="shared" si="107"/>
        <v>#DIV/0!</v>
      </c>
      <c r="BX186" s="495" t="e">
        <f t="shared" si="108"/>
        <v>#DIV/0!</v>
      </c>
      <c r="BY186" s="495" t="str">
        <f t="shared" si="109"/>
        <v xml:space="preserve"> </v>
      </c>
    </row>
    <row r="187" spans="1:77" s="28" customFormat="1" ht="9" customHeight="1">
      <c r="A187" s="278">
        <v>165</v>
      </c>
      <c r="B187" s="315" t="s">
        <v>1017</v>
      </c>
      <c r="C187" s="469">
        <v>2440.6</v>
      </c>
      <c r="D187" s="467"/>
      <c r="E187" s="317" t="s">
        <v>1005</v>
      </c>
      <c r="F187" s="384"/>
      <c r="G187" s="384"/>
      <c r="H187" s="320">
        <v>2040408</v>
      </c>
      <c r="I187" s="368">
        <f t="shared" si="138"/>
        <v>0</v>
      </c>
      <c r="J187" s="217">
        <v>0</v>
      </c>
      <c r="K187" s="469">
        <v>0</v>
      </c>
      <c r="L187" s="217">
        <v>0</v>
      </c>
      <c r="M187" s="469">
        <v>0</v>
      </c>
      <c r="N187" s="217">
        <v>0</v>
      </c>
      <c r="O187" s="249">
        <v>0</v>
      </c>
      <c r="P187" s="368">
        <v>0</v>
      </c>
      <c r="Q187" s="249">
        <v>0</v>
      </c>
      <c r="R187" s="368">
        <v>0</v>
      </c>
      <c r="S187" s="249">
        <v>0</v>
      </c>
      <c r="T187" s="368">
        <v>0</v>
      </c>
      <c r="U187" s="130">
        <v>0</v>
      </c>
      <c r="V187" s="368">
        <v>0</v>
      </c>
      <c r="W187" s="368">
        <v>612</v>
      </c>
      <c r="X187" s="368">
        <f t="shared" si="135"/>
        <v>1948589.64</v>
      </c>
      <c r="Y187" s="370">
        <v>0</v>
      </c>
      <c r="Z187" s="370">
        <v>0</v>
      </c>
      <c r="AA187" s="370">
        <v>0</v>
      </c>
      <c r="AB187" s="370">
        <v>0</v>
      </c>
      <c r="AC187" s="370">
        <v>0</v>
      </c>
      <c r="AD187" s="370">
        <v>0</v>
      </c>
      <c r="AE187" s="370">
        <v>0</v>
      </c>
      <c r="AF187" s="370">
        <v>0</v>
      </c>
      <c r="AG187" s="370">
        <v>0</v>
      </c>
      <c r="AH187" s="370">
        <v>0</v>
      </c>
      <c r="AI187" s="370">
        <v>0</v>
      </c>
      <c r="AJ187" s="370">
        <f t="shared" si="136"/>
        <v>61212.24</v>
      </c>
      <c r="AK187" s="370">
        <f t="shared" si="137"/>
        <v>30606.12</v>
      </c>
      <c r="AL187" s="370">
        <v>0</v>
      </c>
      <c r="AM187" s="480"/>
      <c r="AN187" s="480"/>
      <c r="AP187" s="486" t="e">
        <f t="shared" si="85"/>
        <v>#DIV/0!</v>
      </c>
      <c r="AQ187" s="486" t="e">
        <f t="shared" si="88"/>
        <v>#DIV/0!</v>
      </c>
      <c r="AR187" s="486" t="e">
        <f t="shared" si="89"/>
        <v>#DIV/0!</v>
      </c>
      <c r="AS187" s="486" t="e">
        <f t="shared" si="90"/>
        <v>#DIV/0!</v>
      </c>
      <c r="AT187" s="486" t="e">
        <f t="shared" si="91"/>
        <v>#DIV/0!</v>
      </c>
      <c r="AU187" s="486" t="e">
        <f t="shared" si="92"/>
        <v>#DIV/0!</v>
      </c>
      <c r="AV187" s="486" t="e">
        <f t="shared" si="93"/>
        <v>#DIV/0!</v>
      </c>
      <c r="AW187" s="486">
        <f t="shared" si="94"/>
        <v>3183.97</v>
      </c>
      <c r="AX187" s="486" t="e">
        <f t="shared" si="95"/>
        <v>#DIV/0!</v>
      </c>
      <c r="AY187" s="486" t="e">
        <f t="shared" si="96"/>
        <v>#DIV/0!</v>
      </c>
      <c r="AZ187" s="486" t="e">
        <f t="shared" si="97"/>
        <v>#DIV/0!</v>
      </c>
      <c r="BA187" s="486">
        <f t="shared" si="86"/>
        <v>0</v>
      </c>
      <c r="BB187" s="494">
        <v>5155.41</v>
      </c>
      <c r="BC187" s="494">
        <v>2070.12</v>
      </c>
      <c r="BD187" s="494">
        <v>848.92</v>
      </c>
      <c r="BE187" s="494">
        <v>819.73</v>
      </c>
      <c r="BF187" s="494">
        <v>611.5</v>
      </c>
      <c r="BG187" s="494">
        <v>1080.04</v>
      </c>
      <c r="BH187" s="494">
        <v>2671800.0099999998</v>
      </c>
      <c r="BI187" s="494">
        <f t="shared" si="125"/>
        <v>4607.6000000000004</v>
      </c>
      <c r="BJ187" s="494">
        <v>14289.54</v>
      </c>
      <c r="BK187" s="494">
        <v>3389.61</v>
      </c>
      <c r="BL187" s="494">
        <v>5995.76</v>
      </c>
      <c r="BM187" s="494">
        <v>548.62</v>
      </c>
      <c r="BN187" s="495" t="e">
        <f t="shared" si="98"/>
        <v>#DIV/0!</v>
      </c>
      <c r="BO187" s="495" t="e">
        <f t="shared" si="99"/>
        <v>#DIV/0!</v>
      </c>
      <c r="BP187" s="495" t="e">
        <f t="shared" si="100"/>
        <v>#DIV/0!</v>
      </c>
      <c r="BQ187" s="495" t="e">
        <f t="shared" si="101"/>
        <v>#DIV/0!</v>
      </c>
      <c r="BR187" s="495" t="e">
        <f t="shared" si="102"/>
        <v>#DIV/0!</v>
      </c>
      <c r="BS187" s="495" t="e">
        <f t="shared" si="103"/>
        <v>#DIV/0!</v>
      </c>
      <c r="BT187" s="495" t="e">
        <f t="shared" si="104"/>
        <v>#DIV/0!</v>
      </c>
      <c r="BU187" s="495" t="str">
        <f t="shared" si="105"/>
        <v xml:space="preserve"> </v>
      </c>
      <c r="BV187" s="495" t="e">
        <f t="shared" si="106"/>
        <v>#DIV/0!</v>
      </c>
      <c r="BW187" s="495" t="e">
        <f t="shared" si="107"/>
        <v>#DIV/0!</v>
      </c>
      <c r="BX187" s="495" t="e">
        <f t="shared" si="108"/>
        <v>#DIV/0!</v>
      </c>
      <c r="BY187" s="495" t="str">
        <f t="shared" si="109"/>
        <v xml:space="preserve"> </v>
      </c>
    </row>
    <row r="188" spans="1:77" s="28" customFormat="1" ht="21.75" customHeight="1">
      <c r="A188" s="954" t="s">
        <v>426</v>
      </c>
      <c r="B188" s="954"/>
      <c r="C188" s="368">
        <f>SUM(C185:C187)</f>
        <v>4812.6000000000004</v>
      </c>
      <c r="D188" s="431" t="s">
        <v>391</v>
      </c>
      <c r="E188" s="278" t="s">
        <v>391</v>
      </c>
      <c r="F188" s="363"/>
      <c r="G188" s="363"/>
      <c r="H188" s="368">
        <f>SUM(H185:H187)</f>
        <v>7192170</v>
      </c>
      <c r="I188" s="368">
        <f t="shared" ref="I188:AL188" si="139">SUM(I185:I187)</f>
        <v>0</v>
      </c>
      <c r="J188" s="368">
        <f t="shared" si="139"/>
        <v>0</v>
      </c>
      <c r="K188" s="368">
        <f t="shared" si="139"/>
        <v>0</v>
      </c>
      <c r="L188" s="368">
        <f t="shared" si="139"/>
        <v>0</v>
      </c>
      <c r="M188" s="368">
        <f t="shared" si="139"/>
        <v>0</v>
      </c>
      <c r="N188" s="368">
        <f t="shared" si="139"/>
        <v>0</v>
      </c>
      <c r="O188" s="368">
        <f t="shared" si="139"/>
        <v>0</v>
      </c>
      <c r="P188" s="368">
        <f t="shared" si="139"/>
        <v>0</v>
      </c>
      <c r="Q188" s="368">
        <f t="shared" si="139"/>
        <v>0</v>
      </c>
      <c r="R188" s="368">
        <f t="shared" si="139"/>
        <v>0</v>
      </c>
      <c r="S188" s="368">
        <f t="shared" si="139"/>
        <v>0</v>
      </c>
      <c r="T188" s="368">
        <f t="shared" si="139"/>
        <v>0</v>
      </c>
      <c r="U188" s="130">
        <f t="shared" si="139"/>
        <v>0</v>
      </c>
      <c r="V188" s="368">
        <f t="shared" si="139"/>
        <v>0</v>
      </c>
      <c r="W188" s="368">
        <f t="shared" si="139"/>
        <v>2205</v>
      </c>
      <c r="X188" s="368">
        <f t="shared" si="139"/>
        <v>6868522.3499999996</v>
      </c>
      <c r="Y188" s="368">
        <f t="shared" si="139"/>
        <v>0</v>
      </c>
      <c r="Z188" s="368">
        <f t="shared" si="139"/>
        <v>0</v>
      </c>
      <c r="AA188" s="368">
        <f t="shared" si="139"/>
        <v>0</v>
      </c>
      <c r="AB188" s="368">
        <f t="shared" si="139"/>
        <v>0</v>
      </c>
      <c r="AC188" s="368">
        <f t="shared" si="139"/>
        <v>0</v>
      </c>
      <c r="AD188" s="368">
        <f t="shared" si="139"/>
        <v>0</v>
      </c>
      <c r="AE188" s="368">
        <f t="shared" si="139"/>
        <v>0</v>
      </c>
      <c r="AF188" s="368">
        <f t="shared" si="139"/>
        <v>0</v>
      </c>
      <c r="AG188" s="368">
        <f t="shared" si="139"/>
        <v>0</v>
      </c>
      <c r="AH188" s="368">
        <f t="shared" si="139"/>
        <v>0</v>
      </c>
      <c r="AI188" s="368">
        <f t="shared" si="139"/>
        <v>0</v>
      </c>
      <c r="AJ188" s="368">
        <f t="shared" si="139"/>
        <v>215765.09999999998</v>
      </c>
      <c r="AK188" s="368">
        <f t="shared" si="139"/>
        <v>107882.54999999999</v>
      </c>
      <c r="AL188" s="368">
        <f t="shared" si="139"/>
        <v>0</v>
      </c>
      <c r="AM188" s="280"/>
      <c r="AN188" s="280"/>
      <c r="AP188" s="486" t="e">
        <f t="shared" si="85"/>
        <v>#VALUE!</v>
      </c>
      <c r="AQ188" s="486" t="e">
        <f t="shared" si="88"/>
        <v>#DIV/0!</v>
      </c>
      <c r="AR188" s="497" t="e">
        <f t="shared" si="89"/>
        <v>#DIV/0!</v>
      </c>
      <c r="AS188" s="497" t="e">
        <f t="shared" si="90"/>
        <v>#DIV/0!</v>
      </c>
      <c r="AT188" s="497" t="e">
        <f t="shared" si="91"/>
        <v>#DIV/0!</v>
      </c>
      <c r="AU188" s="497" t="e">
        <f t="shared" si="92"/>
        <v>#DIV/0!</v>
      </c>
      <c r="AV188" s="497" t="e">
        <f t="shared" si="93"/>
        <v>#DIV/0!</v>
      </c>
      <c r="AW188" s="497">
        <f t="shared" si="94"/>
        <v>3114.9761224489794</v>
      </c>
      <c r="AX188" s="497" t="e">
        <f t="shared" si="95"/>
        <v>#DIV/0!</v>
      </c>
      <c r="AY188" s="486" t="e">
        <f t="shared" si="96"/>
        <v>#DIV/0!</v>
      </c>
      <c r="AZ188" s="497" t="e">
        <f t="shared" si="97"/>
        <v>#DIV/0!</v>
      </c>
      <c r="BA188" s="486">
        <f t="shared" si="86"/>
        <v>0</v>
      </c>
      <c r="BB188" s="494">
        <v>5155.41</v>
      </c>
      <c r="BC188" s="494">
        <v>2070.12</v>
      </c>
      <c r="BD188" s="494">
        <v>848.92</v>
      </c>
      <c r="BE188" s="494">
        <v>819.73</v>
      </c>
      <c r="BF188" s="494">
        <v>611.5</v>
      </c>
      <c r="BG188" s="494">
        <v>1080.04</v>
      </c>
      <c r="BH188" s="494">
        <v>2671800.0099999998</v>
      </c>
      <c r="BI188" s="494">
        <f t="shared" si="125"/>
        <v>4422.8500000000004</v>
      </c>
      <c r="BJ188" s="494">
        <v>14289.54</v>
      </c>
      <c r="BK188" s="494">
        <v>3389.61</v>
      </c>
      <c r="BL188" s="494">
        <v>5995.76</v>
      </c>
      <c r="BM188" s="494">
        <v>548.62</v>
      </c>
      <c r="BN188" s="493" t="e">
        <f t="shared" si="98"/>
        <v>#VALUE!</v>
      </c>
      <c r="BO188" s="493" t="e">
        <f t="shared" si="99"/>
        <v>#DIV/0!</v>
      </c>
      <c r="BP188" s="493" t="e">
        <f t="shared" si="100"/>
        <v>#DIV/0!</v>
      </c>
      <c r="BQ188" s="493" t="e">
        <f t="shared" si="101"/>
        <v>#DIV/0!</v>
      </c>
      <c r="BR188" s="493" t="e">
        <f t="shared" si="102"/>
        <v>#DIV/0!</v>
      </c>
      <c r="BS188" s="493" t="e">
        <f t="shared" si="103"/>
        <v>#DIV/0!</v>
      </c>
      <c r="BT188" s="493" t="e">
        <f t="shared" si="104"/>
        <v>#DIV/0!</v>
      </c>
      <c r="BU188" s="493" t="str">
        <f t="shared" si="105"/>
        <v xml:space="preserve"> </v>
      </c>
      <c r="BV188" s="493" t="e">
        <f t="shared" si="106"/>
        <v>#DIV/0!</v>
      </c>
      <c r="BW188" s="493" t="e">
        <f t="shared" si="107"/>
        <v>#DIV/0!</v>
      </c>
      <c r="BX188" s="493" t="e">
        <f t="shared" si="108"/>
        <v>#DIV/0!</v>
      </c>
      <c r="BY188" s="493" t="str">
        <f t="shared" si="109"/>
        <v xml:space="preserve"> </v>
      </c>
    </row>
    <row r="189" spans="1:77" s="28" customFormat="1" ht="12" customHeight="1">
      <c r="A189" s="837" t="s">
        <v>251</v>
      </c>
      <c r="B189" s="838"/>
      <c r="C189" s="838"/>
      <c r="D189" s="838"/>
      <c r="E189" s="838"/>
      <c r="F189" s="838"/>
      <c r="G189" s="838"/>
      <c r="H189" s="838"/>
      <c r="I189" s="838"/>
      <c r="J189" s="838"/>
      <c r="K189" s="838"/>
      <c r="L189" s="838"/>
      <c r="M189" s="838"/>
      <c r="N189" s="838"/>
      <c r="O189" s="838"/>
      <c r="P189" s="838"/>
      <c r="Q189" s="838"/>
      <c r="R189" s="838"/>
      <c r="S189" s="838"/>
      <c r="T189" s="838"/>
      <c r="U189" s="838"/>
      <c r="V189" s="838"/>
      <c r="W189" s="838"/>
      <c r="X189" s="838"/>
      <c r="Y189" s="838"/>
      <c r="Z189" s="838"/>
      <c r="AA189" s="838"/>
      <c r="AB189" s="838"/>
      <c r="AC189" s="838"/>
      <c r="AD189" s="838"/>
      <c r="AE189" s="838"/>
      <c r="AF189" s="838"/>
      <c r="AG189" s="838"/>
      <c r="AH189" s="838"/>
      <c r="AI189" s="838"/>
      <c r="AJ189" s="838"/>
      <c r="AK189" s="838"/>
      <c r="AL189" s="838"/>
      <c r="AM189" s="838"/>
      <c r="AN189" s="839"/>
      <c r="AP189" s="486" t="e">
        <f t="shared" si="85"/>
        <v>#DIV/0!</v>
      </c>
      <c r="AQ189" s="486" t="e">
        <f t="shared" si="88"/>
        <v>#DIV/0!</v>
      </c>
      <c r="AR189" s="497" t="e">
        <f t="shared" si="89"/>
        <v>#DIV/0!</v>
      </c>
      <c r="AS189" s="497" t="e">
        <f t="shared" si="90"/>
        <v>#DIV/0!</v>
      </c>
      <c r="AT189" s="497" t="e">
        <f t="shared" si="91"/>
        <v>#DIV/0!</v>
      </c>
      <c r="AU189" s="497" t="e">
        <f t="shared" si="92"/>
        <v>#DIV/0!</v>
      </c>
      <c r="AV189" s="497" t="e">
        <f t="shared" si="93"/>
        <v>#DIV/0!</v>
      </c>
      <c r="AW189" s="497" t="e">
        <f t="shared" si="94"/>
        <v>#DIV/0!</v>
      </c>
      <c r="AX189" s="497" t="e">
        <f t="shared" si="95"/>
        <v>#DIV/0!</v>
      </c>
      <c r="AY189" s="486" t="e">
        <f t="shared" si="96"/>
        <v>#DIV/0!</v>
      </c>
      <c r="AZ189" s="497" t="e">
        <f t="shared" si="97"/>
        <v>#DIV/0!</v>
      </c>
      <c r="BA189" s="486" t="e">
        <f t="shared" si="86"/>
        <v>#DIV/0!</v>
      </c>
      <c r="BB189" s="494">
        <v>5155.41</v>
      </c>
      <c r="BC189" s="494">
        <v>2070.12</v>
      </c>
      <c r="BD189" s="494">
        <v>848.92</v>
      </c>
      <c r="BE189" s="494">
        <v>819.73</v>
      </c>
      <c r="BF189" s="494">
        <v>611.5</v>
      </c>
      <c r="BG189" s="494">
        <v>1080.04</v>
      </c>
      <c r="BH189" s="494">
        <v>2671800.0099999998</v>
      </c>
      <c r="BI189" s="494">
        <f t="shared" si="125"/>
        <v>4422.8500000000004</v>
      </c>
      <c r="BJ189" s="494">
        <v>14289.54</v>
      </c>
      <c r="BK189" s="494">
        <v>3389.61</v>
      </c>
      <c r="BL189" s="494">
        <v>5995.76</v>
      </c>
      <c r="BM189" s="494">
        <v>548.62</v>
      </c>
      <c r="BN189" s="493" t="e">
        <f t="shared" si="98"/>
        <v>#DIV/0!</v>
      </c>
      <c r="BO189" s="493" t="e">
        <f t="shared" si="99"/>
        <v>#DIV/0!</v>
      </c>
      <c r="BP189" s="493" t="e">
        <f t="shared" si="100"/>
        <v>#DIV/0!</v>
      </c>
      <c r="BQ189" s="493" t="e">
        <f t="shared" si="101"/>
        <v>#DIV/0!</v>
      </c>
      <c r="BR189" s="493" t="e">
        <f t="shared" si="102"/>
        <v>#DIV/0!</v>
      </c>
      <c r="BS189" s="493" t="e">
        <f t="shared" si="103"/>
        <v>#DIV/0!</v>
      </c>
      <c r="BT189" s="493" t="e">
        <f t="shared" si="104"/>
        <v>#DIV/0!</v>
      </c>
      <c r="BU189" s="493" t="e">
        <f t="shared" si="105"/>
        <v>#DIV/0!</v>
      </c>
      <c r="BV189" s="493" t="e">
        <f t="shared" si="106"/>
        <v>#DIV/0!</v>
      </c>
      <c r="BW189" s="493" t="e">
        <f t="shared" si="107"/>
        <v>#DIV/0!</v>
      </c>
      <c r="BX189" s="493" t="e">
        <f t="shared" si="108"/>
        <v>#DIV/0!</v>
      </c>
      <c r="BY189" s="493" t="e">
        <f t="shared" si="109"/>
        <v>#DIV/0!</v>
      </c>
    </row>
    <row r="190" spans="1:77" s="28" customFormat="1" ht="9" customHeight="1">
      <c r="A190" s="278">
        <v>166</v>
      </c>
      <c r="B190" s="321" t="s">
        <v>789</v>
      </c>
      <c r="C190" s="471">
        <v>3227.4</v>
      </c>
      <c r="D190" s="376"/>
      <c r="E190" s="394" t="s">
        <v>1006</v>
      </c>
      <c r="F190" s="395"/>
      <c r="G190" s="395"/>
      <c r="H190" s="325">
        <v>3880800</v>
      </c>
      <c r="I190" s="368">
        <f t="shared" ref="I190" si="140">J190+L190+N190+P190+R190+T190</f>
        <v>0</v>
      </c>
      <c r="J190" s="217">
        <v>0</v>
      </c>
      <c r="K190" s="469">
        <v>0</v>
      </c>
      <c r="L190" s="217">
        <v>0</v>
      </c>
      <c r="M190" s="469">
        <v>0</v>
      </c>
      <c r="N190" s="217">
        <v>0</v>
      </c>
      <c r="O190" s="249">
        <v>0</v>
      </c>
      <c r="P190" s="368">
        <v>0</v>
      </c>
      <c r="Q190" s="249">
        <v>0</v>
      </c>
      <c r="R190" s="368">
        <v>0</v>
      </c>
      <c r="S190" s="249">
        <v>0</v>
      </c>
      <c r="T190" s="368">
        <v>0</v>
      </c>
      <c r="U190" s="130">
        <v>0</v>
      </c>
      <c r="V190" s="368">
        <v>0</v>
      </c>
      <c r="W190" s="368">
        <v>1200</v>
      </c>
      <c r="X190" s="368">
        <f t="shared" ref="X190" si="141">ROUND(H190/100*95.5,2)</f>
        <v>3706164</v>
      </c>
      <c r="Y190" s="370">
        <v>0</v>
      </c>
      <c r="Z190" s="370">
        <v>0</v>
      </c>
      <c r="AA190" s="370">
        <v>0</v>
      </c>
      <c r="AB190" s="370">
        <v>0</v>
      </c>
      <c r="AC190" s="370">
        <v>0</v>
      </c>
      <c r="AD190" s="370">
        <v>0</v>
      </c>
      <c r="AE190" s="370">
        <v>0</v>
      </c>
      <c r="AF190" s="370">
        <v>0</v>
      </c>
      <c r="AG190" s="370">
        <v>0</v>
      </c>
      <c r="AH190" s="370">
        <v>0</v>
      </c>
      <c r="AI190" s="370">
        <v>0</v>
      </c>
      <c r="AJ190" s="370">
        <f t="shared" ref="AJ190" si="142">ROUND(H190/100*3,2)</f>
        <v>116424</v>
      </c>
      <c r="AK190" s="370">
        <f t="shared" ref="AK190" si="143">ROUND(H190/100*1.5,2)</f>
        <v>58212</v>
      </c>
      <c r="AL190" s="370">
        <v>0</v>
      </c>
      <c r="AM190" s="229"/>
      <c r="AN190" s="229"/>
      <c r="AP190" s="486" t="e">
        <f t="shared" si="85"/>
        <v>#DIV/0!</v>
      </c>
      <c r="AQ190" s="486" t="e">
        <f t="shared" si="88"/>
        <v>#DIV/0!</v>
      </c>
      <c r="AR190" s="486" t="e">
        <f t="shared" si="89"/>
        <v>#DIV/0!</v>
      </c>
      <c r="AS190" s="486" t="e">
        <f t="shared" si="90"/>
        <v>#DIV/0!</v>
      </c>
      <c r="AT190" s="486" t="e">
        <f t="shared" si="91"/>
        <v>#DIV/0!</v>
      </c>
      <c r="AU190" s="486" t="e">
        <f t="shared" si="92"/>
        <v>#DIV/0!</v>
      </c>
      <c r="AV190" s="486" t="e">
        <f t="shared" si="93"/>
        <v>#DIV/0!</v>
      </c>
      <c r="AW190" s="486">
        <f t="shared" si="94"/>
        <v>3088.47</v>
      </c>
      <c r="AX190" s="486" t="e">
        <f t="shared" si="95"/>
        <v>#DIV/0!</v>
      </c>
      <c r="AY190" s="486" t="e">
        <f t="shared" si="96"/>
        <v>#DIV/0!</v>
      </c>
      <c r="AZ190" s="486" t="e">
        <f t="shared" si="97"/>
        <v>#DIV/0!</v>
      </c>
      <c r="BA190" s="486">
        <f t="shared" si="86"/>
        <v>0</v>
      </c>
      <c r="BB190" s="494">
        <v>5155.41</v>
      </c>
      <c r="BC190" s="494">
        <v>2070.12</v>
      </c>
      <c r="BD190" s="494">
        <v>848.92</v>
      </c>
      <c r="BE190" s="494">
        <v>819.73</v>
      </c>
      <c r="BF190" s="494">
        <v>611.5</v>
      </c>
      <c r="BG190" s="494">
        <v>1080.04</v>
      </c>
      <c r="BH190" s="494">
        <v>2671800.0099999998</v>
      </c>
      <c r="BI190" s="494">
        <f t="shared" si="125"/>
        <v>4422.8500000000004</v>
      </c>
      <c r="BJ190" s="494">
        <v>14289.54</v>
      </c>
      <c r="BK190" s="494">
        <v>3389.61</v>
      </c>
      <c r="BL190" s="494">
        <v>5995.76</v>
      </c>
      <c r="BM190" s="494">
        <v>548.62</v>
      </c>
      <c r="BN190" s="495" t="e">
        <f t="shared" si="98"/>
        <v>#DIV/0!</v>
      </c>
      <c r="BO190" s="495" t="e">
        <f t="shared" si="99"/>
        <v>#DIV/0!</v>
      </c>
      <c r="BP190" s="495" t="e">
        <f t="shared" si="100"/>
        <v>#DIV/0!</v>
      </c>
      <c r="BQ190" s="495" t="e">
        <f t="shared" si="101"/>
        <v>#DIV/0!</v>
      </c>
      <c r="BR190" s="495" t="e">
        <f t="shared" si="102"/>
        <v>#DIV/0!</v>
      </c>
      <c r="BS190" s="495" t="e">
        <f t="shared" si="103"/>
        <v>#DIV/0!</v>
      </c>
      <c r="BT190" s="495" t="e">
        <f t="shared" si="104"/>
        <v>#DIV/0!</v>
      </c>
      <c r="BU190" s="495" t="str">
        <f t="shared" si="105"/>
        <v xml:space="preserve"> </v>
      </c>
      <c r="BV190" s="495" t="e">
        <f t="shared" si="106"/>
        <v>#DIV/0!</v>
      </c>
      <c r="BW190" s="495" t="e">
        <f t="shared" si="107"/>
        <v>#DIV/0!</v>
      </c>
      <c r="BX190" s="495" t="e">
        <f t="shared" si="108"/>
        <v>#DIV/0!</v>
      </c>
      <c r="BY190" s="495" t="str">
        <f t="shared" si="109"/>
        <v xml:space="preserve"> </v>
      </c>
    </row>
    <row r="191" spans="1:77" s="28" customFormat="1" ht="9" customHeight="1">
      <c r="A191" s="278">
        <v>167</v>
      </c>
      <c r="B191" s="321" t="s">
        <v>790</v>
      </c>
      <c r="C191" s="471">
        <v>1975.9</v>
      </c>
      <c r="D191" s="376"/>
      <c r="E191" s="394" t="s">
        <v>1006</v>
      </c>
      <c r="F191" s="395"/>
      <c r="G191" s="395"/>
      <c r="H191" s="325">
        <v>3880800</v>
      </c>
      <c r="I191" s="368">
        <f t="shared" ref="I191:I196" si="144">J191+L191+N191+P191+R191+T191</f>
        <v>0</v>
      </c>
      <c r="J191" s="217">
        <v>0</v>
      </c>
      <c r="K191" s="469">
        <v>0</v>
      </c>
      <c r="L191" s="217">
        <v>0</v>
      </c>
      <c r="M191" s="469">
        <v>0</v>
      </c>
      <c r="N191" s="217">
        <v>0</v>
      </c>
      <c r="O191" s="249">
        <v>0</v>
      </c>
      <c r="P191" s="368">
        <v>0</v>
      </c>
      <c r="Q191" s="249">
        <v>0</v>
      </c>
      <c r="R191" s="368">
        <v>0</v>
      </c>
      <c r="S191" s="249">
        <v>0</v>
      </c>
      <c r="T191" s="368">
        <v>0</v>
      </c>
      <c r="U191" s="130">
        <v>0</v>
      </c>
      <c r="V191" s="368">
        <v>0</v>
      </c>
      <c r="W191" s="368">
        <v>1200</v>
      </c>
      <c r="X191" s="368">
        <f>ROUND(H191/100*95.5,2)</f>
        <v>3706164</v>
      </c>
      <c r="Y191" s="370">
        <v>0</v>
      </c>
      <c r="Z191" s="370">
        <v>0</v>
      </c>
      <c r="AA191" s="370">
        <v>0</v>
      </c>
      <c r="AB191" s="370">
        <v>0</v>
      </c>
      <c r="AC191" s="370">
        <v>0</v>
      </c>
      <c r="AD191" s="370">
        <v>0</v>
      </c>
      <c r="AE191" s="370">
        <v>0</v>
      </c>
      <c r="AF191" s="370">
        <v>0</v>
      </c>
      <c r="AG191" s="370">
        <v>0</v>
      </c>
      <c r="AH191" s="370">
        <v>0</v>
      </c>
      <c r="AI191" s="370">
        <v>0</v>
      </c>
      <c r="AJ191" s="370">
        <f t="shared" ref="AJ191:AJ196" si="145">ROUND(H191/100*3,2)</f>
        <v>116424</v>
      </c>
      <c r="AK191" s="370">
        <f t="shared" ref="AK191:AK196" si="146">ROUND(H191/100*1.5,2)</f>
        <v>58212</v>
      </c>
      <c r="AL191" s="370">
        <v>0</v>
      </c>
      <c r="AM191" s="229"/>
      <c r="AN191" s="229"/>
      <c r="AP191" s="486" t="e">
        <f t="shared" si="85"/>
        <v>#DIV/0!</v>
      </c>
      <c r="AQ191" s="486" t="e">
        <f t="shared" si="88"/>
        <v>#DIV/0!</v>
      </c>
      <c r="AR191" s="486" t="e">
        <f t="shared" si="89"/>
        <v>#DIV/0!</v>
      </c>
      <c r="AS191" s="486" t="e">
        <f t="shared" si="90"/>
        <v>#DIV/0!</v>
      </c>
      <c r="AT191" s="486" t="e">
        <f t="shared" si="91"/>
        <v>#DIV/0!</v>
      </c>
      <c r="AU191" s="486" t="e">
        <f t="shared" si="92"/>
        <v>#DIV/0!</v>
      </c>
      <c r="AV191" s="486" t="e">
        <f t="shared" si="93"/>
        <v>#DIV/0!</v>
      </c>
      <c r="AW191" s="486">
        <f t="shared" si="94"/>
        <v>3088.47</v>
      </c>
      <c r="AX191" s="486" t="e">
        <f t="shared" si="95"/>
        <v>#DIV/0!</v>
      </c>
      <c r="AY191" s="486" t="e">
        <f t="shared" si="96"/>
        <v>#DIV/0!</v>
      </c>
      <c r="AZ191" s="486" t="e">
        <f t="shared" si="97"/>
        <v>#DIV/0!</v>
      </c>
      <c r="BA191" s="486">
        <f t="shared" si="86"/>
        <v>0</v>
      </c>
      <c r="BB191" s="494">
        <v>5155.41</v>
      </c>
      <c r="BC191" s="494">
        <v>2070.12</v>
      </c>
      <c r="BD191" s="494">
        <v>848.92</v>
      </c>
      <c r="BE191" s="494">
        <v>819.73</v>
      </c>
      <c r="BF191" s="494">
        <v>611.5</v>
      </c>
      <c r="BG191" s="494">
        <v>1080.04</v>
      </c>
      <c r="BH191" s="494">
        <v>2671800.0099999998</v>
      </c>
      <c r="BI191" s="494">
        <f t="shared" si="125"/>
        <v>4422.8500000000004</v>
      </c>
      <c r="BJ191" s="494">
        <v>14289.54</v>
      </c>
      <c r="BK191" s="494">
        <v>3389.61</v>
      </c>
      <c r="BL191" s="494">
        <v>5995.76</v>
      </c>
      <c r="BM191" s="494">
        <v>548.62</v>
      </c>
      <c r="BN191" s="495" t="e">
        <f t="shared" si="98"/>
        <v>#DIV/0!</v>
      </c>
      <c r="BO191" s="495" t="e">
        <f t="shared" si="99"/>
        <v>#DIV/0!</v>
      </c>
      <c r="BP191" s="495" t="e">
        <f t="shared" si="100"/>
        <v>#DIV/0!</v>
      </c>
      <c r="BQ191" s="495" t="e">
        <f t="shared" si="101"/>
        <v>#DIV/0!</v>
      </c>
      <c r="BR191" s="495" t="e">
        <f t="shared" si="102"/>
        <v>#DIV/0!</v>
      </c>
      <c r="BS191" s="495" t="e">
        <f t="shared" si="103"/>
        <v>#DIV/0!</v>
      </c>
      <c r="BT191" s="495" t="e">
        <f t="shared" si="104"/>
        <v>#DIV/0!</v>
      </c>
      <c r="BU191" s="495" t="str">
        <f t="shared" si="105"/>
        <v xml:space="preserve"> </v>
      </c>
      <c r="BV191" s="495" t="e">
        <f t="shared" si="106"/>
        <v>#DIV/0!</v>
      </c>
      <c r="BW191" s="495" t="e">
        <f t="shared" si="107"/>
        <v>#DIV/0!</v>
      </c>
      <c r="BX191" s="495" t="e">
        <f t="shared" si="108"/>
        <v>#DIV/0!</v>
      </c>
      <c r="BY191" s="495" t="str">
        <f t="shared" si="109"/>
        <v xml:space="preserve"> </v>
      </c>
    </row>
    <row r="192" spans="1:77" s="28" customFormat="1" ht="9" customHeight="1">
      <c r="A192" s="366">
        <v>168</v>
      </c>
      <c r="B192" s="321" t="s">
        <v>791</v>
      </c>
      <c r="C192" s="471">
        <v>608.02</v>
      </c>
      <c r="D192" s="376"/>
      <c r="E192" s="394" t="s">
        <v>1005</v>
      </c>
      <c r="F192" s="395"/>
      <c r="G192" s="395"/>
      <c r="H192" s="325">
        <v>1747682.8</v>
      </c>
      <c r="I192" s="368">
        <f t="shared" si="144"/>
        <v>0</v>
      </c>
      <c r="J192" s="217">
        <v>0</v>
      </c>
      <c r="K192" s="469">
        <v>0</v>
      </c>
      <c r="L192" s="217">
        <v>0</v>
      </c>
      <c r="M192" s="469">
        <v>0</v>
      </c>
      <c r="N192" s="217">
        <v>0</v>
      </c>
      <c r="O192" s="249">
        <v>0</v>
      </c>
      <c r="P192" s="368">
        <v>0</v>
      </c>
      <c r="Q192" s="249">
        <v>0</v>
      </c>
      <c r="R192" s="368">
        <v>0</v>
      </c>
      <c r="S192" s="249">
        <v>0</v>
      </c>
      <c r="T192" s="368">
        <v>0</v>
      </c>
      <c r="U192" s="130">
        <v>0</v>
      </c>
      <c r="V192" s="368">
        <v>0</v>
      </c>
      <c r="W192" s="368">
        <v>524.20000000000005</v>
      </c>
      <c r="X192" s="368">
        <f>ROUND(H192/100*95.5+0.01,2)</f>
        <v>1669037.08</v>
      </c>
      <c r="Y192" s="370">
        <v>0</v>
      </c>
      <c r="Z192" s="370">
        <v>0</v>
      </c>
      <c r="AA192" s="370">
        <v>0</v>
      </c>
      <c r="AB192" s="370">
        <v>0</v>
      </c>
      <c r="AC192" s="370">
        <v>0</v>
      </c>
      <c r="AD192" s="370">
        <v>0</v>
      </c>
      <c r="AE192" s="370">
        <v>0</v>
      </c>
      <c r="AF192" s="370">
        <v>0</v>
      </c>
      <c r="AG192" s="370">
        <v>0</v>
      </c>
      <c r="AH192" s="370">
        <v>0</v>
      </c>
      <c r="AI192" s="370">
        <v>0</v>
      </c>
      <c r="AJ192" s="370">
        <f t="shared" si="145"/>
        <v>52430.48</v>
      </c>
      <c r="AK192" s="370">
        <f t="shared" si="146"/>
        <v>26215.24</v>
      </c>
      <c r="AL192" s="370">
        <v>0</v>
      </c>
      <c r="AM192" s="229"/>
      <c r="AN192" s="229"/>
      <c r="AP192" s="486" t="e">
        <f t="shared" si="85"/>
        <v>#DIV/0!</v>
      </c>
      <c r="AQ192" s="486" t="e">
        <f t="shared" si="88"/>
        <v>#DIV/0!</v>
      </c>
      <c r="AR192" s="486" t="e">
        <f t="shared" si="89"/>
        <v>#DIV/0!</v>
      </c>
      <c r="AS192" s="486" t="e">
        <f t="shared" si="90"/>
        <v>#DIV/0!</v>
      </c>
      <c r="AT192" s="486" t="e">
        <f t="shared" si="91"/>
        <v>#DIV/0!</v>
      </c>
      <c r="AU192" s="486" t="e">
        <f t="shared" si="92"/>
        <v>#DIV/0!</v>
      </c>
      <c r="AV192" s="486" t="e">
        <f t="shared" si="93"/>
        <v>#DIV/0!</v>
      </c>
      <c r="AW192" s="486">
        <f t="shared" si="94"/>
        <v>3183.9700114460129</v>
      </c>
      <c r="AX192" s="486" t="e">
        <f t="shared" si="95"/>
        <v>#DIV/0!</v>
      </c>
      <c r="AY192" s="486" t="e">
        <f t="shared" si="96"/>
        <v>#DIV/0!</v>
      </c>
      <c r="AZ192" s="486" t="e">
        <f t="shared" si="97"/>
        <v>#DIV/0!</v>
      </c>
      <c r="BA192" s="486">
        <f t="shared" si="86"/>
        <v>0</v>
      </c>
      <c r="BB192" s="494">
        <v>5155.41</v>
      </c>
      <c r="BC192" s="494">
        <v>2070.12</v>
      </c>
      <c r="BD192" s="494">
        <v>848.92</v>
      </c>
      <c r="BE192" s="494">
        <v>819.73</v>
      </c>
      <c r="BF192" s="494">
        <v>611.5</v>
      </c>
      <c r="BG192" s="494">
        <v>1080.04</v>
      </c>
      <c r="BH192" s="494">
        <v>2671800.0099999998</v>
      </c>
      <c r="BI192" s="494">
        <f t="shared" si="125"/>
        <v>4607.6000000000004</v>
      </c>
      <c r="BJ192" s="494">
        <v>14289.54</v>
      </c>
      <c r="BK192" s="494">
        <v>3389.61</v>
      </c>
      <c r="BL192" s="494">
        <v>5995.76</v>
      </c>
      <c r="BM192" s="494">
        <v>548.62</v>
      </c>
      <c r="BN192" s="495" t="e">
        <f t="shared" si="98"/>
        <v>#DIV/0!</v>
      </c>
      <c r="BO192" s="495" t="e">
        <f t="shared" si="99"/>
        <v>#DIV/0!</v>
      </c>
      <c r="BP192" s="495" t="e">
        <f t="shared" si="100"/>
        <v>#DIV/0!</v>
      </c>
      <c r="BQ192" s="495" t="e">
        <f t="shared" si="101"/>
        <v>#DIV/0!</v>
      </c>
      <c r="BR192" s="495" t="e">
        <f t="shared" si="102"/>
        <v>#DIV/0!</v>
      </c>
      <c r="BS192" s="495" t="e">
        <f t="shared" si="103"/>
        <v>#DIV/0!</v>
      </c>
      <c r="BT192" s="495" t="e">
        <f t="shared" si="104"/>
        <v>#DIV/0!</v>
      </c>
      <c r="BU192" s="495" t="str">
        <f t="shared" si="105"/>
        <v xml:space="preserve"> </v>
      </c>
      <c r="BV192" s="495" t="e">
        <f t="shared" si="106"/>
        <v>#DIV/0!</v>
      </c>
      <c r="BW192" s="495" t="e">
        <f t="shared" si="107"/>
        <v>#DIV/0!</v>
      </c>
      <c r="BX192" s="495" t="e">
        <f t="shared" si="108"/>
        <v>#DIV/0!</v>
      </c>
      <c r="BY192" s="495" t="str">
        <f t="shared" si="109"/>
        <v xml:space="preserve"> </v>
      </c>
    </row>
    <row r="193" spans="1:77" s="28" customFormat="1" ht="9" customHeight="1">
      <c r="A193" s="366">
        <v>169</v>
      </c>
      <c r="B193" s="321" t="s">
        <v>792</v>
      </c>
      <c r="C193" s="471">
        <v>530</v>
      </c>
      <c r="D193" s="376"/>
      <c r="E193" s="394" t="s">
        <v>1006</v>
      </c>
      <c r="F193" s="395"/>
      <c r="G193" s="395"/>
      <c r="H193" s="325">
        <v>1450125.6</v>
      </c>
      <c r="I193" s="368">
        <f t="shared" si="144"/>
        <v>0</v>
      </c>
      <c r="J193" s="217">
        <v>0</v>
      </c>
      <c r="K193" s="469">
        <v>0</v>
      </c>
      <c r="L193" s="217">
        <v>0</v>
      </c>
      <c r="M193" s="469">
        <v>0</v>
      </c>
      <c r="N193" s="217">
        <v>0</v>
      </c>
      <c r="O193" s="249">
        <v>0</v>
      </c>
      <c r="P193" s="368">
        <v>0</v>
      </c>
      <c r="Q193" s="249">
        <v>0</v>
      </c>
      <c r="R193" s="368">
        <v>0</v>
      </c>
      <c r="S193" s="249">
        <v>0</v>
      </c>
      <c r="T193" s="368">
        <v>0</v>
      </c>
      <c r="U193" s="130">
        <v>0</v>
      </c>
      <c r="V193" s="368">
        <v>0</v>
      </c>
      <c r="W193" s="368">
        <v>448.4</v>
      </c>
      <c r="X193" s="368">
        <f>ROUND(H193/100*95.5,2)</f>
        <v>1384869.95</v>
      </c>
      <c r="Y193" s="370">
        <v>0</v>
      </c>
      <c r="Z193" s="370">
        <v>0</v>
      </c>
      <c r="AA193" s="370">
        <v>0</v>
      </c>
      <c r="AB193" s="370">
        <v>0</v>
      </c>
      <c r="AC193" s="370">
        <v>0</v>
      </c>
      <c r="AD193" s="370">
        <v>0</v>
      </c>
      <c r="AE193" s="370">
        <v>0</v>
      </c>
      <c r="AF193" s="370">
        <v>0</v>
      </c>
      <c r="AG193" s="370">
        <v>0</v>
      </c>
      <c r="AH193" s="370">
        <v>0</v>
      </c>
      <c r="AI193" s="370">
        <v>0</v>
      </c>
      <c r="AJ193" s="370">
        <f t="shared" si="145"/>
        <v>43503.77</v>
      </c>
      <c r="AK193" s="370">
        <f t="shared" si="146"/>
        <v>21751.88</v>
      </c>
      <c r="AL193" s="370">
        <v>0</v>
      </c>
      <c r="AM193" s="229"/>
      <c r="AN193" s="229"/>
      <c r="AP193" s="486" t="e">
        <f t="shared" si="85"/>
        <v>#DIV/0!</v>
      </c>
      <c r="AQ193" s="486" t="e">
        <f t="shared" si="88"/>
        <v>#DIV/0!</v>
      </c>
      <c r="AR193" s="486" t="e">
        <f t="shared" si="89"/>
        <v>#DIV/0!</v>
      </c>
      <c r="AS193" s="486" t="e">
        <f t="shared" si="90"/>
        <v>#DIV/0!</v>
      </c>
      <c r="AT193" s="486" t="e">
        <f t="shared" si="91"/>
        <v>#DIV/0!</v>
      </c>
      <c r="AU193" s="486" t="e">
        <f t="shared" si="92"/>
        <v>#DIV/0!</v>
      </c>
      <c r="AV193" s="486" t="e">
        <f t="shared" si="93"/>
        <v>#DIV/0!</v>
      </c>
      <c r="AW193" s="486">
        <f t="shared" si="94"/>
        <v>3088.4700044603032</v>
      </c>
      <c r="AX193" s="486" t="e">
        <f t="shared" si="95"/>
        <v>#DIV/0!</v>
      </c>
      <c r="AY193" s="486" t="e">
        <f t="shared" si="96"/>
        <v>#DIV/0!</v>
      </c>
      <c r="AZ193" s="486" t="e">
        <f t="shared" si="97"/>
        <v>#DIV/0!</v>
      </c>
      <c r="BA193" s="486">
        <f t="shared" si="86"/>
        <v>0</v>
      </c>
      <c r="BB193" s="494">
        <v>5155.41</v>
      </c>
      <c r="BC193" s="494">
        <v>2070.12</v>
      </c>
      <c r="BD193" s="494">
        <v>848.92</v>
      </c>
      <c r="BE193" s="494">
        <v>819.73</v>
      </c>
      <c r="BF193" s="494">
        <v>611.5</v>
      </c>
      <c r="BG193" s="494">
        <v>1080.04</v>
      </c>
      <c r="BH193" s="494">
        <v>2671800.0099999998</v>
      </c>
      <c r="BI193" s="494">
        <f t="shared" si="125"/>
        <v>4422.8500000000004</v>
      </c>
      <c r="BJ193" s="494">
        <v>14289.54</v>
      </c>
      <c r="BK193" s="494">
        <v>3389.61</v>
      </c>
      <c r="BL193" s="494">
        <v>5995.76</v>
      </c>
      <c r="BM193" s="494">
        <v>548.62</v>
      </c>
      <c r="BN193" s="495" t="e">
        <f t="shared" si="98"/>
        <v>#DIV/0!</v>
      </c>
      <c r="BO193" s="495" t="e">
        <f t="shared" si="99"/>
        <v>#DIV/0!</v>
      </c>
      <c r="BP193" s="495" t="e">
        <f t="shared" si="100"/>
        <v>#DIV/0!</v>
      </c>
      <c r="BQ193" s="495" t="e">
        <f t="shared" si="101"/>
        <v>#DIV/0!</v>
      </c>
      <c r="BR193" s="495" t="e">
        <f t="shared" si="102"/>
        <v>#DIV/0!</v>
      </c>
      <c r="BS193" s="495" t="e">
        <f t="shared" si="103"/>
        <v>#DIV/0!</v>
      </c>
      <c r="BT193" s="495" t="e">
        <f t="shared" si="104"/>
        <v>#DIV/0!</v>
      </c>
      <c r="BU193" s="495" t="str">
        <f t="shared" si="105"/>
        <v xml:space="preserve"> </v>
      </c>
      <c r="BV193" s="495" t="e">
        <f t="shared" si="106"/>
        <v>#DIV/0!</v>
      </c>
      <c r="BW193" s="495" t="e">
        <f t="shared" si="107"/>
        <v>#DIV/0!</v>
      </c>
      <c r="BX193" s="495" t="e">
        <f t="shared" si="108"/>
        <v>#DIV/0!</v>
      </c>
      <c r="BY193" s="495" t="str">
        <f t="shared" si="109"/>
        <v xml:space="preserve"> </v>
      </c>
    </row>
    <row r="194" spans="1:77" s="28" customFormat="1" ht="9" customHeight="1">
      <c r="A194" s="366">
        <v>170</v>
      </c>
      <c r="B194" s="321" t="s">
        <v>793</v>
      </c>
      <c r="C194" s="471">
        <v>383.2</v>
      </c>
      <c r="D194" s="376"/>
      <c r="E194" s="394" t="s">
        <v>1006</v>
      </c>
      <c r="F194" s="395"/>
      <c r="G194" s="395"/>
      <c r="H194" s="325">
        <v>1158418.8</v>
      </c>
      <c r="I194" s="368">
        <f t="shared" si="144"/>
        <v>0</v>
      </c>
      <c r="J194" s="217">
        <v>0</v>
      </c>
      <c r="K194" s="469">
        <v>0</v>
      </c>
      <c r="L194" s="217">
        <v>0</v>
      </c>
      <c r="M194" s="469">
        <v>0</v>
      </c>
      <c r="N194" s="217">
        <v>0</v>
      </c>
      <c r="O194" s="249">
        <v>0</v>
      </c>
      <c r="P194" s="368">
        <v>0</v>
      </c>
      <c r="Q194" s="249">
        <v>0</v>
      </c>
      <c r="R194" s="368">
        <v>0</v>
      </c>
      <c r="S194" s="249">
        <v>0</v>
      </c>
      <c r="T194" s="368">
        <v>0</v>
      </c>
      <c r="U194" s="130">
        <v>0</v>
      </c>
      <c r="V194" s="368">
        <v>0</v>
      </c>
      <c r="W194" s="368">
        <v>358.2</v>
      </c>
      <c r="X194" s="368">
        <f>ROUND(H194/100*95.5+0.01,2)</f>
        <v>1106289.96</v>
      </c>
      <c r="Y194" s="370">
        <v>0</v>
      </c>
      <c r="Z194" s="370">
        <v>0</v>
      </c>
      <c r="AA194" s="370">
        <v>0</v>
      </c>
      <c r="AB194" s="370">
        <v>0</v>
      </c>
      <c r="AC194" s="370">
        <v>0</v>
      </c>
      <c r="AD194" s="370">
        <v>0</v>
      </c>
      <c r="AE194" s="370">
        <v>0</v>
      </c>
      <c r="AF194" s="370">
        <v>0</v>
      </c>
      <c r="AG194" s="370">
        <v>0</v>
      </c>
      <c r="AH194" s="370">
        <v>0</v>
      </c>
      <c r="AI194" s="370">
        <v>0</v>
      </c>
      <c r="AJ194" s="370">
        <f t="shared" si="145"/>
        <v>34752.559999999998</v>
      </c>
      <c r="AK194" s="370">
        <f t="shared" si="146"/>
        <v>17376.28</v>
      </c>
      <c r="AL194" s="370">
        <v>0</v>
      </c>
      <c r="AM194" s="229"/>
      <c r="AN194" s="229"/>
      <c r="AP194" s="486" t="e">
        <f t="shared" si="85"/>
        <v>#DIV/0!</v>
      </c>
      <c r="AQ194" s="486" t="e">
        <f t="shared" si="88"/>
        <v>#DIV/0!</v>
      </c>
      <c r="AR194" s="486" t="e">
        <f t="shared" si="89"/>
        <v>#DIV/0!</v>
      </c>
      <c r="AS194" s="486" t="e">
        <f t="shared" si="90"/>
        <v>#DIV/0!</v>
      </c>
      <c r="AT194" s="486" t="e">
        <f t="shared" si="91"/>
        <v>#DIV/0!</v>
      </c>
      <c r="AU194" s="486" t="e">
        <f t="shared" si="92"/>
        <v>#DIV/0!</v>
      </c>
      <c r="AV194" s="486" t="e">
        <f t="shared" si="93"/>
        <v>#DIV/0!</v>
      </c>
      <c r="AW194" s="486">
        <f t="shared" si="94"/>
        <v>3088.4700167504188</v>
      </c>
      <c r="AX194" s="486" t="e">
        <f t="shared" si="95"/>
        <v>#DIV/0!</v>
      </c>
      <c r="AY194" s="486" t="e">
        <f t="shared" si="96"/>
        <v>#DIV/0!</v>
      </c>
      <c r="AZ194" s="486" t="e">
        <f t="shared" si="97"/>
        <v>#DIV/0!</v>
      </c>
      <c r="BA194" s="486">
        <f t="shared" si="86"/>
        <v>0</v>
      </c>
      <c r="BB194" s="494">
        <v>5155.41</v>
      </c>
      <c r="BC194" s="494">
        <v>2070.12</v>
      </c>
      <c r="BD194" s="494">
        <v>848.92</v>
      </c>
      <c r="BE194" s="494">
        <v>819.73</v>
      </c>
      <c r="BF194" s="494">
        <v>611.5</v>
      </c>
      <c r="BG194" s="494">
        <v>1080.04</v>
      </c>
      <c r="BH194" s="494">
        <v>2671800.0099999998</v>
      </c>
      <c r="BI194" s="494">
        <f t="shared" si="125"/>
        <v>4422.8500000000004</v>
      </c>
      <c r="BJ194" s="494">
        <v>14289.54</v>
      </c>
      <c r="BK194" s="494">
        <v>3389.61</v>
      </c>
      <c r="BL194" s="494">
        <v>5995.76</v>
      </c>
      <c r="BM194" s="494">
        <v>548.62</v>
      </c>
      <c r="BN194" s="495" t="e">
        <f t="shared" si="98"/>
        <v>#DIV/0!</v>
      </c>
      <c r="BO194" s="495" t="e">
        <f t="shared" si="99"/>
        <v>#DIV/0!</v>
      </c>
      <c r="BP194" s="495" t="e">
        <f t="shared" si="100"/>
        <v>#DIV/0!</v>
      </c>
      <c r="BQ194" s="495" t="e">
        <f t="shared" si="101"/>
        <v>#DIV/0!</v>
      </c>
      <c r="BR194" s="495" t="e">
        <f t="shared" si="102"/>
        <v>#DIV/0!</v>
      </c>
      <c r="BS194" s="495" t="e">
        <f t="shared" si="103"/>
        <v>#DIV/0!</v>
      </c>
      <c r="BT194" s="495" t="e">
        <f t="shared" si="104"/>
        <v>#DIV/0!</v>
      </c>
      <c r="BU194" s="495" t="str">
        <f t="shared" si="105"/>
        <v xml:space="preserve"> </v>
      </c>
      <c r="BV194" s="495" t="e">
        <f t="shared" si="106"/>
        <v>#DIV/0!</v>
      </c>
      <c r="BW194" s="495" t="e">
        <f t="shared" si="107"/>
        <v>#DIV/0!</v>
      </c>
      <c r="BX194" s="495" t="e">
        <f t="shared" si="108"/>
        <v>#DIV/0!</v>
      </c>
      <c r="BY194" s="495" t="str">
        <f t="shared" si="109"/>
        <v xml:space="preserve"> </v>
      </c>
    </row>
    <row r="195" spans="1:77" s="28" customFormat="1" ht="9" customHeight="1">
      <c r="A195" s="366">
        <v>171</v>
      </c>
      <c r="B195" s="321" t="s">
        <v>794</v>
      </c>
      <c r="C195" s="471">
        <v>384.2</v>
      </c>
      <c r="D195" s="376"/>
      <c r="E195" s="394" t="s">
        <v>1006</v>
      </c>
      <c r="F195" s="395"/>
      <c r="G195" s="395"/>
      <c r="H195" s="325">
        <v>1158418.8</v>
      </c>
      <c r="I195" s="368">
        <f t="shared" si="144"/>
        <v>0</v>
      </c>
      <c r="J195" s="217">
        <v>0</v>
      </c>
      <c r="K195" s="469">
        <v>0</v>
      </c>
      <c r="L195" s="217">
        <v>0</v>
      </c>
      <c r="M195" s="469">
        <v>0</v>
      </c>
      <c r="N195" s="217">
        <v>0</v>
      </c>
      <c r="O195" s="249">
        <v>0</v>
      </c>
      <c r="P195" s="368">
        <v>0</v>
      </c>
      <c r="Q195" s="249">
        <v>0</v>
      </c>
      <c r="R195" s="368">
        <v>0</v>
      </c>
      <c r="S195" s="249">
        <v>0</v>
      </c>
      <c r="T195" s="368">
        <v>0</v>
      </c>
      <c r="U195" s="130">
        <v>0</v>
      </c>
      <c r="V195" s="368">
        <v>0</v>
      </c>
      <c r="W195" s="368">
        <v>358.2</v>
      </c>
      <c r="X195" s="368">
        <f>ROUND(H195/100*95.5+0.01,2)</f>
        <v>1106289.96</v>
      </c>
      <c r="Y195" s="370">
        <v>0</v>
      </c>
      <c r="Z195" s="370">
        <v>0</v>
      </c>
      <c r="AA195" s="370">
        <v>0</v>
      </c>
      <c r="AB195" s="370">
        <v>0</v>
      </c>
      <c r="AC195" s="370">
        <v>0</v>
      </c>
      <c r="AD195" s="370">
        <v>0</v>
      </c>
      <c r="AE195" s="370">
        <v>0</v>
      </c>
      <c r="AF195" s="370">
        <v>0</v>
      </c>
      <c r="AG195" s="370">
        <v>0</v>
      </c>
      <c r="AH195" s="370">
        <v>0</v>
      </c>
      <c r="AI195" s="370">
        <v>0</v>
      </c>
      <c r="AJ195" s="370">
        <f t="shared" si="145"/>
        <v>34752.559999999998</v>
      </c>
      <c r="AK195" s="370">
        <f t="shared" si="146"/>
        <v>17376.28</v>
      </c>
      <c r="AL195" s="370">
        <v>0</v>
      </c>
      <c r="AM195" s="229"/>
      <c r="AN195" s="229"/>
      <c r="AP195" s="486" t="e">
        <f t="shared" si="85"/>
        <v>#DIV/0!</v>
      </c>
      <c r="AQ195" s="486" t="e">
        <f t="shared" si="88"/>
        <v>#DIV/0!</v>
      </c>
      <c r="AR195" s="486" t="e">
        <f t="shared" si="89"/>
        <v>#DIV/0!</v>
      </c>
      <c r="AS195" s="486" t="e">
        <f t="shared" si="90"/>
        <v>#DIV/0!</v>
      </c>
      <c r="AT195" s="486" t="e">
        <f t="shared" si="91"/>
        <v>#DIV/0!</v>
      </c>
      <c r="AU195" s="486" t="e">
        <f t="shared" si="92"/>
        <v>#DIV/0!</v>
      </c>
      <c r="AV195" s="486" t="e">
        <f t="shared" si="93"/>
        <v>#DIV/0!</v>
      </c>
      <c r="AW195" s="486">
        <f t="shared" si="94"/>
        <v>3088.4700167504188</v>
      </c>
      <c r="AX195" s="486" t="e">
        <f t="shared" si="95"/>
        <v>#DIV/0!</v>
      </c>
      <c r="AY195" s="486" t="e">
        <f t="shared" si="96"/>
        <v>#DIV/0!</v>
      </c>
      <c r="AZ195" s="486" t="e">
        <f t="shared" si="97"/>
        <v>#DIV/0!</v>
      </c>
      <c r="BA195" s="486">
        <f t="shared" si="86"/>
        <v>0</v>
      </c>
      <c r="BB195" s="494">
        <v>5155.41</v>
      </c>
      <c r="BC195" s="494">
        <v>2070.12</v>
      </c>
      <c r="BD195" s="494">
        <v>848.92</v>
      </c>
      <c r="BE195" s="494">
        <v>819.73</v>
      </c>
      <c r="BF195" s="494">
        <v>611.5</v>
      </c>
      <c r="BG195" s="494">
        <v>1080.04</v>
      </c>
      <c r="BH195" s="494">
        <v>2671800.0099999998</v>
      </c>
      <c r="BI195" s="494">
        <f t="shared" si="125"/>
        <v>4422.8500000000004</v>
      </c>
      <c r="BJ195" s="494">
        <v>14289.54</v>
      </c>
      <c r="BK195" s="494">
        <v>3389.61</v>
      </c>
      <c r="BL195" s="494">
        <v>5995.76</v>
      </c>
      <c r="BM195" s="494">
        <v>548.62</v>
      </c>
      <c r="BN195" s="495" t="e">
        <f t="shared" si="98"/>
        <v>#DIV/0!</v>
      </c>
      <c r="BO195" s="495" t="e">
        <f t="shared" si="99"/>
        <v>#DIV/0!</v>
      </c>
      <c r="BP195" s="495" t="e">
        <f t="shared" si="100"/>
        <v>#DIV/0!</v>
      </c>
      <c r="BQ195" s="495" t="e">
        <f t="shared" si="101"/>
        <v>#DIV/0!</v>
      </c>
      <c r="BR195" s="495" t="e">
        <f t="shared" si="102"/>
        <v>#DIV/0!</v>
      </c>
      <c r="BS195" s="495" t="e">
        <f t="shared" si="103"/>
        <v>#DIV/0!</v>
      </c>
      <c r="BT195" s="495" t="e">
        <f t="shared" si="104"/>
        <v>#DIV/0!</v>
      </c>
      <c r="BU195" s="495" t="str">
        <f t="shared" si="105"/>
        <v xml:space="preserve"> </v>
      </c>
      <c r="BV195" s="495" t="e">
        <f t="shared" si="106"/>
        <v>#DIV/0!</v>
      </c>
      <c r="BW195" s="495" t="e">
        <f t="shared" si="107"/>
        <v>#DIV/0!</v>
      </c>
      <c r="BX195" s="495" t="e">
        <f t="shared" si="108"/>
        <v>#DIV/0!</v>
      </c>
      <c r="BY195" s="495" t="str">
        <f t="shared" si="109"/>
        <v xml:space="preserve"> </v>
      </c>
    </row>
    <row r="196" spans="1:77" s="28" customFormat="1" ht="9" customHeight="1">
      <c r="A196" s="366">
        <v>172</v>
      </c>
      <c r="B196" s="321" t="s">
        <v>795</v>
      </c>
      <c r="C196" s="471">
        <v>633.5</v>
      </c>
      <c r="D196" s="376"/>
      <c r="E196" s="394" t="s">
        <v>1006</v>
      </c>
      <c r="F196" s="395"/>
      <c r="G196" s="395"/>
      <c r="H196" s="325">
        <v>1688148</v>
      </c>
      <c r="I196" s="368">
        <f t="shared" si="144"/>
        <v>0</v>
      </c>
      <c r="J196" s="217">
        <v>0</v>
      </c>
      <c r="K196" s="469">
        <v>0</v>
      </c>
      <c r="L196" s="217">
        <v>0</v>
      </c>
      <c r="M196" s="469">
        <v>0</v>
      </c>
      <c r="N196" s="217">
        <v>0</v>
      </c>
      <c r="O196" s="249">
        <v>0</v>
      </c>
      <c r="P196" s="368">
        <v>0</v>
      </c>
      <c r="Q196" s="249">
        <v>0</v>
      </c>
      <c r="R196" s="368">
        <v>0</v>
      </c>
      <c r="S196" s="249">
        <v>0</v>
      </c>
      <c r="T196" s="368">
        <v>0</v>
      </c>
      <c r="U196" s="130">
        <v>0</v>
      </c>
      <c r="V196" s="368">
        <v>0</v>
      </c>
      <c r="W196" s="368">
        <v>522</v>
      </c>
      <c r="X196" s="368">
        <f>ROUND(H196/100*95.5,2)</f>
        <v>1612181.34</v>
      </c>
      <c r="Y196" s="370">
        <v>0</v>
      </c>
      <c r="Z196" s="370">
        <v>0</v>
      </c>
      <c r="AA196" s="370">
        <v>0</v>
      </c>
      <c r="AB196" s="370">
        <v>0</v>
      </c>
      <c r="AC196" s="370">
        <v>0</v>
      </c>
      <c r="AD196" s="370">
        <v>0</v>
      </c>
      <c r="AE196" s="370">
        <v>0</v>
      </c>
      <c r="AF196" s="370">
        <v>0</v>
      </c>
      <c r="AG196" s="370">
        <v>0</v>
      </c>
      <c r="AH196" s="370">
        <v>0</v>
      </c>
      <c r="AI196" s="370">
        <v>0</v>
      </c>
      <c r="AJ196" s="370">
        <f t="shared" si="145"/>
        <v>50644.44</v>
      </c>
      <c r="AK196" s="370">
        <f t="shared" si="146"/>
        <v>25322.22</v>
      </c>
      <c r="AL196" s="370">
        <v>0</v>
      </c>
      <c r="AM196" s="229"/>
      <c r="AN196" s="229"/>
      <c r="AP196" s="486" t="e">
        <f t="shared" si="85"/>
        <v>#DIV/0!</v>
      </c>
      <c r="AQ196" s="486" t="e">
        <f t="shared" si="88"/>
        <v>#DIV/0!</v>
      </c>
      <c r="AR196" s="486" t="e">
        <f t="shared" si="89"/>
        <v>#DIV/0!</v>
      </c>
      <c r="AS196" s="486" t="e">
        <f t="shared" si="90"/>
        <v>#DIV/0!</v>
      </c>
      <c r="AT196" s="486" t="e">
        <f t="shared" si="91"/>
        <v>#DIV/0!</v>
      </c>
      <c r="AU196" s="486" t="e">
        <f t="shared" si="92"/>
        <v>#DIV/0!</v>
      </c>
      <c r="AV196" s="486" t="e">
        <f t="shared" si="93"/>
        <v>#DIV/0!</v>
      </c>
      <c r="AW196" s="486">
        <f t="shared" si="94"/>
        <v>3088.4700000000003</v>
      </c>
      <c r="AX196" s="486" t="e">
        <f t="shared" si="95"/>
        <v>#DIV/0!</v>
      </c>
      <c r="AY196" s="486" t="e">
        <f t="shared" si="96"/>
        <v>#DIV/0!</v>
      </c>
      <c r="AZ196" s="486" t="e">
        <f t="shared" si="97"/>
        <v>#DIV/0!</v>
      </c>
      <c r="BA196" s="486">
        <f t="shared" si="86"/>
        <v>0</v>
      </c>
      <c r="BB196" s="494">
        <v>5155.41</v>
      </c>
      <c r="BC196" s="494">
        <v>2070.12</v>
      </c>
      <c r="BD196" s="494">
        <v>848.92</v>
      </c>
      <c r="BE196" s="494">
        <v>819.73</v>
      </c>
      <c r="BF196" s="494">
        <v>611.5</v>
      </c>
      <c r="BG196" s="494">
        <v>1080.04</v>
      </c>
      <c r="BH196" s="494">
        <v>2671800.0099999998</v>
      </c>
      <c r="BI196" s="494">
        <f t="shared" si="125"/>
        <v>4422.8500000000004</v>
      </c>
      <c r="BJ196" s="494">
        <v>14289.54</v>
      </c>
      <c r="BK196" s="494">
        <v>3389.61</v>
      </c>
      <c r="BL196" s="494">
        <v>5995.76</v>
      </c>
      <c r="BM196" s="494">
        <v>548.62</v>
      </c>
      <c r="BN196" s="495" t="e">
        <f t="shared" si="98"/>
        <v>#DIV/0!</v>
      </c>
      <c r="BO196" s="495" t="e">
        <f t="shared" si="99"/>
        <v>#DIV/0!</v>
      </c>
      <c r="BP196" s="495" t="e">
        <f t="shared" si="100"/>
        <v>#DIV/0!</v>
      </c>
      <c r="BQ196" s="495" t="e">
        <f t="shared" si="101"/>
        <v>#DIV/0!</v>
      </c>
      <c r="BR196" s="495" t="e">
        <f t="shared" si="102"/>
        <v>#DIV/0!</v>
      </c>
      <c r="BS196" s="495" t="e">
        <f t="shared" si="103"/>
        <v>#DIV/0!</v>
      </c>
      <c r="BT196" s="495" t="e">
        <f t="shared" si="104"/>
        <v>#DIV/0!</v>
      </c>
      <c r="BU196" s="495" t="str">
        <f t="shared" si="105"/>
        <v xml:space="preserve"> </v>
      </c>
      <c r="BV196" s="495" t="e">
        <f t="shared" si="106"/>
        <v>#DIV/0!</v>
      </c>
      <c r="BW196" s="495" t="e">
        <f t="shared" si="107"/>
        <v>#DIV/0!</v>
      </c>
      <c r="BX196" s="495" t="e">
        <f t="shared" si="108"/>
        <v>#DIV/0!</v>
      </c>
      <c r="BY196" s="495" t="str">
        <f t="shared" si="109"/>
        <v xml:space="preserve"> </v>
      </c>
    </row>
    <row r="197" spans="1:77" s="28" customFormat="1" ht="23.25" customHeight="1">
      <c r="A197" s="954" t="s">
        <v>250</v>
      </c>
      <c r="B197" s="954"/>
      <c r="C197" s="371">
        <f>SUM(C190:C196)</f>
        <v>7742.2199999999993</v>
      </c>
      <c r="D197" s="431" t="s">
        <v>391</v>
      </c>
      <c r="E197" s="278" t="s">
        <v>391</v>
      </c>
      <c r="F197" s="363"/>
      <c r="G197" s="363"/>
      <c r="H197" s="368">
        <f>SUM(H190:H196)</f>
        <v>14964394.000000002</v>
      </c>
      <c r="I197" s="368">
        <f t="shared" ref="I197:AL197" si="147">SUM(I190:I196)</f>
        <v>0</v>
      </c>
      <c r="J197" s="368">
        <f t="shared" si="147"/>
        <v>0</v>
      </c>
      <c r="K197" s="368">
        <f t="shared" si="147"/>
        <v>0</v>
      </c>
      <c r="L197" s="368">
        <f t="shared" si="147"/>
        <v>0</v>
      </c>
      <c r="M197" s="368">
        <f t="shared" si="147"/>
        <v>0</v>
      </c>
      <c r="N197" s="368">
        <f t="shared" si="147"/>
        <v>0</v>
      </c>
      <c r="O197" s="368">
        <f t="shared" si="147"/>
        <v>0</v>
      </c>
      <c r="P197" s="368">
        <f t="shared" si="147"/>
        <v>0</v>
      </c>
      <c r="Q197" s="368">
        <f t="shared" si="147"/>
        <v>0</v>
      </c>
      <c r="R197" s="368">
        <f t="shared" si="147"/>
        <v>0</v>
      </c>
      <c r="S197" s="368">
        <f t="shared" si="147"/>
        <v>0</v>
      </c>
      <c r="T197" s="368">
        <f t="shared" si="147"/>
        <v>0</v>
      </c>
      <c r="U197" s="130">
        <f t="shared" si="147"/>
        <v>0</v>
      </c>
      <c r="V197" s="368">
        <f t="shared" si="147"/>
        <v>0</v>
      </c>
      <c r="W197" s="368">
        <f t="shared" si="147"/>
        <v>4611</v>
      </c>
      <c r="X197" s="368">
        <f t="shared" si="147"/>
        <v>14290996.289999999</v>
      </c>
      <c r="Y197" s="368">
        <f t="shared" si="147"/>
        <v>0</v>
      </c>
      <c r="Z197" s="368">
        <f t="shared" si="147"/>
        <v>0</v>
      </c>
      <c r="AA197" s="368">
        <f t="shared" si="147"/>
        <v>0</v>
      </c>
      <c r="AB197" s="368">
        <f t="shared" si="147"/>
        <v>0</v>
      </c>
      <c r="AC197" s="368">
        <f t="shared" si="147"/>
        <v>0</v>
      </c>
      <c r="AD197" s="368">
        <f t="shared" si="147"/>
        <v>0</v>
      </c>
      <c r="AE197" s="368">
        <f t="shared" si="147"/>
        <v>0</v>
      </c>
      <c r="AF197" s="368">
        <f t="shared" si="147"/>
        <v>0</v>
      </c>
      <c r="AG197" s="368">
        <f t="shared" si="147"/>
        <v>0</v>
      </c>
      <c r="AH197" s="368">
        <f t="shared" si="147"/>
        <v>0</v>
      </c>
      <c r="AI197" s="368">
        <f t="shared" si="147"/>
        <v>0</v>
      </c>
      <c r="AJ197" s="368">
        <f t="shared" si="147"/>
        <v>448931.81</v>
      </c>
      <c r="AK197" s="368">
        <f t="shared" si="147"/>
        <v>224465.9</v>
      </c>
      <c r="AL197" s="368">
        <f t="shared" si="147"/>
        <v>0</v>
      </c>
      <c r="AM197" s="280"/>
      <c r="AN197" s="280"/>
      <c r="AP197" s="486" t="e">
        <f t="shared" si="85"/>
        <v>#VALUE!</v>
      </c>
      <c r="AQ197" s="486" t="e">
        <f t="shared" si="88"/>
        <v>#DIV/0!</v>
      </c>
      <c r="AR197" s="497" t="e">
        <f t="shared" si="89"/>
        <v>#DIV/0!</v>
      </c>
      <c r="AS197" s="497" t="e">
        <f t="shared" si="90"/>
        <v>#DIV/0!</v>
      </c>
      <c r="AT197" s="497" t="e">
        <f t="shared" si="91"/>
        <v>#DIV/0!</v>
      </c>
      <c r="AU197" s="497" t="e">
        <f t="shared" si="92"/>
        <v>#DIV/0!</v>
      </c>
      <c r="AV197" s="497" t="e">
        <f t="shared" si="93"/>
        <v>#DIV/0!</v>
      </c>
      <c r="AW197" s="497">
        <f t="shared" si="94"/>
        <v>3099.3268900455432</v>
      </c>
      <c r="AX197" s="497" t="e">
        <f t="shared" si="95"/>
        <v>#DIV/0!</v>
      </c>
      <c r="AY197" s="486" t="e">
        <f t="shared" si="96"/>
        <v>#DIV/0!</v>
      </c>
      <c r="AZ197" s="497" t="e">
        <f t="shared" si="97"/>
        <v>#DIV/0!</v>
      </c>
      <c r="BA197" s="486">
        <f t="shared" si="86"/>
        <v>0</v>
      </c>
      <c r="BB197" s="494">
        <v>5155.41</v>
      </c>
      <c r="BC197" s="494">
        <v>2070.12</v>
      </c>
      <c r="BD197" s="494">
        <v>848.92</v>
      </c>
      <c r="BE197" s="494">
        <v>819.73</v>
      </c>
      <c r="BF197" s="494">
        <v>611.5</v>
      </c>
      <c r="BG197" s="494">
        <v>1080.04</v>
      </c>
      <c r="BH197" s="494">
        <v>2671800.0099999998</v>
      </c>
      <c r="BI197" s="494">
        <f t="shared" si="125"/>
        <v>4422.8500000000004</v>
      </c>
      <c r="BJ197" s="494">
        <v>14289.54</v>
      </c>
      <c r="BK197" s="494">
        <v>3389.61</v>
      </c>
      <c r="BL197" s="494">
        <v>5995.76</v>
      </c>
      <c r="BM197" s="494">
        <v>548.62</v>
      </c>
      <c r="BN197" s="493" t="e">
        <f t="shared" si="98"/>
        <v>#VALUE!</v>
      </c>
      <c r="BO197" s="493" t="e">
        <f t="shared" si="99"/>
        <v>#DIV/0!</v>
      </c>
      <c r="BP197" s="493" t="e">
        <f t="shared" si="100"/>
        <v>#DIV/0!</v>
      </c>
      <c r="BQ197" s="493" t="e">
        <f t="shared" si="101"/>
        <v>#DIV/0!</v>
      </c>
      <c r="BR197" s="493" t="e">
        <f t="shared" si="102"/>
        <v>#DIV/0!</v>
      </c>
      <c r="BS197" s="493" t="e">
        <f t="shared" si="103"/>
        <v>#DIV/0!</v>
      </c>
      <c r="BT197" s="493" t="e">
        <f t="shared" si="104"/>
        <v>#DIV/0!</v>
      </c>
      <c r="BU197" s="493" t="str">
        <f t="shared" si="105"/>
        <v xml:space="preserve"> </v>
      </c>
      <c r="BV197" s="493" t="e">
        <f t="shared" si="106"/>
        <v>#DIV/0!</v>
      </c>
      <c r="BW197" s="493" t="e">
        <f t="shared" si="107"/>
        <v>#DIV/0!</v>
      </c>
      <c r="BX197" s="493" t="e">
        <f t="shared" si="108"/>
        <v>#DIV/0!</v>
      </c>
      <c r="BY197" s="493" t="str">
        <f t="shared" si="109"/>
        <v xml:space="preserve"> </v>
      </c>
    </row>
    <row r="198" spans="1:77" s="28" customFormat="1" ht="10.5" customHeight="1">
      <c r="A198" s="833" t="s">
        <v>259</v>
      </c>
      <c r="B198" s="834"/>
      <c r="C198" s="834"/>
      <c r="D198" s="834"/>
      <c r="E198" s="834"/>
      <c r="F198" s="834"/>
      <c r="G198" s="834"/>
      <c r="H198" s="834"/>
      <c r="I198" s="834"/>
      <c r="J198" s="834"/>
      <c r="K198" s="834"/>
      <c r="L198" s="834"/>
      <c r="M198" s="834"/>
      <c r="N198" s="834"/>
      <c r="O198" s="834"/>
      <c r="P198" s="834"/>
      <c r="Q198" s="834"/>
      <c r="R198" s="834"/>
      <c r="S198" s="834"/>
      <c r="T198" s="834"/>
      <c r="U198" s="834"/>
      <c r="V198" s="834"/>
      <c r="W198" s="834"/>
      <c r="X198" s="834"/>
      <c r="Y198" s="834"/>
      <c r="Z198" s="834"/>
      <c r="AA198" s="834"/>
      <c r="AB198" s="834"/>
      <c r="AC198" s="834"/>
      <c r="AD198" s="834"/>
      <c r="AE198" s="834"/>
      <c r="AF198" s="834"/>
      <c r="AG198" s="834"/>
      <c r="AH198" s="834"/>
      <c r="AI198" s="834"/>
      <c r="AJ198" s="834"/>
      <c r="AK198" s="834"/>
      <c r="AL198" s="834"/>
      <c r="AM198" s="834"/>
      <c r="AN198" s="835"/>
      <c r="AP198" s="486" t="e">
        <f t="shared" si="85"/>
        <v>#DIV/0!</v>
      </c>
      <c r="AQ198" s="486" t="e">
        <f t="shared" si="88"/>
        <v>#DIV/0!</v>
      </c>
      <c r="AR198" s="497" t="e">
        <f t="shared" si="89"/>
        <v>#DIV/0!</v>
      </c>
      <c r="AS198" s="497" t="e">
        <f t="shared" si="90"/>
        <v>#DIV/0!</v>
      </c>
      <c r="AT198" s="497" t="e">
        <f t="shared" si="91"/>
        <v>#DIV/0!</v>
      </c>
      <c r="AU198" s="497" t="e">
        <f t="shared" si="92"/>
        <v>#DIV/0!</v>
      </c>
      <c r="AV198" s="497" t="e">
        <f t="shared" si="93"/>
        <v>#DIV/0!</v>
      </c>
      <c r="AW198" s="497" t="e">
        <f t="shared" si="94"/>
        <v>#DIV/0!</v>
      </c>
      <c r="AX198" s="497" t="e">
        <f t="shared" si="95"/>
        <v>#DIV/0!</v>
      </c>
      <c r="AY198" s="486" t="e">
        <f t="shared" si="96"/>
        <v>#DIV/0!</v>
      </c>
      <c r="AZ198" s="497" t="e">
        <f t="shared" si="97"/>
        <v>#DIV/0!</v>
      </c>
      <c r="BA198" s="486" t="e">
        <f t="shared" si="86"/>
        <v>#DIV/0!</v>
      </c>
      <c r="BB198" s="494">
        <v>5155.41</v>
      </c>
      <c r="BC198" s="494">
        <v>2070.12</v>
      </c>
      <c r="BD198" s="494">
        <v>848.92</v>
      </c>
      <c r="BE198" s="494">
        <v>819.73</v>
      </c>
      <c r="BF198" s="494">
        <v>611.5</v>
      </c>
      <c r="BG198" s="494">
        <v>1080.04</v>
      </c>
      <c r="BH198" s="494">
        <v>2671800.0099999998</v>
      </c>
      <c r="BI198" s="494">
        <f t="shared" si="125"/>
        <v>4422.8500000000004</v>
      </c>
      <c r="BJ198" s="494">
        <v>14289.54</v>
      </c>
      <c r="BK198" s="494">
        <v>3389.61</v>
      </c>
      <c r="BL198" s="494">
        <v>5995.76</v>
      </c>
      <c r="BM198" s="494">
        <v>548.62</v>
      </c>
      <c r="BN198" s="493" t="e">
        <f t="shared" si="98"/>
        <v>#DIV/0!</v>
      </c>
      <c r="BO198" s="493" t="e">
        <f t="shared" si="99"/>
        <v>#DIV/0!</v>
      </c>
      <c r="BP198" s="493" t="e">
        <f t="shared" si="100"/>
        <v>#DIV/0!</v>
      </c>
      <c r="BQ198" s="493" t="e">
        <f t="shared" si="101"/>
        <v>#DIV/0!</v>
      </c>
      <c r="BR198" s="493" t="e">
        <f t="shared" si="102"/>
        <v>#DIV/0!</v>
      </c>
      <c r="BS198" s="493" t="e">
        <f t="shared" si="103"/>
        <v>#DIV/0!</v>
      </c>
      <c r="BT198" s="493" t="e">
        <f t="shared" si="104"/>
        <v>#DIV/0!</v>
      </c>
      <c r="BU198" s="493" t="e">
        <f t="shared" si="105"/>
        <v>#DIV/0!</v>
      </c>
      <c r="BV198" s="493" t="e">
        <f t="shared" si="106"/>
        <v>#DIV/0!</v>
      </c>
      <c r="BW198" s="493" t="e">
        <f t="shared" si="107"/>
        <v>#DIV/0!</v>
      </c>
      <c r="BX198" s="493" t="e">
        <f t="shared" si="108"/>
        <v>#DIV/0!</v>
      </c>
      <c r="BY198" s="493" t="e">
        <f t="shared" si="109"/>
        <v>#DIV/0!</v>
      </c>
    </row>
    <row r="199" spans="1:77" s="28" customFormat="1" ht="9" customHeight="1">
      <c r="A199" s="190">
        <v>173</v>
      </c>
      <c r="B199" s="396" t="s">
        <v>804</v>
      </c>
      <c r="C199" s="249">
        <v>4482.8999999999996</v>
      </c>
      <c r="D199" s="376"/>
      <c r="E199" s="368" t="s">
        <v>1005</v>
      </c>
      <c r="F199" s="249"/>
      <c r="G199" s="249"/>
      <c r="H199" s="368">
        <v>4800960</v>
      </c>
      <c r="I199" s="368">
        <f t="shared" ref="I199:I201" si="148">J199+L199+N199+P199+R199+T199</f>
        <v>0</v>
      </c>
      <c r="J199" s="217">
        <v>0</v>
      </c>
      <c r="K199" s="469">
        <v>0</v>
      </c>
      <c r="L199" s="217">
        <v>0</v>
      </c>
      <c r="M199" s="469">
        <v>0</v>
      </c>
      <c r="N199" s="217">
        <v>0</v>
      </c>
      <c r="O199" s="249">
        <v>0</v>
      </c>
      <c r="P199" s="368">
        <v>0</v>
      </c>
      <c r="Q199" s="249">
        <v>0</v>
      </c>
      <c r="R199" s="368">
        <v>0</v>
      </c>
      <c r="S199" s="249">
        <v>0</v>
      </c>
      <c r="T199" s="368">
        <v>0</v>
      </c>
      <c r="U199" s="130">
        <v>0</v>
      </c>
      <c r="V199" s="368">
        <v>0</v>
      </c>
      <c r="W199" s="368">
        <v>1440</v>
      </c>
      <c r="X199" s="368">
        <f t="shared" ref="X199:X201" si="149">ROUND(H199/100*95.5,2)</f>
        <v>4584916.8</v>
      </c>
      <c r="Y199" s="370">
        <v>0</v>
      </c>
      <c r="Z199" s="370">
        <v>0</v>
      </c>
      <c r="AA199" s="370">
        <v>0</v>
      </c>
      <c r="AB199" s="370">
        <v>0</v>
      </c>
      <c r="AC199" s="370">
        <v>0</v>
      </c>
      <c r="AD199" s="370">
        <v>0</v>
      </c>
      <c r="AE199" s="370">
        <v>0</v>
      </c>
      <c r="AF199" s="370">
        <v>0</v>
      </c>
      <c r="AG199" s="370">
        <v>0</v>
      </c>
      <c r="AH199" s="370">
        <v>0</v>
      </c>
      <c r="AI199" s="370">
        <v>0</v>
      </c>
      <c r="AJ199" s="370">
        <f t="shared" ref="AJ199:AJ201" si="150">ROUND(H199/100*3,2)</f>
        <v>144028.79999999999</v>
      </c>
      <c r="AK199" s="370">
        <f t="shared" ref="AK199:AK201" si="151">ROUND(H199/100*1.5,2)</f>
        <v>72014.399999999994</v>
      </c>
      <c r="AL199" s="370">
        <v>0</v>
      </c>
      <c r="AM199" s="480"/>
      <c r="AN199" s="480"/>
      <c r="AP199" s="486" t="e">
        <f t="shared" si="85"/>
        <v>#DIV/0!</v>
      </c>
      <c r="AQ199" s="486" t="e">
        <f t="shared" si="88"/>
        <v>#DIV/0!</v>
      </c>
      <c r="AR199" s="486" t="e">
        <f t="shared" si="89"/>
        <v>#DIV/0!</v>
      </c>
      <c r="AS199" s="486" t="e">
        <f t="shared" si="90"/>
        <v>#DIV/0!</v>
      </c>
      <c r="AT199" s="486" t="e">
        <f t="shared" si="91"/>
        <v>#DIV/0!</v>
      </c>
      <c r="AU199" s="486" t="e">
        <f t="shared" si="92"/>
        <v>#DIV/0!</v>
      </c>
      <c r="AV199" s="486" t="e">
        <f t="shared" si="93"/>
        <v>#DIV/0!</v>
      </c>
      <c r="AW199" s="486">
        <f t="shared" si="94"/>
        <v>3183.97</v>
      </c>
      <c r="AX199" s="486" t="e">
        <f t="shared" si="95"/>
        <v>#DIV/0!</v>
      </c>
      <c r="AY199" s="486" t="e">
        <f t="shared" si="96"/>
        <v>#DIV/0!</v>
      </c>
      <c r="AZ199" s="486" t="e">
        <f t="shared" si="97"/>
        <v>#DIV/0!</v>
      </c>
      <c r="BA199" s="486">
        <f t="shared" si="86"/>
        <v>0</v>
      </c>
      <c r="BB199" s="494">
        <v>5155.41</v>
      </c>
      <c r="BC199" s="494">
        <v>2070.12</v>
      </c>
      <c r="BD199" s="494">
        <v>848.92</v>
      </c>
      <c r="BE199" s="494">
        <v>819.73</v>
      </c>
      <c r="BF199" s="494">
        <v>611.5</v>
      </c>
      <c r="BG199" s="494">
        <v>1080.04</v>
      </c>
      <c r="BH199" s="494">
        <v>2671800.0099999998</v>
      </c>
      <c r="BI199" s="494">
        <f t="shared" si="125"/>
        <v>4607.6000000000004</v>
      </c>
      <c r="BJ199" s="494">
        <v>14289.54</v>
      </c>
      <c r="BK199" s="494">
        <v>3389.61</v>
      </c>
      <c r="BL199" s="494">
        <v>5995.76</v>
      </c>
      <c r="BM199" s="494">
        <v>548.62</v>
      </c>
      <c r="BN199" s="495" t="e">
        <f t="shared" si="98"/>
        <v>#DIV/0!</v>
      </c>
      <c r="BO199" s="495" t="e">
        <f t="shared" si="99"/>
        <v>#DIV/0!</v>
      </c>
      <c r="BP199" s="495" t="e">
        <f t="shared" si="100"/>
        <v>#DIV/0!</v>
      </c>
      <c r="BQ199" s="495" t="e">
        <f t="shared" si="101"/>
        <v>#DIV/0!</v>
      </c>
      <c r="BR199" s="495" t="e">
        <f t="shared" si="102"/>
        <v>#DIV/0!</v>
      </c>
      <c r="BS199" s="495" t="e">
        <f t="shared" si="103"/>
        <v>#DIV/0!</v>
      </c>
      <c r="BT199" s="495" t="e">
        <f t="shared" si="104"/>
        <v>#DIV/0!</v>
      </c>
      <c r="BU199" s="495" t="str">
        <f t="shared" si="105"/>
        <v xml:space="preserve"> </v>
      </c>
      <c r="BV199" s="495" t="e">
        <f t="shared" si="106"/>
        <v>#DIV/0!</v>
      </c>
      <c r="BW199" s="495" t="e">
        <f t="shared" si="107"/>
        <v>#DIV/0!</v>
      </c>
      <c r="BX199" s="495" t="e">
        <f t="shared" si="108"/>
        <v>#DIV/0!</v>
      </c>
      <c r="BY199" s="495" t="str">
        <f t="shared" si="109"/>
        <v xml:space="preserve"> </v>
      </c>
    </row>
    <row r="200" spans="1:77" s="28" customFormat="1" ht="9" customHeight="1">
      <c r="A200" s="190">
        <v>174</v>
      </c>
      <c r="B200" s="396" t="s">
        <v>805</v>
      </c>
      <c r="C200" s="249">
        <v>776.5</v>
      </c>
      <c r="D200" s="376"/>
      <c r="E200" s="368" t="s">
        <v>1006</v>
      </c>
      <c r="F200" s="249"/>
      <c r="G200" s="249"/>
      <c r="H200" s="368">
        <v>2076551.4</v>
      </c>
      <c r="I200" s="368">
        <f t="shared" si="148"/>
        <v>0</v>
      </c>
      <c r="J200" s="217">
        <v>0</v>
      </c>
      <c r="K200" s="469">
        <v>0</v>
      </c>
      <c r="L200" s="217">
        <v>0</v>
      </c>
      <c r="M200" s="469">
        <v>0</v>
      </c>
      <c r="N200" s="217">
        <v>0</v>
      </c>
      <c r="O200" s="249">
        <v>0</v>
      </c>
      <c r="P200" s="368">
        <v>0</v>
      </c>
      <c r="Q200" s="249">
        <v>0</v>
      </c>
      <c r="R200" s="368">
        <v>0</v>
      </c>
      <c r="S200" s="249">
        <v>0</v>
      </c>
      <c r="T200" s="368">
        <v>0</v>
      </c>
      <c r="U200" s="130">
        <v>0</v>
      </c>
      <c r="V200" s="368">
        <v>0</v>
      </c>
      <c r="W200" s="368">
        <v>642.1</v>
      </c>
      <c r="X200" s="368">
        <f t="shared" si="149"/>
        <v>1983106.59</v>
      </c>
      <c r="Y200" s="370">
        <v>0</v>
      </c>
      <c r="Z200" s="370">
        <v>0</v>
      </c>
      <c r="AA200" s="370">
        <v>0</v>
      </c>
      <c r="AB200" s="370">
        <v>0</v>
      </c>
      <c r="AC200" s="370">
        <v>0</v>
      </c>
      <c r="AD200" s="370">
        <v>0</v>
      </c>
      <c r="AE200" s="370">
        <v>0</v>
      </c>
      <c r="AF200" s="370">
        <v>0</v>
      </c>
      <c r="AG200" s="370">
        <v>0</v>
      </c>
      <c r="AH200" s="370">
        <v>0</v>
      </c>
      <c r="AI200" s="370">
        <v>0</v>
      </c>
      <c r="AJ200" s="370">
        <f t="shared" si="150"/>
        <v>62296.54</v>
      </c>
      <c r="AK200" s="370">
        <f t="shared" si="151"/>
        <v>31148.27</v>
      </c>
      <c r="AL200" s="370">
        <v>0</v>
      </c>
      <c r="AM200" s="480"/>
      <c r="AN200" s="480"/>
      <c r="AP200" s="486" t="e">
        <f t="shared" si="85"/>
        <v>#DIV/0!</v>
      </c>
      <c r="AQ200" s="486" t="e">
        <f t="shared" si="88"/>
        <v>#DIV/0!</v>
      </c>
      <c r="AR200" s="486" t="e">
        <f t="shared" si="89"/>
        <v>#DIV/0!</v>
      </c>
      <c r="AS200" s="486" t="e">
        <f t="shared" si="90"/>
        <v>#DIV/0!</v>
      </c>
      <c r="AT200" s="486" t="e">
        <f t="shared" si="91"/>
        <v>#DIV/0!</v>
      </c>
      <c r="AU200" s="486" t="e">
        <f t="shared" si="92"/>
        <v>#DIV/0!</v>
      </c>
      <c r="AV200" s="486" t="e">
        <f t="shared" si="93"/>
        <v>#DIV/0!</v>
      </c>
      <c r="AW200" s="486">
        <f t="shared" si="94"/>
        <v>3088.4700046721696</v>
      </c>
      <c r="AX200" s="486" t="e">
        <f t="shared" si="95"/>
        <v>#DIV/0!</v>
      </c>
      <c r="AY200" s="486" t="e">
        <f t="shared" si="96"/>
        <v>#DIV/0!</v>
      </c>
      <c r="AZ200" s="486" t="e">
        <f t="shared" si="97"/>
        <v>#DIV/0!</v>
      </c>
      <c r="BA200" s="486">
        <f t="shared" si="86"/>
        <v>0</v>
      </c>
      <c r="BB200" s="494">
        <v>5155.41</v>
      </c>
      <c r="BC200" s="494">
        <v>2070.12</v>
      </c>
      <c r="BD200" s="494">
        <v>848.92</v>
      </c>
      <c r="BE200" s="494">
        <v>819.73</v>
      </c>
      <c r="BF200" s="494">
        <v>611.5</v>
      </c>
      <c r="BG200" s="494">
        <v>1080.04</v>
      </c>
      <c r="BH200" s="494">
        <v>2671800.0099999998</v>
      </c>
      <c r="BI200" s="494">
        <f t="shared" si="125"/>
        <v>4422.8500000000004</v>
      </c>
      <c r="BJ200" s="494">
        <v>14289.54</v>
      </c>
      <c r="BK200" s="494">
        <v>3389.61</v>
      </c>
      <c r="BL200" s="494">
        <v>5995.76</v>
      </c>
      <c r="BM200" s="494">
        <v>548.62</v>
      </c>
      <c r="BN200" s="495" t="e">
        <f t="shared" si="98"/>
        <v>#DIV/0!</v>
      </c>
      <c r="BO200" s="495" t="e">
        <f t="shared" si="99"/>
        <v>#DIV/0!</v>
      </c>
      <c r="BP200" s="495" t="e">
        <f t="shared" si="100"/>
        <v>#DIV/0!</v>
      </c>
      <c r="BQ200" s="495" t="e">
        <f t="shared" si="101"/>
        <v>#DIV/0!</v>
      </c>
      <c r="BR200" s="495" t="e">
        <f t="shared" si="102"/>
        <v>#DIV/0!</v>
      </c>
      <c r="BS200" s="495" t="e">
        <f t="shared" si="103"/>
        <v>#DIV/0!</v>
      </c>
      <c r="BT200" s="495" t="e">
        <f t="shared" si="104"/>
        <v>#DIV/0!</v>
      </c>
      <c r="BU200" s="495" t="str">
        <f t="shared" si="105"/>
        <v xml:space="preserve"> </v>
      </c>
      <c r="BV200" s="495" t="e">
        <f t="shared" si="106"/>
        <v>#DIV/0!</v>
      </c>
      <c r="BW200" s="495" t="e">
        <f t="shared" si="107"/>
        <v>#DIV/0!</v>
      </c>
      <c r="BX200" s="495" t="e">
        <f t="shared" si="108"/>
        <v>#DIV/0!</v>
      </c>
      <c r="BY200" s="495" t="str">
        <f t="shared" si="109"/>
        <v xml:space="preserve"> </v>
      </c>
    </row>
    <row r="201" spans="1:77" s="28" customFormat="1" ht="9" customHeight="1">
      <c r="A201" s="190">
        <v>175</v>
      </c>
      <c r="B201" s="396" t="s">
        <v>806</v>
      </c>
      <c r="C201" s="249">
        <v>381.3</v>
      </c>
      <c r="D201" s="376"/>
      <c r="E201" s="368" t="s">
        <v>1006</v>
      </c>
      <c r="F201" s="249"/>
      <c r="G201" s="249"/>
      <c r="H201" s="368">
        <v>1280664</v>
      </c>
      <c r="I201" s="368">
        <f t="shared" si="148"/>
        <v>0</v>
      </c>
      <c r="J201" s="217">
        <v>0</v>
      </c>
      <c r="K201" s="469">
        <v>0</v>
      </c>
      <c r="L201" s="217">
        <v>0</v>
      </c>
      <c r="M201" s="469">
        <v>0</v>
      </c>
      <c r="N201" s="217">
        <v>0</v>
      </c>
      <c r="O201" s="249">
        <v>0</v>
      </c>
      <c r="P201" s="368">
        <v>0</v>
      </c>
      <c r="Q201" s="249">
        <v>0</v>
      </c>
      <c r="R201" s="368">
        <v>0</v>
      </c>
      <c r="S201" s="249">
        <v>0</v>
      </c>
      <c r="T201" s="368">
        <v>0</v>
      </c>
      <c r="U201" s="130">
        <v>0</v>
      </c>
      <c r="V201" s="368">
        <v>0</v>
      </c>
      <c r="W201" s="368">
        <v>396</v>
      </c>
      <c r="X201" s="368">
        <f t="shared" si="149"/>
        <v>1223034.1200000001</v>
      </c>
      <c r="Y201" s="370">
        <v>0</v>
      </c>
      <c r="Z201" s="370">
        <v>0</v>
      </c>
      <c r="AA201" s="370">
        <v>0</v>
      </c>
      <c r="AB201" s="370">
        <v>0</v>
      </c>
      <c r="AC201" s="370">
        <v>0</v>
      </c>
      <c r="AD201" s="370">
        <v>0</v>
      </c>
      <c r="AE201" s="370">
        <v>0</v>
      </c>
      <c r="AF201" s="370">
        <v>0</v>
      </c>
      <c r="AG201" s="370">
        <v>0</v>
      </c>
      <c r="AH201" s="370">
        <v>0</v>
      </c>
      <c r="AI201" s="370">
        <v>0</v>
      </c>
      <c r="AJ201" s="370">
        <f t="shared" si="150"/>
        <v>38419.919999999998</v>
      </c>
      <c r="AK201" s="370">
        <f t="shared" si="151"/>
        <v>19209.96</v>
      </c>
      <c r="AL201" s="370">
        <v>0</v>
      </c>
      <c r="AM201" s="480"/>
      <c r="AN201" s="480"/>
      <c r="AP201" s="486" t="e">
        <f t="shared" si="85"/>
        <v>#DIV/0!</v>
      </c>
      <c r="AQ201" s="486" t="e">
        <f t="shared" si="88"/>
        <v>#DIV/0!</v>
      </c>
      <c r="AR201" s="486" t="e">
        <f t="shared" si="89"/>
        <v>#DIV/0!</v>
      </c>
      <c r="AS201" s="486" t="e">
        <f t="shared" si="90"/>
        <v>#DIV/0!</v>
      </c>
      <c r="AT201" s="486" t="e">
        <f t="shared" si="91"/>
        <v>#DIV/0!</v>
      </c>
      <c r="AU201" s="486" t="e">
        <f t="shared" si="92"/>
        <v>#DIV/0!</v>
      </c>
      <c r="AV201" s="486" t="e">
        <f t="shared" si="93"/>
        <v>#DIV/0!</v>
      </c>
      <c r="AW201" s="486">
        <f t="shared" si="94"/>
        <v>3088.4700000000003</v>
      </c>
      <c r="AX201" s="486" t="e">
        <f t="shared" si="95"/>
        <v>#DIV/0!</v>
      </c>
      <c r="AY201" s="486" t="e">
        <f t="shared" si="96"/>
        <v>#DIV/0!</v>
      </c>
      <c r="AZ201" s="486" t="e">
        <f t="shared" si="97"/>
        <v>#DIV/0!</v>
      </c>
      <c r="BA201" s="486">
        <f t="shared" si="86"/>
        <v>0</v>
      </c>
      <c r="BB201" s="494">
        <v>5155.41</v>
      </c>
      <c r="BC201" s="494">
        <v>2070.12</v>
      </c>
      <c r="BD201" s="494">
        <v>848.92</v>
      </c>
      <c r="BE201" s="494">
        <v>819.73</v>
      </c>
      <c r="BF201" s="494">
        <v>611.5</v>
      </c>
      <c r="BG201" s="494">
        <v>1080.04</v>
      </c>
      <c r="BH201" s="494">
        <v>2671800.0099999998</v>
      </c>
      <c r="BI201" s="494">
        <f t="shared" si="125"/>
        <v>4422.8500000000004</v>
      </c>
      <c r="BJ201" s="494">
        <v>14289.54</v>
      </c>
      <c r="BK201" s="494">
        <v>3389.61</v>
      </c>
      <c r="BL201" s="494">
        <v>5995.76</v>
      </c>
      <c r="BM201" s="494">
        <v>548.62</v>
      </c>
      <c r="BN201" s="495" t="e">
        <f t="shared" si="98"/>
        <v>#DIV/0!</v>
      </c>
      <c r="BO201" s="495" t="e">
        <f t="shared" si="99"/>
        <v>#DIV/0!</v>
      </c>
      <c r="BP201" s="495" t="e">
        <f t="shared" si="100"/>
        <v>#DIV/0!</v>
      </c>
      <c r="BQ201" s="495" t="e">
        <f t="shared" si="101"/>
        <v>#DIV/0!</v>
      </c>
      <c r="BR201" s="495" t="e">
        <f t="shared" si="102"/>
        <v>#DIV/0!</v>
      </c>
      <c r="BS201" s="495" t="e">
        <f t="shared" si="103"/>
        <v>#DIV/0!</v>
      </c>
      <c r="BT201" s="495" t="e">
        <f t="shared" si="104"/>
        <v>#DIV/0!</v>
      </c>
      <c r="BU201" s="495" t="str">
        <f t="shared" si="105"/>
        <v xml:space="preserve"> </v>
      </c>
      <c r="BV201" s="495" t="e">
        <f t="shared" si="106"/>
        <v>#DIV/0!</v>
      </c>
      <c r="BW201" s="495" t="e">
        <f t="shared" si="107"/>
        <v>#DIV/0!</v>
      </c>
      <c r="BX201" s="495" t="e">
        <f t="shared" si="108"/>
        <v>#DIV/0!</v>
      </c>
      <c r="BY201" s="495" t="str">
        <f t="shared" si="109"/>
        <v xml:space="preserve"> </v>
      </c>
    </row>
    <row r="202" spans="1:77" s="28" customFormat="1" ht="24" customHeight="1">
      <c r="A202" s="964" t="s">
        <v>261</v>
      </c>
      <c r="B202" s="964"/>
      <c r="C202" s="370">
        <f t="shared" ref="C202" si="152">SUM(C199:C201)</f>
        <v>5640.7</v>
      </c>
      <c r="D202" s="397"/>
      <c r="E202" s="368" t="s">
        <v>391</v>
      </c>
      <c r="F202" s="249"/>
      <c r="G202" s="249"/>
      <c r="H202" s="370">
        <f t="shared" ref="H202:AK202" si="153">SUM(H199:H201)</f>
        <v>8158175.4000000004</v>
      </c>
      <c r="I202" s="370">
        <f t="shared" si="153"/>
        <v>0</v>
      </c>
      <c r="J202" s="370">
        <f t="shared" si="153"/>
        <v>0</v>
      </c>
      <c r="K202" s="370">
        <f t="shared" si="153"/>
        <v>0</v>
      </c>
      <c r="L202" s="370">
        <f t="shared" si="153"/>
        <v>0</v>
      </c>
      <c r="M202" s="370">
        <f t="shared" si="153"/>
        <v>0</v>
      </c>
      <c r="N202" s="370">
        <f t="shared" si="153"/>
        <v>0</v>
      </c>
      <c r="O202" s="370">
        <f t="shared" si="153"/>
        <v>0</v>
      </c>
      <c r="P202" s="370">
        <f t="shared" si="153"/>
        <v>0</v>
      </c>
      <c r="Q202" s="370">
        <f t="shared" si="153"/>
        <v>0</v>
      </c>
      <c r="R202" s="370">
        <f t="shared" si="153"/>
        <v>0</v>
      </c>
      <c r="S202" s="370">
        <f t="shared" si="153"/>
        <v>0</v>
      </c>
      <c r="T202" s="370">
        <f t="shared" si="153"/>
        <v>0</v>
      </c>
      <c r="U202" s="285">
        <f t="shared" si="153"/>
        <v>0</v>
      </c>
      <c r="V202" s="370">
        <f t="shared" si="153"/>
        <v>0</v>
      </c>
      <c r="W202" s="370">
        <f t="shared" si="153"/>
        <v>2478.1</v>
      </c>
      <c r="X202" s="370">
        <f t="shared" si="153"/>
        <v>7791057.5099999998</v>
      </c>
      <c r="Y202" s="370">
        <f t="shared" si="153"/>
        <v>0</v>
      </c>
      <c r="Z202" s="370">
        <f t="shared" si="153"/>
        <v>0</v>
      </c>
      <c r="AA202" s="370">
        <f t="shared" si="153"/>
        <v>0</v>
      </c>
      <c r="AB202" s="370">
        <f t="shared" si="153"/>
        <v>0</v>
      </c>
      <c r="AC202" s="370">
        <f t="shared" si="153"/>
        <v>0</v>
      </c>
      <c r="AD202" s="370">
        <f t="shared" si="153"/>
        <v>0</v>
      </c>
      <c r="AE202" s="370">
        <f t="shared" si="153"/>
        <v>0</v>
      </c>
      <c r="AF202" s="370">
        <f t="shared" si="153"/>
        <v>0</v>
      </c>
      <c r="AG202" s="370">
        <f t="shared" si="153"/>
        <v>0</v>
      </c>
      <c r="AH202" s="370">
        <f t="shared" si="153"/>
        <v>0</v>
      </c>
      <c r="AI202" s="370">
        <f t="shared" si="153"/>
        <v>0</v>
      </c>
      <c r="AJ202" s="370">
        <f t="shared" si="153"/>
        <v>244745.26</v>
      </c>
      <c r="AK202" s="370">
        <f t="shared" si="153"/>
        <v>122372.63</v>
      </c>
      <c r="AL202" s="370">
        <f>SUM(AL199:AL201)</f>
        <v>0</v>
      </c>
      <c r="AM202" s="360"/>
      <c r="AN202" s="360"/>
      <c r="AP202" s="486" t="e">
        <f t="shared" si="85"/>
        <v>#DIV/0!</v>
      </c>
      <c r="AQ202" s="486" t="e">
        <f t="shared" si="88"/>
        <v>#DIV/0!</v>
      </c>
      <c r="AR202" s="497" t="e">
        <f t="shared" si="89"/>
        <v>#DIV/0!</v>
      </c>
      <c r="AS202" s="497" t="e">
        <f t="shared" si="90"/>
        <v>#DIV/0!</v>
      </c>
      <c r="AT202" s="497" t="e">
        <f t="shared" si="91"/>
        <v>#DIV/0!</v>
      </c>
      <c r="AU202" s="497" t="e">
        <f t="shared" si="92"/>
        <v>#DIV/0!</v>
      </c>
      <c r="AV202" s="497" t="e">
        <f t="shared" si="93"/>
        <v>#DIV/0!</v>
      </c>
      <c r="AW202" s="497">
        <f t="shared" si="94"/>
        <v>3143.9641297768453</v>
      </c>
      <c r="AX202" s="497" t="e">
        <f t="shared" si="95"/>
        <v>#DIV/0!</v>
      </c>
      <c r="AY202" s="486" t="e">
        <f t="shared" si="96"/>
        <v>#DIV/0!</v>
      </c>
      <c r="AZ202" s="497" t="e">
        <f t="shared" si="97"/>
        <v>#DIV/0!</v>
      </c>
      <c r="BA202" s="486">
        <f t="shared" si="86"/>
        <v>0</v>
      </c>
      <c r="BB202" s="494">
        <v>5155.41</v>
      </c>
      <c r="BC202" s="494">
        <v>2070.12</v>
      </c>
      <c r="BD202" s="494">
        <v>848.92</v>
      </c>
      <c r="BE202" s="494">
        <v>819.73</v>
      </c>
      <c r="BF202" s="494">
        <v>611.5</v>
      </c>
      <c r="BG202" s="494">
        <v>1080.04</v>
      </c>
      <c r="BH202" s="494">
        <v>2671800.0099999998</v>
      </c>
      <c r="BI202" s="494">
        <f t="shared" si="125"/>
        <v>4422.8500000000004</v>
      </c>
      <c r="BJ202" s="494">
        <v>14289.54</v>
      </c>
      <c r="BK202" s="494">
        <v>3389.61</v>
      </c>
      <c r="BL202" s="494">
        <v>5995.76</v>
      </c>
      <c r="BM202" s="494">
        <v>548.62</v>
      </c>
      <c r="BN202" s="493" t="e">
        <f t="shared" si="98"/>
        <v>#DIV/0!</v>
      </c>
      <c r="BO202" s="493" t="e">
        <f t="shared" si="99"/>
        <v>#DIV/0!</v>
      </c>
      <c r="BP202" s="493" t="e">
        <f t="shared" si="100"/>
        <v>#DIV/0!</v>
      </c>
      <c r="BQ202" s="493" t="e">
        <f t="shared" si="101"/>
        <v>#DIV/0!</v>
      </c>
      <c r="BR202" s="493" t="e">
        <f t="shared" si="102"/>
        <v>#DIV/0!</v>
      </c>
      <c r="BS202" s="493" t="e">
        <f t="shared" si="103"/>
        <v>#DIV/0!</v>
      </c>
      <c r="BT202" s="493" t="e">
        <f t="shared" si="104"/>
        <v>#DIV/0!</v>
      </c>
      <c r="BU202" s="493" t="str">
        <f t="shared" si="105"/>
        <v xml:space="preserve"> </v>
      </c>
      <c r="BV202" s="493" t="e">
        <f t="shared" si="106"/>
        <v>#DIV/0!</v>
      </c>
      <c r="BW202" s="493" t="e">
        <f t="shared" si="107"/>
        <v>#DIV/0!</v>
      </c>
      <c r="BX202" s="493" t="e">
        <f t="shared" si="108"/>
        <v>#DIV/0!</v>
      </c>
      <c r="BY202" s="493" t="str">
        <f t="shared" si="109"/>
        <v xml:space="preserve"> </v>
      </c>
    </row>
    <row r="203" spans="1:77" s="28" customFormat="1" ht="9" customHeight="1">
      <c r="A203" s="959" t="s">
        <v>264</v>
      </c>
      <c r="B203" s="960"/>
      <c r="C203" s="960"/>
      <c r="D203" s="960"/>
      <c r="E203" s="960"/>
      <c r="F203" s="960"/>
      <c r="G203" s="960"/>
      <c r="H203" s="960"/>
      <c r="I203" s="960"/>
      <c r="J203" s="960"/>
      <c r="K203" s="960"/>
      <c r="L203" s="960"/>
      <c r="M203" s="960"/>
      <c r="N203" s="960"/>
      <c r="O203" s="960"/>
      <c r="P203" s="960"/>
      <c r="Q203" s="960"/>
      <c r="R203" s="960"/>
      <c r="S203" s="960"/>
      <c r="T203" s="960"/>
      <c r="U203" s="960"/>
      <c r="V203" s="960"/>
      <c r="W203" s="960"/>
      <c r="X203" s="960"/>
      <c r="Y203" s="960"/>
      <c r="Z203" s="960"/>
      <c r="AA203" s="960"/>
      <c r="AB203" s="960"/>
      <c r="AC203" s="960"/>
      <c r="AD203" s="960"/>
      <c r="AE203" s="960"/>
      <c r="AF203" s="960"/>
      <c r="AG203" s="960"/>
      <c r="AH203" s="960"/>
      <c r="AI203" s="960"/>
      <c r="AJ203" s="960"/>
      <c r="AK203" s="960"/>
      <c r="AL203" s="960"/>
      <c r="AM203" s="960"/>
      <c r="AN203" s="961"/>
      <c r="AP203" s="486" t="e">
        <f t="shared" si="85"/>
        <v>#DIV/0!</v>
      </c>
      <c r="AQ203" s="486" t="e">
        <f t="shared" si="88"/>
        <v>#DIV/0!</v>
      </c>
      <c r="AR203" s="497" t="e">
        <f t="shared" si="89"/>
        <v>#DIV/0!</v>
      </c>
      <c r="AS203" s="497" t="e">
        <f t="shared" si="90"/>
        <v>#DIV/0!</v>
      </c>
      <c r="AT203" s="497" t="e">
        <f t="shared" si="91"/>
        <v>#DIV/0!</v>
      </c>
      <c r="AU203" s="497" t="e">
        <f t="shared" si="92"/>
        <v>#DIV/0!</v>
      </c>
      <c r="AV203" s="497" t="e">
        <f t="shared" si="93"/>
        <v>#DIV/0!</v>
      </c>
      <c r="AW203" s="497" t="e">
        <f t="shared" si="94"/>
        <v>#DIV/0!</v>
      </c>
      <c r="AX203" s="497" t="e">
        <f t="shared" si="95"/>
        <v>#DIV/0!</v>
      </c>
      <c r="AY203" s="486" t="e">
        <f t="shared" si="96"/>
        <v>#DIV/0!</v>
      </c>
      <c r="AZ203" s="497" t="e">
        <f t="shared" si="97"/>
        <v>#DIV/0!</v>
      </c>
      <c r="BA203" s="486" t="e">
        <f t="shared" si="86"/>
        <v>#DIV/0!</v>
      </c>
      <c r="BB203" s="494">
        <v>5155.41</v>
      </c>
      <c r="BC203" s="494">
        <v>2070.12</v>
      </c>
      <c r="BD203" s="494">
        <v>848.92</v>
      </c>
      <c r="BE203" s="494">
        <v>819.73</v>
      </c>
      <c r="BF203" s="494">
        <v>611.5</v>
      </c>
      <c r="BG203" s="494">
        <v>1080.04</v>
      </c>
      <c r="BH203" s="494">
        <v>2671800.0099999998</v>
      </c>
      <c r="BI203" s="494">
        <f t="shared" si="125"/>
        <v>4422.8500000000004</v>
      </c>
      <c r="BJ203" s="494">
        <v>14289.54</v>
      </c>
      <c r="BK203" s="494">
        <v>3389.61</v>
      </c>
      <c r="BL203" s="494">
        <v>5995.76</v>
      </c>
      <c r="BM203" s="494">
        <v>548.62</v>
      </c>
      <c r="BN203" s="493" t="e">
        <f t="shared" si="98"/>
        <v>#DIV/0!</v>
      </c>
      <c r="BO203" s="493" t="e">
        <f t="shared" si="99"/>
        <v>#DIV/0!</v>
      </c>
      <c r="BP203" s="493" t="e">
        <f t="shared" si="100"/>
        <v>#DIV/0!</v>
      </c>
      <c r="BQ203" s="493" t="e">
        <f t="shared" si="101"/>
        <v>#DIV/0!</v>
      </c>
      <c r="BR203" s="493" t="e">
        <f t="shared" si="102"/>
        <v>#DIV/0!</v>
      </c>
      <c r="BS203" s="493" t="e">
        <f t="shared" si="103"/>
        <v>#DIV/0!</v>
      </c>
      <c r="BT203" s="493" t="e">
        <f t="shared" si="104"/>
        <v>#DIV/0!</v>
      </c>
      <c r="BU203" s="493" t="e">
        <f t="shared" si="105"/>
        <v>#DIV/0!</v>
      </c>
      <c r="BV203" s="493" t="e">
        <f t="shared" si="106"/>
        <v>#DIV/0!</v>
      </c>
      <c r="BW203" s="493" t="e">
        <f t="shared" si="107"/>
        <v>#DIV/0!</v>
      </c>
      <c r="BX203" s="493" t="e">
        <f t="shared" si="108"/>
        <v>#DIV/0!</v>
      </c>
      <c r="BY203" s="493" t="e">
        <f t="shared" si="109"/>
        <v>#DIV/0!</v>
      </c>
    </row>
    <row r="204" spans="1:77" s="28" customFormat="1" ht="9" customHeight="1">
      <c r="A204" s="130">
        <v>176</v>
      </c>
      <c r="B204" s="396" t="s">
        <v>809</v>
      </c>
      <c r="C204" s="249">
        <v>924.1</v>
      </c>
      <c r="D204" s="376"/>
      <c r="E204" s="368" t="s">
        <v>1006</v>
      </c>
      <c r="F204" s="249"/>
      <c r="G204" s="249"/>
      <c r="H204" s="368">
        <v>3169320</v>
      </c>
      <c r="I204" s="368">
        <f t="shared" ref="I204:I207" si="154">J204+L204+N204+P204+R204+T204</f>
        <v>0</v>
      </c>
      <c r="J204" s="217">
        <v>0</v>
      </c>
      <c r="K204" s="469">
        <v>0</v>
      </c>
      <c r="L204" s="217">
        <v>0</v>
      </c>
      <c r="M204" s="469">
        <v>0</v>
      </c>
      <c r="N204" s="217">
        <v>0</v>
      </c>
      <c r="O204" s="249">
        <v>0</v>
      </c>
      <c r="P204" s="368">
        <v>0</v>
      </c>
      <c r="Q204" s="249">
        <v>0</v>
      </c>
      <c r="R204" s="368">
        <v>0</v>
      </c>
      <c r="S204" s="249">
        <v>0</v>
      </c>
      <c r="T204" s="368">
        <v>0</v>
      </c>
      <c r="U204" s="130">
        <v>0</v>
      </c>
      <c r="V204" s="368">
        <v>0</v>
      </c>
      <c r="W204" s="368">
        <v>980</v>
      </c>
      <c r="X204" s="368">
        <f>ROUND(H204/100*95.5,2)</f>
        <v>3026700.6</v>
      </c>
      <c r="Y204" s="370">
        <v>0</v>
      </c>
      <c r="Z204" s="370">
        <v>0</v>
      </c>
      <c r="AA204" s="370">
        <v>0</v>
      </c>
      <c r="AB204" s="370">
        <v>0</v>
      </c>
      <c r="AC204" s="370">
        <v>0</v>
      </c>
      <c r="AD204" s="370">
        <v>0</v>
      </c>
      <c r="AE204" s="370">
        <v>0</v>
      </c>
      <c r="AF204" s="370">
        <v>0</v>
      </c>
      <c r="AG204" s="370">
        <v>0</v>
      </c>
      <c r="AH204" s="370">
        <v>0</v>
      </c>
      <c r="AI204" s="370">
        <v>0</v>
      </c>
      <c r="AJ204" s="370">
        <f t="shared" ref="AJ204:AJ207" si="155">ROUND(H204/100*3,2)</f>
        <v>95079.6</v>
      </c>
      <c r="AK204" s="370">
        <f t="shared" ref="AK204:AK207" si="156">ROUND(H204/100*1.5,2)</f>
        <v>47539.8</v>
      </c>
      <c r="AL204" s="370">
        <v>0</v>
      </c>
      <c r="AM204" s="229"/>
      <c r="AN204" s="229"/>
      <c r="AP204" s="486" t="e">
        <f t="shared" si="85"/>
        <v>#DIV/0!</v>
      </c>
      <c r="AQ204" s="486" t="e">
        <f t="shared" si="88"/>
        <v>#DIV/0!</v>
      </c>
      <c r="AR204" s="486" t="e">
        <f t="shared" si="89"/>
        <v>#DIV/0!</v>
      </c>
      <c r="AS204" s="486" t="e">
        <f t="shared" si="90"/>
        <v>#DIV/0!</v>
      </c>
      <c r="AT204" s="486" t="e">
        <f t="shared" si="91"/>
        <v>#DIV/0!</v>
      </c>
      <c r="AU204" s="486" t="e">
        <f t="shared" si="92"/>
        <v>#DIV/0!</v>
      </c>
      <c r="AV204" s="486" t="e">
        <f t="shared" si="93"/>
        <v>#DIV/0!</v>
      </c>
      <c r="AW204" s="486">
        <f>X204/W204</f>
        <v>3088.4700000000003</v>
      </c>
      <c r="AX204" s="486" t="e">
        <f t="shared" si="95"/>
        <v>#DIV/0!</v>
      </c>
      <c r="AY204" s="486" t="e">
        <f t="shared" si="96"/>
        <v>#DIV/0!</v>
      </c>
      <c r="AZ204" s="486" t="e">
        <f t="shared" si="97"/>
        <v>#DIV/0!</v>
      </c>
      <c r="BA204" s="486">
        <f t="shared" si="86"/>
        <v>0</v>
      </c>
      <c r="BB204" s="494">
        <v>5155.41</v>
      </c>
      <c r="BC204" s="494">
        <v>2070.12</v>
      </c>
      <c r="BD204" s="494">
        <v>848.92</v>
      </c>
      <c r="BE204" s="494">
        <v>819.73</v>
      </c>
      <c r="BF204" s="494">
        <v>611.5</v>
      </c>
      <c r="BG204" s="494">
        <v>1080.04</v>
      </c>
      <c r="BH204" s="494">
        <v>2671800.0099999998</v>
      </c>
      <c r="BI204" s="494">
        <f t="shared" si="125"/>
        <v>4422.8500000000004</v>
      </c>
      <c r="BJ204" s="494">
        <v>14289.54</v>
      </c>
      <c r="BK204" s="494">
        <v>3389.61</v>
      </c>
      <c r="BL204" s="494">
        <v>5995.76</v>
      </c>
      <c r="BM204" s="494">
        <v>548.62</v>
      </c>
      <c r="BN204" s="495" t="e">
        <f t="shared" si="98"/>
        <v>#DIV/0!</v>
      </c>
      <c r="BO204" s="495" t="e">
        <f t="shared" si="99"/>
        <v>#DIV/0!</v>
      </c>
      <c r="BP204" s="495" t="e">
        <f t="shared" si="100"/>
        <v>#DIV/0!</v>
      </c>
      <c r="BQ204" s="495" t="e">
        <f t="shared" si="101"/>
        <v>#DIV/0!</v>
      </c>
      <c r="BR204" s="495" t="e">
        <f t="shared" si="102"/>
        <v>#DIV/0!</v>
      </c>
      <c r="BS204" s="495" t="e">
        <f t="shared" si="103"/>
        <v>#DIV/0!</v>
      </c>
      <c r="BT204" s="495" t="e">
        <f t="shared" si="104"/>
        <v>#DIV/0!</v>
      </c>
      <c r="BU204" s="495" t="str">
        <f t="shared" si="105"/>
        <v xml:space="preserve"> </v>
      </c>
      <c r="BV204" s="495" t="e">
        <f t="shared" si="106"/>
        <v>#DIV/0!</v>
      </c>
      <c r="BW204" s="495" t="e">
        <f t="shared" si="107"/>
        <v>#DIV/0!</v>
      </c>
      <c r="BX204" s="495" t="e">
        <f>IF(AZ204&gt;BL204, "+", " ")</f>
        <v>#DIV/0!</v>
      </c>
      <c r="BY204" s="495" t="str">
        <f t="shared" si="109"/>
        <v xml:space="preserve"> </v>
      </c>
    </row>
    <row r="205" spans="1:77" s="28" customFormat="1" ht="9" customHeight="1">
      <c r="A205" s="130">
        <v>177</v>
      </c>
      <c r="B205" s="396" t="s">
        <v>810</v>
      </c>
      <c r="C205" s="249">
        <v>726.8</v>
      </c>
      <c r="D205" s="376"/>
      <c r="E205" s="368" t="s">
        <v>1006</v>
      </c>
      <c r="F205" s="249"/>
      <c r="G205" s="249"/>
      <c r="H205" s="368">
        <v>2166780</v>
      </c>
      <c r="I205" s="368">
        <f t="shared" si="154"/>
        <v>0</v>
      </c>
      <c r="J205" s="217">
        <v>0</v>
      </c>
      <c r="K205" s="469">
        <v>0</v>
      </c>
      <c r="L205" s="217">
        <v>0</v>
      </c>
      <c r="M205" s="469">
        <v>0</v>
      </c>
      <c r="N205" s="217">
        <v>0</v>
      </c>
      <c r="O205" s="249">
        <v>0</v>
      </c>
      <c r="P205" s="368">
        <v>0</v>
      </c>
      <c r="Q205" s="249">
        <v>0</v>
      </c>
      <c r="R205" s="368">
        <v>0</v>
      </c>
      <c r="S205" s="249">
        <v>0</v>
      </c>
      <c r="T205" s="368">
        <v>0</v>
      </c>
      <c r="U205" s="130">
        <v>0</v>
      </c>
      <c r="V205" s="368">
        <v>0</v>
      </c>
      <c r="W205" s="368">
        <v>670</v>
      </c>
      <c r="X205" s="368">
        <f>ROUND(H205/100*95.5,2)</f>
        <v>2069274.9</v>
      </c>
      <c r="Y205" s="370">
        <v>0</v>
      </c>
      <c r="Z205" s="370">
        <v>0</v>
      </c>
      <c r="AA205" s="370">
        <v>0</v>
      </c>
      <c r="AB205" s="370">
        <v>0</v>
      </c>
      <c r="AC205" s="370">
        <v>0</v>
      </c>
      <c r="AD205" s="370">
        <v>0</v>
      </c>
      <c r="AE205" s="370">
        <v>0</v>
      </c>
      <c r="AF205" s="370">
        <v>0</v>
      </c>
      <c r="AG205" s="370">
        <v>0</v>
      </c>
      <c r="AH205" s="370">
        <v>0</v>
      </c>
      <c r="AI205" s="370">
        <v>0</v>
      </c>
      <c r="AJ205" s="370">
        <f t="shared" si="155"/>
        <v>65003.4</v>
      </c>
      <c r="AK205" s="370">
        <f t="shared" si="156"/>
        <v>32501.7</v>
      </c>
      <c r="AL205" s="370">
        <v>0</v>
      </c>
      <c r="AM205" s="229"/>
      <c r="AN205" s="229"/>
      <c r="AP205" s="486" t="e">
        <f t="shared" si="85"/>
        <v>#DIV/0!</v>
      </c>
      <c r="AQ205" s="486" t="e">
        <f t="shared" si="88"/>
        <v>#DIV/0!</v>
      </c>
      <c r="AR205" s="486" t="e">
        <f t="shared" si="89"/>
        <v>#DIV/0!</v>
      </c>
      <c r="AS205" s="486" t="e">
        <f t="shared" si="90"/>
        <v>#DIV/0!</v>
      </c>
      <c r="AT205" s="486" t="e">
        <f t="shared" si="91"/>
        <v>#DIV/0!</v>
      </c>
      <c r="AU205" s="486" t="e">
        <f t="shared" si="92"/>
        <v>#DIV/0!</v>
      </c>
      <c r="AV205" s="486" t="e">
        <f t="shared" si="93"/>
        <v>#DIV/0!</v>
      </c>
      <c r="AW205" s="486">
        <f t="shared" si="94"/>
        <v>3088.47</v>
      </c>
      <c r="AX205" s="486" t="e">
        <f t="shared" si="95"/>
        <v>#DIV/0!</v>
      </c>
      <c r="AY205" s="486" t="e">
        <f t="shared" si="96"/>
        <v>#DIV/0!</v>
      </c>
      <c r="AZ205" s="486" t="e">
        <f t="shared" si="97"/>
        <v>#DIV/0!</v>
      </c>
      <c r="BA205" s="486">
        <f t="shared" si="86"/>
        <v>0</v>
      </c>
      <c r="BB205" s="494">
        <v>5155.41</v>
      </c>
      <c r="BC205" s="494">
        <v>2070.12</v>
      </c>
      <c r="BD205" s="494">
        <v>848.92</v>
      </c>
      <c r="BE205" s="494">
        <v>819.73</v>
      </c>
      <c r="BF205" s="494">
        <v>611.5</v>
      </c>
      <c r="BG205" s="494">
        <v>1080.04</v>
      </c>
      <c r="BH205" s="494">
        <v>2671800.0099999998</v>
      </c>
      <c r="BI205" s="494">
        <f t="shared" si="125"/>
        <v>4422.8500000000004</v>
      </c>
      <c r="BJ205" s="494">
        <v>14289.54</v>
      </c>
      <c r="BK205" s="494">
        <v>3389.61</v>
      </c>
      <c r="BL205" s="494">
        <v>5995.76</v>
      </c>
      <c r="BM205" s="494">
        <v>548.62</v>
      </c>
      <c r="BN205" s="495" t="e">
        <f t="shared" si="98"/>
        <v>#DIV/0!</v>
      </c>
      <c r="BO205" s="495" t="e">
        <f t="shared" si="99"/>
        <v>#DIV/0!</v>
      </c>
      <c r="BP205" s="495" t="e">
        <f t="shared" si="100"/>
        <v>#DIV/0!</v>
      </c>
      <c r="BQ205" s="495" t="e">
        <f t="shared" si="101"/>
        <v>#DIV/0!</v>
      </c>
      <c r="BR205" s="495" t="e">
        <f t="shared" si="102"/>
        <v>#DIV/0!</v>
      </c>
      <c r="BS205" s="495" t="e">
        <f t="shared" si="103"/>
        <v>#DIV/0!</v>
      </c>
      <c r="BT205" s="495" t="e">
        <f t="shared" si="104"/>
        <v>#DIV/0!</v>
      </c>
      <c r="BU205" s="495" t="str">
        <f t="shared" si="105"/>
        <v xml:space="preserve"> </v>
      </c>
      <c r="BV205" s="495" t="e">
        <f t="shared" si="106"/>
        <v>#DIV/0!</v>
      </c>
      <c r="BW205" s="495" t="e">
        <f t="shared" si="107"/>
        <v>#DIV/0!</v>
      </c>
      <c r="BX205" s="495" t="e">
        <f t="shared" si="108"/>
        <v>#DIV/0!</v>
      </c>
      <c r="BY205" s="495" t="str">
        <f t="shared" si="109"/>
        <v xml:space="preserve"> </v>
      </c>
    </row>
    <row r="206" spans="1:77" s="28" customFormat="1" ht="9" customHeight="1">
      <c r="A206" s="130">
        <v>178</v>
      </c>
      <c r="B206" s="396" t="s">
        <v>811</v>
      </c>
      <c r="C206" s="249">
        <v>369.21</v>
      </c>
      <c r="D206" s="376"/>
      <c r="E206" s="368" t="s">
        <v>1006</v>
      </c>
      <c r="F206" s="249"/>
      <c r="G206" s="249"/>
      <c r="H206" s="368">
        <v>771955.8</v>
      </c>
      <c r="I206" s="368">
        <f t="shared" si="154"/>
        <v>0</v>
      </c>
      <c r="J206" s="217">
        <v>0</v>
      </c>
      <c r="K206" s="469">
        <v>0</v>
      </c>
      <c r="L206" s="217">
        <v>0</v>
      </c>
      <c r="M206" s="469">
        <v>0</v>
      </c>
      <c r="N206" s="217">
        <v>0</v>
      </c>
      <c r="O206" s="249">
        <v>0</v>
      </c>
      <c r="P206" s="368">
        <v>0</v>
      </c>
      <c r="Q206" s="249">
        <v>0</v>
      </c>
      <c r="R206" s="368">
        <v>0</v>
      </c>
      <c r="S206" s="249">
        <v>0</v>
      </c>
      <c r="T206" s="368">
        <v>0</v>
      </c>
      <c r="U206" s="130">
        <v>0</v>
      </c>
      <c r="V206" s="368">
        <v>0</v>
      </c>
      <c r="W206" s="368">
        <v>238.7</v>
      </c>
      <c r="X206" s="368">
        <f>ROUND(H206/100*95.5,2)</f>
        <v>737217.79</v>
      </c>
      <c r="Y206" s="370">
        <v>0</v>
      </c>
      <c r="Z206" s="370">
        <v>0</v>
      </c>
      <c r="AA206" s="370">
        <v>0</v>
      </c>
      <c r="AB206" s="370">
        <v>0</v>
      </c>
      <c r="AC206" s="370">
        <v>0</v>
      </c>
      <c r="AD206" s="370">
        <v>0</v>
      </c>
      <c r="AE206" s="370">
        <v>0</v>
      </c>
      <c r="AF206" s="370">
        <v>0</v>
      </c>
      <c r="AG206" s="370">
        <v>0</v>
      </c>
      <c r="AH206" s="370">
        <v>0</v>
      </c>
      <c r="AI206" s="370">
        <v>0</v>
      </c>
      <c r="AJ206" s="370">
        <f t="shared" si="155"/>
        <v>23158.67</v>
      </c>
      <c r="AK206" s="370">
        <f t="shared" si="156"/>
        <v>11579.34</v>
      </c>
      <c r="AL206" s="370">
        <v>0</v>
      </c>
      <c r="AM206" s="229"/>
      <c r="AN206" s="229"/>
      <c r="AP206" s="486" t="e">
        <f t="shared" si="85"/>
        <v>#DIV/0!</v>
      </c>
      <c r="AQ206" s="486" t="e">
        <f t="shared" si="88"/>
        <v>#DIV/0!</v>
      </c>
      <c r="AR206" s="486" t="e">
        <f t="shared" si="89"/>
        <v>#DIV/0!</v>
      </c>
      <c r="AS206" s="486" t="e">
        <f t="shared" si="90"/>
        <v>#DIV/0!</v>
      </c>
      <c r="AT206" s="486" t="e">
        <f t="shared" si="91"/>
        <v>#DIV/0!</v>
      </c>
      <c r="AU206" s="486" t="e">
        <f t="shared" si="92"/>
        <v>#DIV/0!</v>
      </c>
      <c r="AV206" s="486" t="e">
        <f t="shared" si="93"/>
        <v>#DIV/0!</v>
      </c>
      <c r="AW206" s="486">
        <f t="shared" si="94"/>
        <v>3088.4700041893593</v>
      </c>
      <c r="AX206" s="486" t="e">
        <f t="shared" si="95"/>
        <v>#DIV/0!</v>
      </c>
      <c r="AY206" s="486" t="e">
        <f t="shared" si="96"/>
        <v>#DIV/0!</v>
      </c>
      <c r="AZ206" s="486" t="e">
        <f t="shared" si="97"/>
        <v>#DIV/0!</v>
      </c>
      <c r="BA206" s="486">
        <f t="shared" si="86"/>
        <v>0</v>
      </c>
      <c r="BB206" s="494">
        <v>5155.41</v>
      </c>
      <c r="BC206" s="494">
        <v>2070.12</v>
      </c>
      <c r="BD206" s="494">
        <v>848.92</v>
      </c>
      <c r="BE206" s="494">
        <v>819.73</v>
      </c>
      <c r="BF206" s="494">
        <v>611.5</v>
      </c>
      <c r="BG206" s="494">
        <v>1080.04</v>
      </c>
      <c r="BH206" s="494">
        <v>2671800.0099999998</v>
      </c>
      <c r="BI206" s="494">
        <f t="shared" si="125"/>
        <v>4422.8500000000004</v>
      </c>
      <c r="BJ206" s="494">
        <v>14289.54</v>
      </c>
      <c r="BK206" s="494">
        <v>3389.61</v>
      </c>
      <c r="BL206" s="494">
        <v>5995.76</v>
      </c>
      <c r="BM206" s="494">
        <v>548.62</v>
      </c>
      <c r="BN206" s="495" t="e">
        <f t="shared" si="98"/>
        <v>#DIV/0!</v>
      </c>
      <c r="BO206" s="495" t="e">
        <f t="shared" si="99"/>
        <v>#DIV/0!</v>
      </c>
      <c r="BP206" s="495" t="e">
        <f t="shared" si="100"/>
        <v>#DIV/0!</v>
      </c>
      <c r="BQ206" s="495" t="e">
        <f t="shared" si="101"/>
        <v>#DIV/0!</v>
      </c>
      <c r="BR206" s="495" t="e">
        <f t="shared" si="102"/>
        <v>#DIV/0!</v>
      </c>
      <c r="BS206" s="495" t="e">
        <f t="shared" si="103"/>
        <v>#DIV/0!</v>
      </c>
      <c r="BT206" s="495" t="e">
        <f t="shared" si="104"/>
        <v>#DIV/0!</v>
      </c>
      <c r="BU206" s="495" t="str">
        <f t="shared" si="105"/>
        <v xml:space="preserve"> </v>
      </c>
      <c r="BV206" s="495" t="e">
        <f t="shared" si="106"/>
        <v>#DIV/0!</v>
      </c>
      <c r="BW206" s="495" t="e">
        <f t="shared" si="107"/>
        <v>#DIV/0!</v>
      </c>
      <c r="BX206" s="495" t="e">
        <f t="shared" si="108"/>
        <v>#DIV/0!</v>
      </c>
      <c r="BY206" s="495" t="str">
        <f t="shared" si="109"/>
        <v xml:space="preserve"> </v>
      </c>
    </row>
    <row r="207" spans="1:77" s="28" customFormat="1" ht="9" customHeight="1">
      <c r="A207" s="130">
        <v>179</v>
      </c>
      <c r="B207" s="396" t="s">
        <v>812</v>
      </c>
      <c r="C207" s="249">
        <v>287.5</v>
      </c>
      <c r="D207" s="376"/>
      <c r="E207" s="368" t="s">
        <v>1006</v>
      </c>
      <c r="F207" s="249"/>
      <c r="G207" s="249"/>
      <c r="H207" s="368">
        <v>604111.19999999995</v>
      </c>
      <c r="I207" s="368">
        <f t="shared" si="154"/>
        <v>0</v>
      </c>
      <c r="J207" s="217">
        <v>0</v>
      </c>
      <c r="K207" s="469">
        <v>0</v>
      </c>
      <c r="L207" s="217">
        <v>0</v>
      </c>
      <c r="M207" s="469">
        <v>0</v>
      </c>
      <c r="N207" s="217">
        <v>0</v>
      </c>
      <c r="O207" s="249">
        <v>0</v>
      </c>
      <c r="P207" s="368">
        <v>0</v>
      </c>
      <c r="Q207" s="249">
        <v>0</v>
      </c>
      <c r="R207" s="368">
        <v>0</v>
      </c>
      <c r="S207" s="249">
        <v>0</v>
      </c>
      <c r="T207" s="368">
        <v>0</v>
      </c>
      <c r="U207" s="130">
        <v>0</v>
      </c>
      <c r="V207" s="368">
        <v>0</v>
      </c>
      <c r="W207" s="368">
        <v>186.8</v>
      </c>
      <c r="X207" s="368">
        <f>ROUND(H207/100*95.5-0.01,2)</f>
        <v>576926.18999999994</v>
      </c>
      <c r="Y207" s="370">
        <v>0</v>
      </c>
      <c r="Z207" s="370">
        <v>0</v>
      </c>
      <c r="AA207" s="370">
        <v>0</v>
      </c>
      <c r="AB207" s="370">
        <v>0</v>
      </c>
      <c r="AC207" s="370">
        <v>0</v>
      </c>
      <c r="AD207" s="370">
        <v>0</v>
      </c>
      <c r="AE207" s="370">
        <v>0</v>
      </c>
      <c r="AF207" s="370">
        <v>0</v>
      </c>
      <c r="AG207" s="370">
        <v>0</v>
      </c>
      <c r="AH207" s="370">
        <v>0</v>
      </c>
      <c r="AI207" s="370">
        <v>0</v>
      </c>
      <c r="AJ207" s="370">
        <f t="shared" si="155"/>
        <v>18123.34</v>
      </c>
      <c r="AK207" s="370">
        <f t="shared" si="156"/>
        <v>9061.67</v>
      </c>
      <c r="AL207" s="370">
        <v>0</v>
      </c>
      <c r="AM207" s="229"/>
      <c r="AN207" s="229"/>
      <c r="AP207" s="486" t="e">
        <f t="shared" si="85"/>
        <v>#DIV/0!</v>
      </c>
      <c r="AQ207" s="486" t="e">
        <f t="shared" si="88"/>
        <v>#DIV/0!</v>
      </c>
      <c r="AR207" s="486" t="e">
        <f t="shared" si="89"/>
        <v>#DIV/0!</v>
      </c>
      <c r="AS207" s="486" t="e">
        <f t="shared" si="90"/>
        <v>#DIV/0!</v>
      </c>
      <c r="AT207" s="486" t="e">
        <f t="shared" si="91"/>
        <v>#DIV/0!</v>
      </c>
      <c r="AU207" s="486" t="e">
        <f t="shared" si="92"/>
        <v>#DIV/0!</v>
      </c>
      <c r="AV207" s="486" t="e">
        <f t="shared" si="93"/>
        <v>#DIV/0!</v>
      </c>
      <c r="AW207" s="486">
        <f t="shared" si="94"/>
        <v>3088.4699678800853</v>
      </c>
      <c r="AX207" s="486" t="e">
        <f t="shared" si="95"/>
        <v>#DIV/0!</v>
      </c>
      <c r="AY207" s="486" t="e">
        <f t="shared" si="96"/>
        <v>#DIV/0!</v>
      </c>
      <c r="AZ207" s="486" t="e">
        <f t="shared" si="97"/>
        <v>#DIV/0!</v>
      </c>
      <c r="BA207" s="486">
        <f t="shared" si="86"/>
        <v>0</v>
      </c>
      <c r="BB207" s="494">
        <v>5155.41</v>
      </c>
      <c r="BC207" s="494">
        <v>2070.12</v>
      </c>
      <c r="BD207" s="494">
        <v>848.92</v>
      </c>
      <c r="BE207" s="494">
        <v>819.73</v>
      </c>
      <c r="BF207" s="494">
        <v>611.5</v>
      </c>
      <c r="BG207" s="494">
        <v>1080.04</v>
      </c>
      <c r="BH207" s="494">
        <v>2671800.0099999998</v>
      </c>
      <c r="BI207" s="494">
        <f t="shared" si="125"/>
        <v>4422.8500000000004</v>
      </c>
      <c r="BJ207" s="494">
        <v>14289.54</v>
      </c>
      <c r="BK207" s="494">
        <v>3389.61</v>
      </c>
      <c r="BL207" s="494">
        <v>5995.76</v>
      </c>
      <c r="BM207" s="494">
        <v>548.62</v>
      </c>
      <c r="BN207" s="495" t="e">
        <f t="shared" si="98"/>
        <v>#DIV/0!</v>
      </c>
      <c r="BO207" s="495" t="e">
        <f t="shared" si="99"/>
        <v>#DIV/0!</v>
      </c>
      <c r="BP207" s="495" t="e">
        <f t="shared" si="100"/>
        <v>#DIV/0!</v>
      </c>
      <c r="BQ207" s="495" t="e">
        <f t="shared" si="101"/>
        <v>#DIV/0!</v>
      </c>
      <c r="BR207" s="495" t="e">
        <f t="shared" si="102"/>
        <v>#DIV/0!</v>
      </c>
      <c r="BS207" s="495" t="e">
        <f t="shared" si="103"/>
        <v>#DIV/0!</v>
      </c>
      <c r="BT207" s="495" t="e">
        <f t="shared" si="104"/>
        <v>#DIV/0!</v>
      </c>
      <c r="BU207" s="495" t="str">
        <f t="shared" si="105"/>
        <v xml:space="preserve"> </v>
      </c>
      <c r="BV207" s="495" t="e">
        <f t="shared" si="106"/>
        <v>#DIV/0!</v>
      </c>
      <c r="BW207" s="495" t="e">
        <f t="shared" si="107"/>
        <v>#DIV/0!</v>
      </c>
      <c r="BX207" s="495" t="e">
        <f t="shared" si="108"/>
        <v>#DIV/0!</v>
      </c>
      <c r="BY207" s="495" t="str">
        <f t="shared" si="109"/>
        <v xml:space="preserve"> </v>
      </c>
    </row>
    <row r="208" spans="1:77" s="28" customFormat="1" ht="34.5" customHeight="1">
      <c r="A208" s="962" t="s">
        <v>441</v>
      </c>
      <c r="B208" s="962"/>
      <c r="C208" s="368">
        <f>SUM(C204:C207)</f>
        <v>2307.61</v>
      </c>
      <c r="D208" s="368"/>
      <c r="E208" s="368" t="s">
        <v>391</v>
      </c>
      <c r="F208" s="249"/>
      <c r="G208" s="249"/>
      <c r="H208" s="368">
        <f>SUM(H204:H207)</f>
        <v>6712167</v>
      </c>
      <c r="I208" s="368">
        <f t="shared" ref="I208:AL208" si="157">SUM(I204:I207)</f>
        <v>0</v>
      </c>
      <c r="J208" s="368">
        <f t="shared" si="157"/>
        <v>0</v>
      </c>
      <c r="K208" s="368">
        <f t="shared" si="157"/>
        <v>0</v>
      </c>
      <c r="L208" s="368">
        <f t="shared" si="157"/>
        <v>0</v>
      </c>
      <c r="M208" s="368">
        <f t="shared" si="157"/>
        <v>0</v>
      </c>
      <c r="N208" s="368">
        <f t="shared" si="157"/>
        <v>0</v>
      </c>
      <c r="O208" s="368">
        <f t="shared" si="157"/>
        <v>0</v>
      </c>
      <c r="P208" s="368">
        <f t="shared" si="157"/>
        <v>0</v>
      </c>
      <c r="Q208" s="368">
        <f t="shared" si="157"/>
        <v>0</v>
      </c>
      <c r="R208" s="368">
        <f t="shared" si="157"/>
        <v>0</v>
      </c>
      <c r="S208" s="368">
        <f t="shared" si="157"/>
        <v>0</v>
      </c>
      <c r="T208" s="368">
        <f t="shared" si="157"/>
        <v>0</v>
      </c>
      <c r="U208" s="130">
        <f t="shared" si="157"/>
        <v>0</v>
      </c>
      <c r="V208" s="368">
        <f t="shared" si="157"/>
        <v>0</v>
      </c>
      <c r="W208" s="368">
        <f t="shared" si="157"/>
        <v>2075.5</v>
      </c>
      <c r="X208" s="368">
        <f t="shared" si="157"/>
        <v>6410119.4800000004</v>
      </c>
      <c r="Y208" s="368">
        <f t="shared" si="157"/>
        <v>0</v>
      </c>
      <c r="Z208" s="368">
        <f t="shared" si="157"/>
        <v>0</v>
      </c>
      <c r="AA208" s="368">
        <f t="shared" si="157"/>
        <v>0</v>
      </c>
      <c r="AB208" s="368">
        <f t="shared" si="157"/>
        <v>0</v>
      </c>
      <c r="AC208" s="368">
        <f t="shared" si="157"/>
        <v>0</v>
      </c>
      <c r="AD208" s="368">
        <f t="shared" si="157"/>
        <v>0</v>
      </c>
      <c r="AE208" s="368">
        <f t="shared" si="157"/>
        <v>0</v>
      </c>
      <c r="AF208" s="368">
        <f t="shared" si="157"/>
        <v>0</v>
      </c>
      <c r="AG208" s="368">
        <f t="shared" si="157"/>
        <v>0</v>
      </c>
      <c r="AH208" s="368">
        <f t="shared" si="157"/>
        <v>0</v>
      </c>
      <c r="AI208" s="368">
        <f t="shared" si="157"/>
        <v>0</v>
      </c>
      <c r="AJ208" s="368">
        <f t="shared" si="157"/>
        <v>201365.00999999998</v>
      </c>
      <c r="AK208" s="368">
        <f t="shared" si="157"/>
        <v>100682.51</v>
      </c>
      <c r="AL208" s="368">
        <f t="shared" si="157"/>
        <v>0</v>
      </c>
      <c r="AM208" s="370"/>
      <c r="AN208" s="370"/>
      <c r="AP208" s="486" t="e">
        <f t="shared" si="85"/>
        <v>#DIV/0!</v>
      </c>
      <c r="AQ208" s="486" t="e">
        <f t="shared" si="88"/>
        <v>#DIV/0!</v>
      </c>
      <c r="AR208" s="497" t="e">
        <f t="shared" si="89"/>
        <v>#DIV/0!</v>
      </c>
      <c r="AS208" s="497" t="e">
        <f t="shared" si="90"/>
        <v>#DIV/0!</v>
      </c>
      <c r="AT208" s="497" t="e">
        <f t="shared" si="91"/>
        <v>#DIV/0!</v>
      </c>
      <c r="AU208" s="497" t="e">
        <f t="shared" si="92"/>
        <v>#DIV/0!</v>
      </c>
      <c r="AV208" s="497" t="e">
        <f t="shared" si="93"/>
        <v>#DIV/0!</v>
      </c>
      <c r="AW208" s="497">
        <f t="shared" si="94"/>
        <v>3088.4699975909421</v>
      </c>
      <c r="AX208" s="497" t="e">
        <f t="shared" si="95"/>
        <v>#DIV/0!</v>
      </c>
      <c r="AY208" s="486" t="e">
        <f t="shared" si="96"/>
        <v>#DIV/0!</v>
      </c>
      <c r="AZ208" s="497" t="e">
        <f t="shared" si="97"/>
        <v>#DIV/0!</v>
      </c>
      <c r="BA208" s="486">
        <f t="shared" si="86"/>
        <v>0</v>
      </c>
      <c r="BB208" s="494">
        <v>5155.41</v>
      </c>
      <c r="BC208" s="494">
        <v>2070.12</v>
      </c>
      <c r="BD208" s="494">
        <v>848.92</v>
      </c>
      <c r="BE208" s="494">
        <v>819.73</v>
      </c>
      <c r="BF208" s="494">
        <v>611.5</v>
      </c>
      <c r="BG208" s="494">
        <v>1080.04</v>
      </c>
      <c r="BH208" s="494">
        <v>2671800.0099999998</v>
      </c>
      <c r="BI208" s="494">
        <f t="shared" si="125"/>
        <v>4422.8500000000004</v>
      </c>
      <c r="BJ208" s="494">
        <v>14289.54</v>
      </c>
      <c r="BK208" s="494">
        <v>3389.61</v>
      </c>
      <c r="BL208" s="494">
        <v>5995.76</v>
      </c>
      <c r="BM208" s="494">
        <v>548.62</v>
      </c>
      <c r="BN208" s="493" t="e">
        <f t="shared" si="98"/>
        <v>#DIV/0!</v>
      </c>
      <c r="BO208" s="493" t="e">
        <f t="shared" si="99"/>
        <v>#DIV/0!</v>
      </c>
      <c r="BP208" s="493" t="e">
        <f t="shared" si="100"/>
        <v>#DIV/0!</v>
      </c>
      <c r="BQ208" s="493" t="e">
        <f t="shared" si="101"/>
        <v>#DIV/0!</v>
      </c>
      <c r="BR208" s="493" t="e">
        <f t="shared" si="102"/>
        <v>#DIV/0!</v>
      </c>
      <c r="BS208" s="493" t="e">
        <f t="shared" si="103"/>
        <v>#DIV/0!</v>
      </c>
      <c r="BT208" s="493" t="e">
        <f t="shared" si="104"/>
        <v>#DIV/0!</v>
      </c>
      <c r="BU208" s="493" t="str">
        <f t="shared" si="105"/>
        <v xml:space="preserve"> </v>
      </c>
      <c r="BV208" s="493" t="e">
        <f t="shared" si="106"/>
        <v>#DIV/0!</v>
      </c>
      <c r="BW208" s="493" t="e">
        <f t="shared" si="107"/>
        <v>#DIV/0!</v>
      </c>
      <c r="BX208" s="493" t="e">
        <f t="shared" si="108"/>
        <v>#DIV/0!</v>
      </c>
      <c r="BY208" s="493" t="str">
        <f t="shared" si="109"/>
        <v xml:space="preserve"> </v>
      </c>
    </row>
    <row r="209" spans="1:77" s="28" customFormat="1" ht="9" customHeight="1">
      <c r="A209" s="963" t="s">
        <v>395</v>
      </c>
      <c r="B209" s="963"/>
      <c r="C209" s="963"/>
      <c r="D209" s="963"/>
      <c r="E209" s="963"/>
      <c r="F209" s="963"/>
      <c r="G209" s="963"/>
      <c r="H209" s="963"/>
      <c r="I209" s="963"/>
      <c r="J209" s="963"/>
      <c r="K209" s="963"/>
      <c r="L209" s="963"/>
      <c r="M209" s="963"/>
      <c r="N209" s="963"/>
      <c r="O209" s="963"/>
      <c r="P209" s="963"/>
      <c r="Q209" s="963"/>
      <c r="R209" s="963"/>
      <c r="S209" s="963"/>
      <c r="T209" s="963"/>
      <c r="U209" s="963"/>
      <c r="V209" s="398"/>
      <c r="W209" s="398"/>
      <c r="X209" s="360"/>
      <c r="Y209" s="360"/>
      <c r="Z209" s="360"/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360"/>
      <c r="AL209" s="360"/>
      <c r="AM209" s="360"/>
      <c r="AN209" s="280"/>
      <c r="AP209" s="486" t="e">
        <f t="shared" ref="AP209:AP272" si="158">J209/D209</f>
        <v>#DIV/0!</v>
      </c>
      <c r="AQ209" s="486" t="e">
        <f t="shared" si="88"/>
        <v>#DIV/0!</v>
      </c>
      <c r="AR209" s="497" t="e">
        <f t="shared" si="89"/>
        <v>#DIV/0!</v>
      </c>
      <c r="AS209" s="497" t="e">
        <f t="shared" si="90"/>
        <v>#DIV/0!</v>
      </c>
      <c r="AT209" s="497" t="e">
        <f t="shared" si="91"/>
        <v>#DIV/0!</v>
      </c>
      <c r="AU209" s="497" t="e">
        <f t="shared" si="92"/>
        <v>#DIV/0!</v>
      </c>
      <c r="AV209" s="497" t="e">
        <f t="shared" si="93"/>
        <v>#DIV/0!</v>
      </c>
      <c r="AW209" s="497" t="e">
        <f t="shared" si="94"/>
        <v>#DIV/0!</v>
      </c>
      <c r="AX209" s="497" t="e">
        <f t="shared" si="95"/>
        <v>#DIV/0!</v>
      </c>
      <c r="AY209" s="486" t="e">
        <f t="shared" si="96"/>
        <v>#DIV/0!</v>
      </c>
      <c r="AZ209" s="497" t="e">
        <f t="shared" si="97"/>
        <v>#DIV/0!</v>
      </c>
      <c r="BA209" s="486" t="e">
        <f t="shared" ref="BA209:BA272" si="159">AI209/C209</f>
        <v>#DIV/0!</v>
      </c>
      <c r="BB209" s="494">
        <v>5155.41</v>
      </c>
      <c r="BC209" s="494">
        <v>2070.12</v>
      </c>
      <c r="BD209" s="494">
        <v>848.92</v>
      </c>
      <c r="BE209" s="494">
        <v>819.73</v>
      </c>
      <c r="BF209" s="494">
        <v>611.5</v>
      </c>
      <c r="BG209" s="494">
        <v>1080.04</v>
      </c>
      <c r="BH209" s="494">
        <v>2671800.0099999998</v>
      </c>
      <c r="BI209" s="494">
        <f t="shared" si="125"/>
        <v>4422.8500000000004</v>
      </c>
      <c r="BJ209" s="494">
        <v>14289.54</v>
      </c>
      <c r="BK209" s="494">
        <v>3389.61</v>
      </c>
      <c r="BL209" s="494">
        <v>5995.76</v>
      </c>
      <c r="BM209" s="494">
        <v>548.62</v>
      </c>
      <c r="BN209" s="493" t="e">
        <f t="shared" si="98"/>
        <v>#DIV/0!</v>
      </c>
      <c r="BO209" s="493" t="e">
        <f t="shared" si="99"/>
        <v>#DIV/0!</v>
      </c>
      <c r="BP209" s="493" t="e">
        <f t="shared" si="100"/>
        <v>#DIV/0!</v>
      </c>
      <c r="BQ209" s="493" t="e">
        <f t="shared" si="101"/>
        <v>#DIV/0!</v>
      </c>
      <c r="BR209" s="493" t="e">
        <f t="shared" si="102"/>
        <v>#DIV/0!</v>
      </c>
      <c r="BS209" s="493" t="e">
        <f t="shared" si="103"/>
        <v>#DIV/0!</v>
      </c>
      <c r="BT209" s="493" t="e">
        <f t="shared" si="104"/>
        <v>#DIV/0!</v>
      </c>
      <c r="BU209" s="493" t="e">
        <f t="shared" si="105"/>
        <v>#DIV/0!</v>
      </c>
      <c r="BV209" s="493" t="e">
        <f t="shared" si="106"/>
        <v>#DIV/0!</v>
      </c>
      <c r="BW209" s="493" t="e">
        <f t="shared" si="107"/>
        <v>#DIV/0!</v>
      </c>
      <c r="BX209" s="493" t="e">
        <f t="shared" si="108"/>
        <v>#DIV/0!</v>
      </c>
      <c r="BY209" s="493" t="e">
        <f t="shared" si="109"/>
        <v>#DIV/0!</v>
      </c>
    </row>
    <row r="210" spans="1:77" s="28" customFormat="1" ht="9" customHeight="1">
      <c r="A210" s="130">
        <v>180</v>
      </c>
      <c r="B210" s="396" t="s">
        <v>813</v>
      </c>
      <c r="C210" s="249">
        <v>1055</v>
      </c>
      <c r="D210" s="376"/>
      <c r="E210" s="368" t="s">
        <v>1005</v>
      </c>
      <c r="F210" s="249"/>
      <c r="G210" s="249"/>
      <c r="H210" s="368">
        <v>1256918</v>
      </c>
      <c r="I210" s="368">
        <f t="shared" ref="I210" si="160">J210+L210+N210+P210+R210+T210</f>
        <v>0</v>
      </c>
      <c r="J210" s="217">
        <v>0</v>
      </c>
      <c r="K210" s="469">
        <v>0</v>
      </c>
      <c r="L210" s="217">
        <v>0</v>
      </c>
      <c r="M210" s="469">
        <v>0</v>
      </c>
      <c r="N210" s="217">
        <v>0</v>
      </c>
      <c r="O210" s="249">
        <v>0</v>
      </c>
      <c r="P210" s="368">
        <v>0</v>
      </c>
      <c r="Q210" s="249">
        <v>0</v>
      </c>
      <c r="R210" s="368">
        <v>0</v>
      </c>
      <c r="S210" s="249">
        <v>0</v>
      </c>
      <c r="T210" s="368">
        <v>0</v>
      </c>
      <c r="U210" s="130">
        <v>0</v>
      </c>
      <c r="V210" s="368">
        <v>0</v>
      </c>
      <c r="W210" s="368">
        <v>377</v>
      </c>
      <c r="X210" s="368">
        <f t="shared" ref="X210" si="161">ROUND(H210/100*95.5,2)</f>
        <v>1200356.69</v>
      </c>
      <c r="Y210" s="370">
        <v>0</v>
      </c>
      <c r="Z210" s="370">
        <v>0</v>
      </c>
      <c r="AA210" s="370">
        <v>0</v>
      </c>
      <c r="AB210" s="370">
        <v>0</v>
      </c>
      <c r="AC210" s="370">
        <v>0</v>
      </c>
      <c r="AD210" s="370">
        <v>0</v>
      </c>
      <c r="AE210" s="370">
        <v>0</v>
      </c>
      <c r="AF210" s="370">
        <v>0</v>
      </c>
      <c r="AG210" s="370">
        <v>0</v>
      </c>
      <c r="AH210" s="370">
        <v>0</v>
      </c>
      <c r="AI210" s="370">
        <v>0</v>
      </c>
      <c r="AJ210" s="370">
        <f t="shared" ref="AJ210" si="162">ROUND(H210/100*3,2)</f>
        <v>37707.54</v>
      </c>
      <c r="AK210" s="370">
        <f t="shared" ref="AK210" si="163">ROUND(H210/100*1.5,2)</f>
        <v>18853.77</v>
      </c>
      <c r="AL210" s="370">
        <v>0</v>
      </c>
      <c r="AM210" s="480"/>
      <c r="AN210" s="480"/>
      <c r="AP210" s="486" t="e">
        <f t="shared" si="158"/>
        <v>#DIV/0!</v>
      </c>
      <c r="AQ210" s="486" t="e">
        <f t="shared" ref="AQ210:AQ273" si="164">L210/K210</f>
        <v>#DIV/0!</v>
      </c>
      <c r="AR210" s="486" t="e">
        <f t="shared" ref="AR210:AR273" si="165">N210/M210</f>
        <v>#DIV/0!</v>
      </c>
      <c r="AS210" s="486" t="e">
        <f t="shared" ref="AS210:AS273" si="166">P210/O210</f>
        <v>#DIV/0!</v>
      </c>
      <c r="AT210" s="486" t="e">
        <f t="shared" ref="AT210:AT273" si="167">R210/Q210</f>
        <v>#DIV/0!</v>
      </c>
      <c r="AU210" s="486" t="e">
        <f t="shared" ref="AU210:AU273" si="168">T210/S210</f>
        <v>#DIV/0!</v>
      </c>
      <c r="AV210" s="486" t="e">
        <f t="shared" ref="AV210:AV273" si="169">V210/U210</f>
        <v>#DIV/0!</v>
      </c>
      <c r="AW210" s="486">
        <f t="shared" ref="AW210:AW273" si="170">X210/W210</f>
        <v>3183.97</v>
      </c>
      <c r="AX210" s="486" t="e">
        <f t="shared" ref="AX210:AX273" si="171">Z210/Y210</f>
        <v>#DIV/0!</v>
      </c>
      <c r="AY210" s="486" t="e">
        <f t="shared" ref="AY210:AY273" si="172">AB210/AA210</f>
        <v>#DIV/0!</v>
      </c>
      <c r="AZ210" s="486" t="e">
        <f t="shared" ref="AZ210:AZ273" si="173">AH210/AG210</f>
        <v>#DIV/0!</v>
      </c>
      <c r="BA210" s="486">
        <f t="shared" si="159"/>
        <v>0</v>
      </c>
      <c r="BB210" s="494">
        <v>5155.41</v>
      </c>
      <c r="BC210" s="494">
        <v>2070.12</v>
      </c>
      <c r="BD210" s="494">
        <v>848.92</v>
      </c>
      <c r="BE210" s="494">
        <v>819.73</v>
      </c>
      <c r="BF210" s="494">
        <v>611.5</v>
      </c>
      <c r="BG210" s="494">
        <v>1080.04</v>
      </c>
      <c r="BH210" s="494">
        <v>2671800.0099999998</v>
      </c>
      <c r="BI210" s="494">
        <f t="shared" si="125"/>
        <v>4607.6000000000004</v>
      </c>
      <c r="BJ210" s="494">
        <v>14289.54</v>
      </c>
      <c r="BK210" s="494">
        <v>3389.61</v>
      </c>
      <c r="BL210" s="494">
        <v>5995.76</v>
      </c>
      <c r="BM210" s="494">
        <v>548.62</v>
      </c>
      <c r="BN210" s="495" t="e">
        <f t="shared" ref="BN210:BN273" si="174">IF(AP210&gt;BB210, "+", " ")</f>
        <v>#DIV/0!</v>
      </c>
      <c r="BO210" s="495" t="e">
        <f t="shared" ref="BO210:BO273" si="175">IF(AQ210&gt;BC210, "+", " ")</f>
        <v>#DIV/0!</v>
      </c>
      <c r="BP210" s="495" t="e">
        <f t="shared" ref="BP210:BP273" si="176">IF(AR210&gt;BD210, "+", " ")</f>
        <v>#DIV/0!</v>
      </c>
      <c r="BQ210" s="495" t="e">
        <f t="shared" ref="BQ210:BQ273" si="177">IF(AS210&gt;BE210, "+", " ")</f>
        <v>#DIV/0!</v>
      </c>
      <c r="BR210" s="495" t="e">
        <f t="shared" ref="BR210:BR273" si="178">IF(AT210&gt;BF210, "+", " ")</f>
        <v>#DIV/0!</v>
      </c>
      <c r="BS210" s="495" t="e">
        <f t="shared" ref="BS210:BS273" si="179">IF(AU210&gt;BG210, "+", " ")</f>
        <v>#DIV/0!</v>
      </c>
      <c r="BT210" s="495" t="e">
        <f t="shared" ref="BT210:BT273" si="180">IF(AV210&gt;BH210, "+", " ")</f>
        <v>#DIV/0!</v>
      </c>
      <c r="BU210" s="495" t="str">
        <f t="shared" ref="BU210:BU273" si="181">IF(AW210&gt;BI210, "+", " ")</f>
        <v xml:space="preserve"> </v>
      </c>
      <c r="BV210" s="495" t="e">
        <f t="shared" ref="BV210:BV273" si="182">IF(AX210&gt;BJ210, "+", " ")</f>
        <v>#DIV/0!</v>
      </c>
      <c r="BW210" s="495" t="e">
        <f t="shared" ref="BW210:BW273" si="183">IF(AY210&gt;BK210, "+", " ")</f>
        <v>#DIV/0!</v>
      </c>
      <c r="BX210" s="495" t="e">
        <f t="shared" ref="BX210:BX273" si="184">IF(AZ210&gt;BL210, "+", " ")</f>
        <v>#DIV/0!</v>
      </c>
      <c r="BY210" s="495" t="str">
        <f t="shared" ref="BY210:BY273" si="185">IF(BA210&gt;BM210, "+", " ")</f>
        <v xml:space="preserve"> </v>
      </c>
    </row>
    <row r="211" spans="1:77" s="28" customFormat="1" ht="9" customHeight="1">
      <c r="A211" s="130">
        <v>181</v>
      </c>
      <c r="B211" s="396" t="s">
        <v>814</v>
      </c>
      <c r="C211" s="249">
        <v>961.6</v>
      </c>
      <c r="D211" s="376"/>
      <c r="E211" s="368" t="s">
        <v>1005</v>
      </c>
      <c r="F211" s="249"/>
      <c r="G211" s="249"/>
      <c r="H211" s="368">
        <v>1500300</v>
      </c>
      <c r="I211" s="368">
        <f t="shared" ref="I211:I224" si="186">J211+L211+N211+P211+R211+T211</f>
        <v>0</v>
      </c>
      <c r="J211" s="217">
        <v>0</v>
      </c>
      <c r="K211" s="469">
        <v>0</v>
      </c>
      <c r="L211" s="217">
        <v>0</v>
      </c>
      <c r="M211" s="469">
        <v>0</v>
      </c>
      <c r="N211" s="217">
        <v>0</v>
      </c>
      <c r="O211" s="249">
        <v>0</v>
      </c>
      <c r="P211" s="368">
        <v>0</v>
      </c>
      <c r="Q211" s="249">
        <v>0</v>
      </c>
      <c r="R211" s="368">
        <v>0</v>
      </c>
      <c r="S211" s="249">
        <v>0</v>
      </c>
      <c r="T211" s="368">
        <v>0</v>
      </c>
      <c r="U211" s="130">
        <v>0</v>
      </c>
      <c r="V211" s="368">
        <v>0</v>
      </c>
      <c r="W211" s="368">
        <v>450</v>
      </c>
      <c r="X211" s="368">
        <f t="shared" ref="X211:X224" si="187">ROUND(H211/100*95.5,2)</f>
        <v>1432786.5</v>
      </c>
      <c r="Y211" s="370">
        <v>0</v>
      </c>
      <c r="Z211" s="370">
        <v>0</v>
      </c>
      <c r="AA211" s="370">
        <v>0</v>
      </c>
      <c r="AB211" s="370">
        <v>0</v>
      </c>
      <c r="AC211" s="370">
        <v>0</v>
      </c>
      <c r="AD211" s="370">
        <v>0</v>
      </c>
      <c r="AE211" s="370">
        <v>0</v>
      </c>
      <c r="AF211" s="370">
        <v>0</v>
      </c>
      <c r="AG211" s="370">
        <v>0</v>
      </c>
      <c r="AH211" s="370">
        <v>0</v>
      </c>
      <c r="AI211" s="370">
        <v>0</v>
      </c>
      <c r="AJ211" s="370">
        <f t="shared" ref="AJ211:AJ224" si="188">ROUND(H211/100*3,2)</f>
        <v>45009</v>
      </c>
      <c r="AK211" s="370">
        <f t="shared" ref="AK211:AK224" si="189">ROUND(H211/100*1.5,2)</f>
        <v>22504.5</v>
      </c>
      <c r="AL211" s="370">
        <v>0</v>
      </c>
      <c r="AM211" s="480"/>
      <c r="AN211" s="480"/>
      <c r="AP211" s="486" t="e">
        <f t="shared" si="158"/>
        <v>#DIV/0!</v>
      </c>
      <c r="AQ211" s="486" t="e">
        <f t="shared" si="164"/>
        <v>#DIV/0!</v>
      </c>
      <c r="AR211" s="486" t="e">
        <f t="shared" si="165"/>
        <v>#DIV/0!</v>
      </c>
      <c r="AS211" s="486" t="e">
        <f t="shared" si="166"/>
        <v>#DIV/0!</v>
      </c>
      <c r="AT211" s="486" t="e">
        <f t="shared" si="167"/>
        <v>#DIV/0!</v>
      </c>
      <c r="AU211" s="486" t="e">
        <f t="shared" si="168"/>
        <v>#DIV/0!</v>
      </c>
      <c r="AV211" s="486" t="e">
        <f t="shared" si="169"/>
        <v>#DIV/0!</v>
      </c>
      <c r="AW211" s="486">
        <f t="shared" si="170"/>
        <v>3183.97</v>
      </c>
      <c r="AX211" s="486" t="e">
        <f t="shared" si="171"/>
        <v>#DIV/0!</v>
      </c>
      <c r="AY211" s="486" t="e">
        <f t="shared" si="172"/>
        <v>#DIV/0!</v>
      </c>
      <c r="AZ211" s="486" t="e">
        <f t="shared" si="173"/>
        <v>#DIV/0!</v>
      </c>
      <c r="BA211" s="486">
        <f t="shared" si="159"/>
        <v>0</v>
      </c>
      <c r="BB211" s="494">
        <v>5155.41</v>
      </c>
      <c r="BC211" s="494">
        <v>2070.12</v>
      </c>
      <c r="BD211" s="494">
        <v>848.92</v>
      </c>
      <c r="BE211" s="494">
        <v>819.73</v>
      </c>
      <c r="BF211" s="494">
        <v>611.5</v>
      </c>
      <c r="BG211" s="494">
        <v>1080.04</v>
      </c>
      <c r="BH211" s="494">
        <v>2671800.0099999998</v>
      </c>
      <c r="BI211" s="494">
        <f t="shared" si="125"/>
        <v>4607.6000000000004</v>
      </c>
      <c r="BJ211" s="494">
        <v>14289.54</v>
      </c>
      <c r="BK211" s="494">
        <v>3389.61</v>
      </c>
      <c r="BL211" s="494">
        <v>5995.76</v>
      </c>
      <c r="BM211" s="494">
        <v>548.62</v>
      </c>
      <c r="BN211" s="495" t="e">
        <f t="shared" si="174"/>
        <v>#DIV/0!</v>
      </c>
      <c r="BO211" s="495" t="e">
        <f t="shared" si="175"/>
        <v>#DIV/0!</v>
      </c>
      <c r="BP211" s="495" t="e">
        <f t="shared" si="176"/>
        <v>#DIV/0!</v>
      </c>
      <c r="BQ211" s="495" t="e">
        <f t="shared" si="177"/>
        <v>#DIV/0!</v>
      </c>
      <c r="BR211" s="495" t="e">
        <f t="shared" si="178"/>
        <v>#DIV/0!</v>
      </c>
      <c r="BS211" s="495" t="e">
        <f t="shared" si="179"/>
        <v>#DIV/0!</v>
      </c>
      <c r="BT211" s="495" t="e">
        <f t="shared" si="180"/>
        <v>#DIV/0!</v>
      </c>
      <c r="BU211" s="495" t="str">
        <f t="shared" si="181"/>
        <v xml:space="preserve"> </v>
      </c>
      <c r="BV211" s="495" t="e">
        <f t="shared" si="182"/>
        <v>#DIV/0!</v>
      </c>
      <c r="BW211" s="495" t="e">
        <f t="shared" si="183"/>
        <v>#DIV/0!</v>
      </c>
      <c r="BX211" s="495" t="e">
        <f t="shared" si="184"/>
        <v>#DIV/0!</v>
      </c>
      <c r="BY211" s="495" t="str">
        <f t="shared" si="185"/>
        <v xml:space="preserve"> </v>
      </c>
    </row>
    <row r="212" spans="1:77" s="28" customFormat="1" ht="9" customHeight="1">
      <c r="A212" s="130">
        <v>182</v>
      </c>
      <c r="B212" s="396" t="s">
        <v>815</v>
      </c>
      <c r="C212" s="249">
        <v>571.1</v>
      </c>
      <c r="D212" s="376"/>
      <c r="E212" s="368" t="s">
        <v>1005</v>
      </c>
      <c r="F212" s="249"/>
      <c r="G212" s="249"/>
      <c r="H212" s="368">
        <v>733480</v>
      </c>
      <c r="I212" s="368">
        <f t="shared" si="186"/>
        <v>0</v>
      </c>
      <c r="J212" s="217">
        <v>0</v>
      </c>
      <c r="K212" s="469">
        <v>0</v>
      </c>
      <c r="L212" s="217">
        <v>0</v>
      </c>
      <c r="M212" s="469">
        <v>0</v>
      </c>
      <c r="N212" s="217">
        <v>0</v>
      </c>
      <c r="O212" s="249">
        <v>0</v>
      </c>
      <c r="P212" s="368">
        <v>0</v>
      </c>
      <c r="Q212" s="249">
        <v>0</v>
      </c>
      <c r="R212" s="368">
        <v>0</v>
      </c>
      <c r="S212" s="249">
        <v>0</v>
      </c>
      <c r="T212" s="368">
        <v>0</v>
      </c>
      <c r="U212" s="130">
        <v>0</v>
      </c>
      <c r="V212" s="368">
        <v>0</v>
      </c>
      <c r="W212" s="368">
        <v>220</v>
      </c>
      <c r="X212" s="368">
        <f t="shared" si="187"/>
        <v>700473.4</v>
      </c>
      <c r="Y212" s="370">
        <v>0</v>
      </c>
      <c r="Z212" s="370">
        <v>0</v>
      </c>
      <c r="AA212" s="370">
        <v>0</v>
      </c>
      <c r="AB212" s="370">
        <v>0</v>
      </c>
      <c r="AC212" s="370">
        <v>0</v>
      </c>
      <c r="AD212" s="370">
        <v>0</v>
      </c>
      <c r="AE212" s="370">
        <v>0</v>
      </c>
      <c r="AF212" s="370">
        <v>0</v>
      </c>
      <c r="AG212" s="370">
        <v>0</v>
      </c>
      <c r="AH212" s="370">
        <v>0</v>
      </c>
      <c r="AI212" s="370">
        <v>0</v>
      </c>
      <c r="AJ212" s="370">
        <f t="shared" si="188"/>
        <v>22004.400000000001</v>
      </c>
      <c r="AK212" s="370">
        <f t="shared" si="189"/>
        <v>11002.2</v>
      </c>
      <c r="AL212" s="370">
        <v>0</v>
      </c>
      <c r="AM212" s="480"/>
      <c r="AN212" s="480"/>
      <c r="AP212" s="486" t="e">
        <f t="shared" si="158"/>
        <v>#DIV/0!</v>
      </c>
      <c r="AQ212" s="486" t="e">
        <f t="shared" si="164"/>
        <v>#DIV/0!</v>
      </c>
      <c r="AR212" s="486" t="e">
        <f t="shared" si="165"/>
        <v>#DIV/0!</v>
      </c>
      <c r="AS212" s="486" t="e">
        <f t="shared" si="166"/>
        <v>#DIV/0!</v>
      </c>
      <c r="AT212" s="486" t="e">
        <f t="shared" si="167"/>
        <v>#DIV/0!</v>
      </c>
      <c r="AU212" s="486" t="e">
        <f t="shared" si="168"/>
        <v>#DIV/0!</v>
      </c>
      <c r="AV212" s="486" t="e">
        <f t="shared" si="169"/>
        <v>#DIV/0!</v>
      </c>
      <c r="AW212" s="486">
        <f t="shared" si="170"/>
        <v>3183.9700000000003</v>
      </c>
      <c r="AX212" s="486" t="e">
        <f t="shared" si="171"/>
        <v>#DIV/0!</v>
      </c>
      <c r="AY212" s="486" t="e">
        <f t="shared" si="172"/>
        <v>#DIV/0!</v>
      </c>
      <c r="AZ212" s="486" t="e">
        <f t="shared" si="173"/>
        <v>#DIV/0!</v>
      </c>
      <c r="BA212" s="486">
        <f t="shared" si="159"/>
        <v>0</v>
      </c>
      <c r="BB212" s="494">
        <v>5155.41</v>
      </c>
      <c r="BC212" s="494">
        <v>2070.12</v>
      </c>
      <c r="BD212" s="494">
        <v>848.92</v>
      </c>
      <c r="BE212" s="494">
        <v>819.73</v>
      </c>
      <c r="BF212" s="494">
        <v>611.5</v>
      </c>
      <c r="BG212" s="494">
        <v>1080.04</v>
      </c>
      <c r="BH212" s="494">
        <v>2671800.0099999998</v>
      </c>
      <c r="BI212" s="494">
        <f t="shared" si="125"/>
        <v>4607.6000000000004</v>
      </c>
      <c r="BJ212" s="494">
        <v>14289.54</v>
      </c>
      <c r="BK212" s="494">
        <v>3389.61</v>
      </c>
      <c r="BL212" s="494">
        <v>5995.76</v>
      </c>
      <c r="BM212" s="494">
        <v>548.62</v>
      </c>
      <c r="BN212" s="495" t="e">
        <f t="shared" si="174"/>
        <v>#DIV/0!</v>
      </c>
      <c r="BO212" s="495" t="e">
        <f t="shared" si="175"/>
        <v>#DIV/0!</v>
      </c>
      <c r="BP212" s="495" t="e">
        <f t="shared" si="176"/>
        <v>#DIV/0!</v>
      </c>
      <c r="BQ212" s="495" t="e">
        <f t="shared" si="177"/>
        <v>#DIV/0!</v>
      </c>
      <c r="BR212" s="495" t="e">
        <f t="shared" si="178"/>
        <v>#DIV/0!</v>
      </c>
      <c r="BS212" s="495" t="e">
        <f t="shared" si="179"/>
        <v>#DIV/0!</v>
      </c>
      <c r="BT212" s="495" t="e">
        <f t="shared" si="180"/>
        <v>#DIV/0!</v>
      </c>
      <c r="BU212" s="495" t="str">
        <f t="shared" si="181"/>
        <v xml:space="preserve"> </v>
      </c>
      <c r="BV212" s="495" t="e">
        <f t="shared" si="182"/>
        <v>#DIV/0!</v>
      </c>
      <c r="BW212" s="495" t="e">
        <f t="shared" si="183"/>
        <v>#DIV/0!</v>
      </c>
      <c r="BX212" s="495" t="e">
        <f t="shared" si="184"/>
        <v>#DIV/0!</v>
      </c>
      <c r="BY212" s="495" t="str">
        <f t="shared" si="185"/>
        <v xml:space="preserve"> </v>
      </c>
    </row>
    <row r="213" spans="1:77" s="28" customFormat="1" ht="9" customHeight="1">
      <c r="A213" s="130">
        <v>183</v>
      </c>
      <c r="B213" s="396" t="s">
        <v>816</v>
      </c>
      <c r="C213" s="249">
        <v>844.6</v>
      </c>
      <c r="D213" s="376"/>
      <c r="E213" s="368" t="s">
        <v>1006</v>
      </c>
      <c r="F213" s="249"/>
      <c r="G213" s="249"/>
      <c r="H213" s="368">
        <v>1941046.8</v>
      </c>
      <c r="I213" s="368">
        <f t="shared" si="186"/>
        <v>0</v>
      </c>
      <c r="J213" s="217">
        <v>0</v>
      </c>
      <c r="K213" s="469">
        <v>0</v>
      </c>
      <c r="L213" s="217">
        <v>0</v>
      </c>
      <c r="M213" s="469">
        <v>0</v>
      </c>
      <c r="N213" s="217">
        <v>0</v>
      </c>
      <c r="O213" s="249">
        <v>0</v>
      </c>
      <c r="P213" s="368">
        <v>0</v>
      </c>
      <c r="Q213" s="249">
        <v>0</v>
      </c>
      <c r="R213" s="368">
        <v>0</v>
      </c>
      <c r="S213" s="249">
        <v>0</v>
      </c>
      <c r="T213" s="368">
        <v>0</v>
      </c>
      <c r="U213" s="130">
        <v>0</v>
      </c>
      <c r="V213" s="368">
        <v>0</v>
      </c>
      <c r="W213" s="368">
        <v>600.20000000000005</v>
      </c>
      <c r="X213" s="368">
        <f>ROUND(H213/100*95.5+0.01,2)</f>
        <v>1853699.7</v>
      </c>
      <c r="Y213" s="370">
        <v>0</v>
      </c>
      <c r="Z213" s="370">
        <v>0</v>
      </c>
      <c r="AA213" s="370">
        <v>0</v>
      </c>
      <c r="AB213" s="370">
        <v>0</v>
      </c>
      <c r="AC213" s="370">
        <v>0</v>
      </c>
      <c r="AD213" s="370">
        <v>0</v>
      </c>
      <c r="AE213" s="370">
        <v>0</v>
      </c>
      <c r="AF213" s="370">
        <v>0</v>
      </c>
      <c r="AG213" s="370">
        <v>0</v>
      </c>
      <c r="AH213" s="370">
        <v>0</v>
      </c>
      <c r="AI213" s="370">
        <v>0</v>
      </c>
      <c r="AJ213" s="370">
        <f t="shared" si="188"/>
        <v>58231.4</v>
      </c>
      <c r="AK213" s="370">
        <f t="shared" si="189"/>
        <v>29115.7</v>
      </c>
      <c r="AL213" s="370">
        <v>0</v>
      </c>
      <c r="AM213" s="480"/>
      <c r="AN213" s="480"/>
      <c r="AP213" s="486" t="e">
        <f t="shared" si="158"/>
        <v>#DIV/0!</v>
      </c>
      <c r="AQ213" s="486" t="e">
        <f t="shared" si="164"/>
        <v>#DIV/0!</v>
      </c>
      <c r="AR213" s="486" t="e">
        <f t="shared" si="165"/>
        <v>#DIV/0!</v>
      </c>
      <c r="AS213" s="486" t="e">
        <f t="shared" si="166"/>
        <v>#DIV/0!</v>
      </c>
      <c r="AT213" s="486" t="e">
        <f t="shared" si="167"/>
        <v>#DIV/0!</v>
      </c>
      <c r="AU213" s="486" t="e">
        <f t="shared" si="168"/>
        <v>#DIV/0!</v>
      </c>
      <c r="AV213" s="486" t="e">
        <f t="shared" si="169"/>
        <v>#DIV/0!</v>
      </c>
      <c r="AW213" s="486">
        <f t="shared" si="170"/>
        <v>3088.4700099966676</v>
      </c>
      <c r="AX213" s="486" t="e">
        <f t="shared" si="171"/>
        <v>#DIV/0!</v>
      </c>
      <c r="AY213" s="486" t="e">
        <f t="shared" si="172"/>
        <v>#DIV/0!</v>
      </c>
      <c r="AZ213" s="486" t="e">
        <f t="shared" si="173"/>
        <v>#DIV/0!</v>
      </c>
      <c r="BA213" s="486">
        <f t="shared" si="159"/>
        <v>0</v>
      </c>
      <c r="BB213" s="494">
        <v>5155.41</v>
      </c>
      <c r="BC213" s="494">
        <v>2070.12</v>
      </c>
      <c r="BD213" s="494">
        <v>848.92</v>
      </c>
      <c r="BE213" s="494">
        <v>819.73</v>
      </c>
      <c r="BF213" s="494">
        <v>611.5</v>
      </c>
      <c r="BG213" s="494">
        <v>1080.04</v>
      </c>
      <c r="BH213" s="494">
        <v>2671800.0099999998</v>
      </c>
      <c r="BI213" s="494">
        <f t="shared" si="125"/>
        <v>4422.8500000000004</v>
      </c>
      <c r="BJ213" s="494">
        <v>14289.54</v>
      </c>
      <c r="BK213" s="494">
        <v>3389.61</v>
      </c>
      <c r="BL213" s="494">
        <v>5995.76</v>
      </c>
      <c r="BM213" s="494">
        <v>548.62</v>
      </c>
      <c r="BN213" s="495" t="e">
        <f t="shared" si="174"/>
        <v>#DIV/0!</v>
      </c>
      <c r="BO213" s="495" t="e">
        <f t="shared" si="175"/>
        <v>#DIV/0!</v>
      </c>
      <c r="BP213" s="495" t="e">
        <f t="shared" si="176"/>
        <v>#DIV/0!</v>
      </c>
      <c r="BQ213" s="495" t="e">
        <f t="shared" si="177"/>
        <v>#DIV/0!</v>
      </c>
      <c r="BR213" s="495" t="e">
        <f t="shared" si="178"/>
        <v>#DIV/0!</v>
      </c>
      <c r="BS213" s="495" t="e">
        <f t="shared" si="179"/>
        <v>#DIV/0!</v>
      </c>
      <c r="BT213" s="495" t="e">
        <f t="shared" si="180"/>
        <v>#DIV/0!</v>
      </c>
      <c r="BU213" s="495" t="str">
        <f t="shared" si="181"/>
        <v xml:space="preserve"> </v>
      </c>
      <c r="BV213" s="495" t="e">
        <f t="shared" si="182"/>
        <v>#DIV/0!</v>
      </c>
      <c r="BW213" s="495" t="e">
        <f t="shared" si="183"/>
        <v>#DIV/0!</v>
      </c>
      <c r="BX213" s="495" t="e">
        <f t="shared" si="184"/>
        <v>#DIV/0!</v>
      </c>
      <c r="BY213" s="495" t="str">
        <f t="shared" si="185"/>
        <v xml:space="preserve"> </v>
      </c>
    </row>
    <row r="214" spans="1:77" s="28" customFormat="1" ht="9" customHeight="1">
      <c r="A214" s="130">
        <v>184</v>
      </c>
      <c r="B214" s="396" t="s">
        <v>817</v>
      </c>
      <c r="C214" s="249">
        <v>638.20000000000005</v>
      </c>
      <c r="D214" s="376"/>
      <c r="E214" s="368" t="s">
        <v>1005</v>
      </c>
      <c r="F214" s="249"/>
      <c r="G214" s="249"/>
      <c r="H214" s="368">
        <v>1646996</v>
      </c>
      <c r="I214" s="368">
        <f t="shared" si="186"/>
        <v>0</v>
      </c>
      <c r="J214" s="217">
        <v>0</v>
      </c>
      <c r="K214" s="469">
        <v>0</v>
      </c>
      <c r="L214" s="217">
        <v>0</v>
      </c>
      <c r="M214" s="469">
        <v>0</v>
      </c>
      <c r="N214" s="217">
        <v>0</v>
      </c>
      <c r="O214" s="249">
        <v>0</v>
      </c>
      <c r="P214" s="368">
        <v>0</v>
      </c>
      <c r="Q214" s="249">
        <v>0</v>
      </c>
      <c r="R214" s="368">
        <v>0</v>
      </c>
      <c r="S214" s="249">
        <v>0</v>
      </c>
      <c r="T214" s="368">
        <v>0</v>
      </c>
      <c r="U214" s="130">
        <v>0</v>
      </c>
      <c r="V214" s="368">
        <v>0</v>
      </c>
      <c r="W214" s="368">
        <v>494</v>
      </c>
      <c r="X214" s="368">
        <f t="shared" si="187"/>
        <v>1572881.18</v>
      </c>
      <c r="Y214" s="370">
        <v>0</v>
      </c>
      <c r="Z214" s="370">
        <v>0</v>
      </c>
      <c r="AA214" s="370">
        <v>0</v>
      </c>
      <c r="AB214" s="370">
        <v>0</v>
      </c>
      <c r="AC214" s="370">
        <v>0</v>
      </c>
      <c r="AD214" s="370">
        <v>0</v>
      </c>
      <c r="AE214" s="370">
        <v>0</v>
      </c>
      <c r="AF214" s="370">
        <v>0</v>
      </c>
      <c r="AG214" s="370">
        <v>0</v>
      </c>
      <c r="AH214" s="370">
        <v>0</v>
      </c>
      <c r="AI214" s="370">
        <v>0</v>
      </c>
      <c r="AJ214" s="370">
        <f t="shared" si="188"/>
        <v>49409.88</v>
      </c>
      <c r="AK214" s="370">
        <f t="shared" si="189"/>
        <v>24704.94</v>
      </c>
      <c r="AL214" s="370">
        <v>0</v>
      </c>
      <c r="AM214" s="480"/>
      <c r="AN214" s="480"/>
      <c r="AP214" s="486" t="e">
        <f t="shared" si="158"/>
        <v>#DIV/0!</v>
      </c>
      <c r="AQ214" s="486" t="e">
        <f t="shared" si="164"/>
        <v>#DIV/0!</v>
      </c>
      <c r="AR214" s="486" t="e">
        <f t="shared" si="165"/>
        <v>#DIV/0!</v>
      </c>
      <c r="AS214" s="486" t="e">
        <f t="shared" si="166"/>
        <v>#DIV/0!</v>
      </c>
      <c r="AT214" s="486" t="e">
        <f t="shared" si="167"/>
        <v>#DIV/0!</v>
      </c>
      <c r="AU214" s="486" t="e">
        <f t="shared" si="168"/>
        <v>#DIV/0!</v>
      </c>
      <c r="AV214" s="486" t="e">
        <f t="shared" si="169"/>
        <v>#DIV/0!</v>
      </c>
      <c r="AW214" s="486">
        <f t="shared" si="170"/>
        <v>3183.97</v>
      </c>
      <c r="AX214" s="486" t="e">
        <f t="shared" si="171"/>
        <v>#DIV/0!</v>
      </c>
      <c r="AY214" s="486" t="e">
        <f t="shared" si="172"/>
        <v>#DIV/0!</v>
      </c>
      <c r="AZ214" s="486" t="e">
        <f t="shared" si="173"/>
        <v>#DIV/0!</v>
      </c>
      <c r="BA214" s="486">
        <f t="shared" si="159"/>
        <v>0</v>
      </c>
      <c r="BB214" s="494">
        <v>5155.41</v>
      </c>
      <c r="BC214" s="494">
        <v>2070.12</v>
      </c>
      <c r="BD214" s="494">
        <v>848.92</v>
      </c>
      <c r="BE214" s="494">
        <v>819.73</v>
      </c>
      <c r="BF214" s="494">
        <v>611.5</v>
      </c>
      <c r="BG214" s="494">
        <v>1080.04</v>
      </c>
      <c r="BH214" s="494">
        <v>2671800.0099999998</v>
      </c>
      <c r="BI214" s="494">
        <f t="shared" si="125"/>
        <v>4607.6000000000004</v>
      </c>
      <c r="BJ214" s="494">
        <v>14289.54</v>
      </c>
      <c r="BK214" s="494">
        <v>3389.61</v>
      </c>
      <c r="BL214" s="494">
        <v>5995.76</v>
      </c>
      <c r="BM214" s="494">
        <v>548.62</v>
      </c>
      <c r="BN214" s="495" t="e">
        <f t="shared" si="174"/>
        <v>#DIV/0!</v>
      </c>
      <c r="BO214" s="495" t="e">
        <f t="shared" si="175"/>
        <v>#DIV/0!</v>
      </c>
      <c r="BP214" s="495" t="e">
        <f t="shared" si="176"/>
        <v>#DIV/0!</v>
      </c>
      <c r="BQ214" s="495" t="e">
        <f t="shared" si="177"/>
        <v>#DIV/0!</v>
      </c>
      <c r="BR214" s="495" t="e">
        <f t="shared" si="178"/>
        <v>#DIV/0!</v>
      </c>
      <c r="BS214" s="495" t="e">
        <f t="shared" si="179"/>
        <v>#DIV/0!</v>
      </c>
      <c r="BT214" s="495" t="e">
        <f t="shared" si="180"/>
        <v>#DIV/0!</v>
      </c>
      <c r="BU214" s="495" t="str">
        <f t="shared" si="181"/>
        <v xml:space="preserve"> </v>
      </c>
      <c r="BV214" s="495" t="e">
        <f t="shared" si="182"/>
        <v>#DIV/0!</v>
      </c>
      <c r="BW214" s="495" t="e">
        <f t="shared" si="183"/>
        <v>#DIV/0!</v>
      </c>
      <c r="BX214" s="495" t="e">
        <f t="shared" si="184"/>
        <v>#DIV/0!</v>
      </c>
      <c r="BY214" s="495" t="str">
        <f t="shared" si="185"/>
        <v xml:space="preserve"> </v>
      </c>
    </row>
    <row r="215" spans="1:77" s="28" customFormat="1" ht="9" customHeight="1">
      <c r="A215" s="130">
        <v>185</v>
      </c>
      <c r="B215" s="276" t="s">
        <v>818</v>
      </c>
      <c r="C215" s="249">
        <v>3181.15</v>
      </c>
      <c r="D215" s="376"/>
      <c r="E215" s="368" t="s">
        <v>1005</v>
      </c>
      <c r="F215" s="249"/>
      <c r="G215" s="249"/>
      <c r="H215" s="368">
        <v>3000600</v>
      </c>
      <c r="I215" s="368">
        <f t="shared" si="186"/>
        <v>0</v>
      </c>
      <c r="J215" s="217">
        <v>0</v>
      </c>
      <c r="K215" s="469">
        <v>0</v>
      </c>
      <c r="L215" s="217">
        <v>0</v>
      </c>
      <c r="M215" s="469">
        <v>0</v>
      </c>
      <c r="N215" s="217">
        <v>0</v>
      </c>
      <c r="O215" s="249">
        <v>0</v>
      </c>
      <c r="P215" s="368">
        <v>0</v>
      </c>
      <c r="Q215" s="249">
        <v>0</v>
      </c>
      <c r="R215" s="368">
        <v>0</v>
      </c>
      <c r="S215" s="249">
        <v>0</v>
      </c>
      <c r="T215" s="368">
        <v>0</v>
      </c>
      <c r="U215" s="130">
        <v>0</v>
      </c>
      <c r="V215" s="368">
        <v>0</v>
      </c>
      <c r="W215" s="368">
        <v>900</v>
      </c>
      <c r="X215" s="368">
        <f t="shared" si="187"/>
        <v>2865573</v>
      </c>
      <c r="Y215" s="370">
        <v>0</v>
      </c>
      <c r="Z215" s="370">
        <v>0</v>
      </c>
      <c r="AA215" s="370">
        <v>0</v>
      </c>
      <c r="AB215" s="370">
        <v>0</v>
      </c>
      <c r="AC215" s="370">
        <v>0</v>
      </c>
      <c r="AD215" s="370">
        <v>0</v>
      </c>
      <c r="AE215" s="370">
        <v>0</v>
      </c>
      <c r="AF215" s="370">
        <v>0</v>
      </c>
      <c r="AG215" s="370">
        <v>0</v>
      </c>
      <c r="AH215" s="370">
        <v>0</v>
      </c>
      <c r="AI215" s="370">
        <v>0</v>
      </c>
      <c r="AJ215" s="370">
        <f t="shared" si="188"/>
        <v>90018</v>
      </c>
      <c r="AK215" s="370">
        <f t="shared" si="189"/>
        <v>45009</v>
      </c>
      <c r="AL215" s="370">
        <v>0</v>
      </c>
      <c r="AM215" s="480"/>
      <c r="AN215" s="480"/>
      <c r="AP215" s="486" t="e">
        <f t="shared" si="158"/>
        <v>#DIV/0!</v>
      </c>
      <c r="AQ215" s="486" t="e">
        <f t="shared" si="164"/>
        <v>#DIV/0!</v>
      </c>
      <c r="AR215" s="486" t="e">
        <f t="shared" si="165"/>
        <v>#DIV/0!</v>
      </c>
      <c r="AS215" s="486" t="e">
        <f t="shared" si="166"/>
        <v>#DIV/0!</v>
      </c>
      <c r="AT215" s="486" t="e">
        <f t="shared" si="167"/>
        <v>#DIV/0!</v>
      </c>
      <c r="AU215" s="486" t="e">
        <f t="shared" si="168"/>
        <v>#DIV/0!</v>
      </c>
      <c r="AV215" s="486" t="e">
        <f t="shared" si="169"/>
        <v>#DIV/0!</v>
      </c>
      <c r="AW215" s="486">
        <f t="shared" si="170"/>
        <v>3183.97</v>
      </c>
      <c r="AX215" s="486" t="e">
        <f t="shared" si="171"/>
        <v>#DIV/0!</v>
      </c>
      <c r="AY215" s="486" t="e">
        <f t="shared" si="172"/>
        <v>#DIV/0!</v>
      </c>
      <c r="AZ215" s="486" t="e">
        <f t="shared" si="173"/>
        <v>#DIV/0!</v>
      </c>
      <c r="BA215" s="486">
        <f t="shared" si="159"/>
        <v>0</v>
      </c>
      <c r="BB215" s="494">
        <v>5155.41</v>
      </c>
      <c r="BC215" s="494">
        <v>2070.12</v>
      </c>
      <c r="BD215" s="494">
        <v>848.92</v>
      </c>
      <c r="BE215" s="494">
        <v>819.73</v>
      </c>
      <c r="BF215" s="494">
        <v>611.5</v>
      </c>
      <c r="BG215" s="494">
        <v>1080.04</v>
      </c>
      <c r="BH215" s="494">
        <v>2671800.0099999998</v>
      </c>
      <c r="BI215" s="494">
        <f t="shared" si="125"/>
        <v>4607.6000000000004</v>
      </c>
      <c r="BJ215" s="494">
        <v>14289.54</v>
      </c>
      <c r="BK215" s="494">
        <v>3389.61</v>
      </c>
      <c r="BL215" s="494">
        <v>5995.76</v>
      </c>
      <c r="BM215" s="494">
        <v>548.62</v>
      </c>
      <c r="BN215" s="495" t="e">
        <f t="shared" si="174"/>
        <v>#DIV/0!</v>
      </c>
      <c r="BO215" s="495" t="e">
        <f t="shared" si="175"/>
        <v>#DIV/0!</v>
      </c>
      <c r="BP215" s="495" t="e">
        <f t="shared" si="176"/>
        <v>#DIV/0!</v>
      </c>
      <c r="BQ215" s="495" t="e">
        <f t="shared" si="177"/>
        <v>#DIV/0!</v>
      </c>
      <c r="BR215" s="495" t="e">
        <f t="shared" si="178"/>
        <v>#DIV/0!</v>
      </c>
      <c r="BS215" s="495" t="e">
        <f t="shared" si="179"/>
        <v>#DIV/0!</v>
      </c>
      <c r="BT215" s="495" t="e">
        <f t="shared" si="180"/>
        <v>#DIV/0!</v>
      </c>
      <c r="BU215" s="495" t="str">
        <f t="shared" si="181"/>
        <v xml:space="preserve"> </v>
      </c>
      <c r="BV215" s="495" t="e">
        <f t="shared" si="182"/>
        <v>#DIV/0!</v>
      </c>
      <c r="BW215" s="495" t="e">
        <f t="shared" si="183"/>
        <v>#DIV/0!</v>
      </c>
      <c r="BX215" s="495" t="e">
        <f t="shared" si="184"/>
        <v>#DIV/0!</v>
      </c>
      <c r="BY215" s="495" t="str">
        <f t="shared" si="185"/>
        <v xml:space="preserve"> </v>
      </c>
    </row>
    <row r="216" spans="1:77" s="28" customFormat="1" ht="9" customHeight="1">
      <c r="A216" s="130">
        <v>186</v>
      </c>
      <c r="B216" s="276" t="s">
        <v>819</v>
      </c>
      <c r="C216" s="249">
        <v>1127.8699999999999</v>
      </c>
      <c r="D216" s="376"/>
      <c r="E216" s="368" t="s">
        <v>1006</v>
      </c>
      <c r="F216" s="249"/>
      <c r="G216" s="249"/>
      <c r="H216" s="368">
        <v>2425500</v>
      </c>
      <c r="I216" s="368">
        <f t="shared" si="186"/>
        <v>0</v>
      </c>
      <c r="J216" s="217">
        <v>0</v>
      </c>
      <c r="K216" s="469">
        <v>0</v>
      </c>
      <c r="L216" s="217">
        <v>0</v>
      </c>
      <c r="M216" s="469">
        <v>0</v>
      </c>
      <c r="N216" s="217">
        <v>0</v>
      </c>
      <c r="O216" s="249">
        <v>0</v>
      </c>
      <c r="P216" s="368">
        <v>0</v>
      </c>
      <c r="Q216" s="249">
        <v>0</v>
      </c>
      <c r="R216" s="368">
        <v>0</v>
      </c>
      <c r="S216" s="249">
        <v>0</v>
      </c>
      <c r="T216" s="368">
        <v>0</v>
      </c>
      <c r="U216" s="130">
        <v>0</v>
      </c>
      <c r="V216" s="368">
        <v>0</v>
      </c>
      <c r="W216" s="368">
        <v>750</v>
      </c>
      <c r="X216" s="368">
        <f t="shared" si="187"/>
        <v>2316352.5</v>
      </c>
      <c r="Y216" s="370">
        <v>0</v>
      </c>
      <c r="Z216" s="370">
        <v>0</v>
      </c>
      <c r="AA216" s="370">
        <v>0</v>
      </c>
      <c r="AB216" s="370">
        <v>0</v>
      </c>
      <c r="AC216" s="370">
        <v>0</v>
      </c>
      <c r="AD216" s="370">
        <v>0</v>
      </c>
      <c r="AE216" s="370">
        <v>0</v>
      </c>
      <c r="AF216" s="370">
        <v>0</v>
      </c>
      <c r="AG216" s="370">
        <v>0</v>
      </c>
      <c r="AH216" s="370">
        <v>0</v>
      </c>
      <c r="AI216" s="370">
        <v>0</v>
      </c>
      <c r="AJ216" s="370">
        <f t="shared" si="188"/>
        <v>72765</v>
      </c>
      <c r="AK216" s="370">
        <f t="shared" si="189"/>
        <v>36382.5</v>
      </c>
      <c r="AL216" s="370">
        <v>0</v>
      </c>
      <c r="AM216" s="480"/>
      <c r="AN216" s="480"/>
      <c r="AP216" s="486" t="e">
        <f t="shared" si="158"/>
        <v>#DIV/0!</v>
      </c>
      <c r="AQ216" s="486" t="e">
        <f t="shared" si="164"/>
        <v>#DIV/0!</v>
      </c>
      <c r="AR216" s="486" t="e">
        <f t="shared" si="165"/>
        <v>#DIV/0!</v>
      </c>
      <c r="AS216" s="486" t="e">
        <f t="shared" si="166"/>
        <v>#DIV/0!</v>
      </c>
      <c r="AT216" s="486" t="e">
        <f t="shared" si="167"/>
        <v>#DIV/0!</v>
      </c>
      <c r="AU216" s="486" t="e">
        <f t="shared" si="168"/>
        <v>#DIV/0!</v>
      </c>
      <c r="AV216" s="486" t="e">
        <f t="shared" si="169"/>
        <v>#DIV/0!</v>
      </c>
      <c r="AW216" s="486">
        <f t="shared" si="170"/>
        <v>3088.47</v>
      </c>
      <c r="AX216" s="486" t="e">
        <f t="shared" si="171"/>
        <v>#DIV/0!</v>
      </c>
      <c r="AY216" s="486" t="e">
        <f t="shared" si="172"/>
        <v>#DIV/0!</v>
      </c>
      <c r="AZ216" s="486" t="e">
        <f t="shared" si="173"/>
        <v>#DIV/0!</v>
      </c>
      <c r="BA216" s="486">
        <f t="shared" si="159"/>
        <v>0</v>
      </c>
      <c r="BB216" s="494">
        <v>5155.41</v>
      </c>
      <c r="BC216" s="494">
        <v>2070.12</v>
      </c>
      <c r="BD216" s="494">
        <v>848.92</v>
      </c>
      <c r="BE216" s="494">
        <v>819.73</v>
      </c>
      <c r="BF216" s="494">
        <v>611.5</v>
      </c>
      <c r="BG216" s="494">
        <v>1080.04</v>
      </c>
      <c r="BH216" s="494">
        <v>2671800.0099999998</v>
      </c>
      <c r="BI216" s="494">
        <f t="shared" si="125"/>
        <v>4422.8500000000004</v>
      </c>
      <c r="BJ216" s="494">
        <v>14289.54</v>
      </c>
      <c r="BK216" s="494">
        <v>3389.61</v>
      </c>
      <c r="BL216" s="494">
        <v>5995.76</v>
      </c>
      <c r="BM216" s="494">
        <v>548.62</v>
      </c>
      <c r="BN216" s="495" t="e">
        <f t="shared" si="174"/>
        <v>#DIV/0!</v>
      </c>
      <c r="BO216" s="495" t="e">
        <f t="shared" si="175"/>
        <v>#DIV/0!</v>
      </c>
      <c r="BP216" s="495" t="e">
        <f t="shared" si="176"/>
        <v>#DIV/0!</v>
      </c>
      <c r="BQ216" s="495" t="e">
        <f t="shared" si="177"/>
        <v>#DIV/0!</v>
      </c>
      <c r="BR216" s="495" t="e">
        <f t="shared" si="178"/>
        <v>#DIV/0!</v>
      </c>
      <c r="BS216" s="495" t="e">
        <f t="shared" si="179"/>
        <v>#DIV/0!</v>
      </c>
      <c r="BT216" s="495" t="e">
        <f t="shared" si="180"/>
        <v>#DIV/0!</v>
      </c>
      <c r="BU216" s="495" t="str">
        <f t="shared" si="181"/>
        <v xml:space="preserve"> </v>
      </c>
      <c r="BV216" s="495" t="e">
        <f t="shared" si="182"/>
        <v>#DIV/0!</v>
      </c>
      <c r="BW216" s="495" t="e">
        <f t="shared" si="183"/>
        <v>#DIV/0!</v>
      </c>
      <c r="BX216" s="495" t="e">
        <f t="shared" si="184"/>
        <v>#DIV/0!</v>
      </c>
      <c r="BY216" s="495" t="str">
        <f t="shared" si="185"/>
        <v xml:space="preserve"> </v>
      </c>
    </row>
    <row r="217" spans="1:77" s="28" customFormat="1" ht="9" customHeight="1">
      <c r="A217" s="130">
        <v>187</v>
      </c>
      <c r="B217" s="276" t="s">
        <v>820</v>
      </c>
      <c r="C217" s="249">
        <v>1113.9000000000001</v>
      </c>
      <c r="D217" s="376"/>
      <c r="E217" s="368" t="s">
        <v>1006</v>
      </c>
      <c r="F217" s="249"/>
      <c r="G217" s="249"/>
      <c r="H217" s="368">
        <v>2425500</v>
      </c>
      <c r="I217" s="368">
        <f t="shared" si="186"/>
        <v>0</v>
      </c>
      <c r="J217" s="217">
        <v>0</v>
      </c>
      <c r="K217" s="469">
        <v>0</v>
      </c>
      <c r="L217" s="217">
        <v>0</v>
      </c>
      <c r="M217" s="469">
        <v>0</v>
      </c>
      <c r="N217" s="217">
        <v>0</v>
      </c>
      <c r="O217" s="249">
        <v>0</v>
      </c>
      <c r="P217" s="368">
        <v>0</v>
      </c>
      <c r="Q217" s="249">
        <v>0</v>
      </c>
      <c r="R217" s="368">
        <v>0</v>
      </c>
      <c r="S217" s="249">
        <v>0</v>
      </c>
      <c r="T217" s="368">
        <v>0</v>
      </c>
      <c r="U217" s="130">
        <v>0</v>
      </c>
      <c r="V217" s="368">
        <v>0</v>
      </c>
      <c r="W217" s="368">
        <v>750</v>
      </c>
      <c r="X217" s="368">
        <f t="shared" si="187"/>
        <v>2316352.5</v>
      </c>
      <c r="Y217" s="370">
        <v>0</v>
      </c>
      <c r="Z217" s="370">
        <v>0</v>
      </c>
      <c r="AA217" s="370">
        <v>0</v>
      </c>
      <c r="AB217" s="370">
        <v>0</v>
      </c>
      <c r="AC217" s="370">
        <v>0</v>
      </c>
      <c r="AD217" s="370">
        <v>0</v>
      </c>
      <c r="AE217" s="370">
        <v>0</v>
      </c>
      <c r="AF217" s="370">
        <v>0</v>
      </c>
      <c r="AG217" s="370">
        <v>0</v>
      </c>
      <c r="AH217" s="370">
        <v>0</v>
      </c>
      <c r="AI217" s="370">
        <v>0</v>
      </c>
      <c r="AJ217" s="370">
        <f t="shared" si="188"/>
        <v>72765</v>
      </c>
      <c r="AK217" s="370">
        <f t="shared" si="189"/>
        <v>36382.5</v>
      </c>
      <c r="AL217" s="370">
        <v>0</v>
      </c>
      <c r="AM217" s="480"/>
      <c r="AN217" s="480"/>
      <c r="AP217" s="486" t="e">
        <f t="shared" si="158"/>
        <v>#DIV/0!</v>
      </c>
      <c r="AQ217" s="486" t="e">
        <f t="shared" si="164"/>
        <v>#DIV/0!</v>
      </c>
      <c r="AR217" s="486" t="e">
        <f t="shared" si="165"/>
        <v>#DIV/0!</v>
      </c>
      <c r="AS217" s="486" t="e">
        <f t="shared" si="166"/>
        <v>#DIV/0!</v>
      </c>
      <c r="AT217" s="486" t="e">
        <f t="shared" si="167"/>
        <v>#DIV/0!</v>
      </c>
      <c r="AU217" s="486" t="e">
        <f t="shared" si="168"/>
        <v>#DIV/0!</v>
      </c>
      <c r="AV217" s="486" t="e">
        <f t="shared" si="169"/>
        <v>#DIV/0!</v>
      </c>
      <c r="AW217" s="486">
        <f t="shared" si="170"/>
        <v>3088.47</v>
      </c>
      <c r="AX217" s="486" t="e">
        <f t="shared" si="171"/>
        <v>#DIV/0!</v>
      </c>
      <c r="AY217" s="486" t="e">
        <f t="shared" si="172"/>
        <v>#DIV/0!</v>
      </c>
      <c r="AZ217" s="486" t="e">
        <f t="shared" si="173"/>
        <v>#DIV/0!</v>
      </c>
      <c r="BA217" s="486">
        <f t="shared" si="159"/>
        <v>0</v>
      </c>
      <c r="BB217" s="494">
        <v>5155.41</v>
      </c>
      <c r="BC217" s="494">
        <v>2070.12</v>
      </c>
      <c r="BD217" s="494">
        <v>848.92</v>
      </c>
      <c r="BE217" s="494">
        <v>819.73</v>
      </c>
      <c r="BF217" s="494">
        <v>611.5</v>
      </c>
      <c r="BG217" s="494">
        <v>1080.04</v>
      </c>
      <c r="BH217" s="494">
        <v>2671800.0099999998</v>
      </c>
      <c r="BI217" s="494">
        <f t="shared" si="125"/>
        <v>4422.8500000000004</v>
      </c>
      <c r="BJ217" s="494">
        <v>14289.54</v>
      </c>
      <c r="BK217" s="494">
        <v>3389.61</v>
      </c>
      <c r="BL217" s="494">
        <v>5995.76</v>
      </c>
      <c r="BM217" s="494">
        <v>548.62</v>
      </c>
      <c r="BN217" s="495" t="e">
        <f t="shared" si="174"/>
        <v>#DIV/0!</v>
      </c>
      <c r="BO217" s="495" t="e">
        <f t="shared" si="175"/>
        <v>#DIV/0!</v>
      </c>
      <c r="BP217" s="495" t="e">
        <f t="shared" si="176"/>
        <v>#DIV/0!</v>
      </c>
      <c r="BQ217" s="495" t="e">
        <f t="shared" si="177"/>
        <v>#DIV/0!</v>
      </c>
      <c r="BR217" s="495" t="e">
        <f t="shared" si="178"/>
        <v>#DIV/0!</v>
      </c>
      <c r="BS217" s="495" t="e">
        <f t="shared" si="179"/>
        <v>#DIV/0!</v>
      </c>
      <c r="BT217" s="495" t="e">
        <f t="shared" si="180"/>
        <v>#DIV/0!</v>
      </c>
      <c r="BU217" s="495" t="str">
        <f t="shared" si="181"/>
        <v xml:space="preserve"> </v>
      </c>
      <c r="BV217" s="495" t="e">
        <f t="shared" si="182"/>
        <v>#DIV/0!</v>
      </c>
      <c r="BW217" s="495" t="e">
        <f t="shared" si="183"/>
        <v>#DIV/0!</v>
      </c>
      <c r="BX217" s="495" t="e">
        <f t="shared" si="184"/>
        <v>#DIV/0!</v>
      </c>
      <c r="BY217" s="495" t="str">
        <f t="shared" si="185"/>
        <v xml:space="preserve"> </v>
      </c>
    </row>
    <row r="218" spans="1:77" s="28" customFormat="1" ht="9" customHeight="1">
      <c r="A218" s="130">
        <v>188</v>
      </c>
      <c r="B218" s="276" t="s">
        <v>821</v>
      </c>
      <c r="C218" s="249">
        <v>1076.7</v>
      </c>
      <c r="D218" s="376"/>
      <c r="E218" s="368" t="s">
        <v>1005</v>
      </c>
      <c r="F218" s="249"/>
      <c r="G218" s="249"/>
      <c r="H218" s="368">
        <v>2300460</v>
      </c>
      <c r="I218" s="368">
        <f t="shared" si="186"/>
        <v>0</v>
      </c>
      <c r="J218" s="217">
        <v>0</v>
      </c>
      <c r="K218" s="469">
        <v>0</v>
      </c>
      <c r="L218" s="217">
        <v>0</v>
      </c>
      <c r="M218" s="469">
        <v>0</v>
      </c>
      <c r="N218" s="217">
        <v>0</v>
      </c>
      <c r="O218" s="249">
        <v>0</v>
      </c>
      <c r="P218" s="368">
        <v>0</v>
      </c>
      <c r="Q218" s="249">
        <v>0</v>
      </c>
      <c r="R218" s="368">
        <v>0</v>
      </c>
      <c r="S218" s="249">
        <v>0</v>
      </c>
      <c r="T218" s="368">
        <v>0</v>
      </c>
      <c r="U218" s="130">
        <v>0</v>
      </c>
      <c r="V218" s="368">
        <v>0</v>
      </c>
      <c r="W218" s="368">
        <v>690</v>
      </c>
      <c r="X218" s="368">
        <f t="shared" si="187"/>
        <v>2196939.2999999998</v>
      </c>
      <c r="Y218" s="370">
        <v>0</v>
      </c>
      <c r="Z218" s="370">
        <v>0</v>
      </c>
      <c r="AA218" s="370">
        <v>0</v>
      </c>
      <c r="AB218" s="370">
        <v>0</v>
      </c>
      <c r="AC218" s="370">
        <v>0</v>
      </c>
      <c r="AD218" s="370">
        <v>0</v>
      </c>
      <c r="AE218" s="370">
        <v>0</v>
      </c>
      <c r="AF218" s="370">
        <v>0</v>
      </c>
      <c r="AG218" s="370">
        <v>0</v>
      </c>
      <c r="AH218" s="370">
        <v>0</v>
      </c>
      <c r="AI218" s="370">
        <v>0</v>
      </c>
      <c r="AJ218" s="370">
        <f t="shared" si="188"/>
        <v>69013.8</v>
      </c>
      <c r="AK218" s="370">
        <f t="shared" si="189"/>
        <v>34506.9</v>
      </c>
      <c r="AL218" s="370">
        <v>0</v>
      </c>
      <c r="AM218" s="480"/>
      <c r="AN218" s="480"/>
      <c r="AP218" s="486" t="e">
        <f t="shared" si="158"/>
        <v>#DIV/0!</v>
      </c>
      <c r="AQ218" s="486" t="e">
        <f t="shared" si="164"/>
        <v>#DIV/0!</v>
      </c>
      <c r="AR218" s="486" t="e">
        <f t="shared" si="165"/>
        <v>#DIV/0!</v>
      </c>
      <c r="AS218" s="486" t="e">
        <f t="shared" si="166"/>
        <v>#DIV/0!</v>
      </c>
      <c r="AT218" s="486" t="e">
        <f t="shared" si="167"/>
        <v>#DIV/0!</v>
      </c>
      <c r="AU218" s="486" t="e">
        <f t="shared" si="168"/>
        <v>#DIV/0!</v>
      </c>
      <c r="AV218" s="486" t="e">
        <f t="shared" si="169"/>
        <v>#DIV/0!</v>
      </c>
      <c r="AW218" s="486">
        <f t="shared" si="170"/>
        <v>3183.97</v>
      </c>
      <c r="AX218" s="486" t="e">
        <f t="shared" si="171"/>
        <v>#DIV/0!</v>
      </c>
      <c r="AY218" s="486" t="e">
        <f t="shared" si="172"/>
        <v>#DIV/0!</v>
      </c>
      <c r="AZ218" s="486" t="e">
        <f t="shared" si="173"/>
        <v>#DIV/0!</v>
      </c>
      <c r="BA218" s="486">
        <f t="shared" si="159"/>
        <v>0</v>
      </c>
      <c r="BB218" s="494">
        <v>5155.41</v>
      </c>
      <c r="BC218" s="494">
        <v>2070.12</v>
      </c>
      <c r="BD218" s="494">
        <v>848.92</v>
      </c>
      <c r="BE218" s="494">
        <v>819.73</v>
      </c>
      <c r="BF218" s="494">
        <v>611.5</v>
      </c>
      <c r="BG218" s="494">
        <v>1080.04</v>
      </c>
      <c r="BH218" s="494">
        <v>2671800.0099999998</v>
      </c>
      <c r="BI218" s="494">
        <f t="shared" si="125"/>
        <v>4607.6000000000004</v>
      </c>
      <c r="BJ218" s="494">
        <v>14289.54</v>
      </c>
      <c r="BK218" s="494">
        <v>3389.61</v>
      </c>
      <c r="BL218" s="494">
        <v>5995.76</v>
      </c>
      <c r="BM218" s="494">
        <v>548.62</v>
      </c>
      <c r="BN218" s="495" t="e">
        <f t="shared" si="174"/>
        <v>#DIV/0!</v>
      </c>
      <c r="BO218" s="495" t="e">
        <f t="shared" si="175"/>
        <v>#DIV/0!</v>
      </c>
      <c r="BP218" s="495" t="e">
        <f t="shared" si="176"/>
        <v>#DIV/0!</v>
      </c>
      <c r="BQ218" s="495" t="e">
        <f t="shared" si="177"/>
        <v>#DIV/0!</v>
      </c>
      <c r="BR218" s="495" t="e">
        <f t="shared" si="178"/>
        <v>#DIV/0!</v>
      </c>
      <c r="BS218" s="495" t="e">
        <f t="shared" si="179"/>
        <v>#DIV/0!</v>
      </c>
      <c r="BT218" s="495" t="e">
        <f t="shared" si="180"/>
        <v>#DIV/0!</v>
      </c>
      <c r="BU218" s="495" t="str">
        <f t="shared" si="181"/>
        <v xml:space="preserve"> </v>
      </c>
      <c r="BV218" s="495" t="e">
        <f t="shared" si="182"/>
        <v>#DIV/0!</v>
      </c>
      <c r="BW218" s="495" t="e">
        <f t="shared" si="183"/>
        <v>#DIV/0!</v>
      </c>
      <c r="BX218" s="495" t="e">
        <f t="shared" si="184"/>
        <v>#DIV/0!</v>
      </c>
      <c r="BY218" s="495" t="str">
        <f t="shared" si="185"/>
        <v xml:space="preserve"> </v>
      </c>
    </row>
    <row r="219" spans="1:77" s="28" customFormat="1" ht="9" customHeight="1">
      <c r="A219" s="130">
        <v>189</v>
      </c>
      <c r="B219" s="276" t="s">
        <v>822</v>
      </c>
      <c r="C219" s="249">
        <v>255</v>
      </c>
      <c r="D219" s="376"/>
      <c r="E219" s="368" t="s">
        <v>1005</v>
      </c>
      <c r="F219" s="249"/>
      <c r="G219" s="249"/>
      <c r="H219" s="368">
        <v>1043208.6</v>
      </c>
      <c r="I219" s="368">
        <f t="shared" si="186"/>
        <v>0</v>
      </c>
      <c r="J219" s="217">
        <v>0</v>
      </c>
      <c r="K219" s="469">
        <v>0</v>
      </c>
      <c r="L219" s="217">
        <v>0</v>
      </c>
      <c r="M219" s="469">
        <v>0</v>
      </c>
      <c r="N219" s="217">
        <v>0</v>
      </c>
      <c r="O219" s="249">
        <v>0</v>
      </c>
      <c r="P219" s="368">
        <v>0</v>
      </c>
      <c r="Q219" s="249">
        <v>0</v>
      </c>
      <c r="R219" s="368">
        <v>0</v>
      </c>
      <c r="S219" s="249">
        <v>0</v>
      </c>
      <c r="T219" s="368">
        <v>0</v>
      </c>
      <c r="U219" s="130">
        <v>0</v>
      </c>
      <c r="V219" s="368">
        <v>0</v>
      </c>
      <c r="W219" s="368">
        <v>312.89999999999998</v>
      </c>
      <c r="X219" s="368">
        <f t="shared" si="187"/>
        <v>996264.21</v>
      </c>
      <c r="Y219" s="370">
        <v>0</v>
      </c>
      <c r="Z219" s="370">
        <v>0</v>
      </c>
      <c r="AA219" s="370">
        <v>0</v>
      </c>
      <c r="AB219" s="370">
        <v>0</v>
      </c>
      <c r="AC219" s="370">
        <v>0</v>
      </c>
      <c r="AD219" s="370">
        <v>0</v>
      </c>
      <c r="AE219" s="370">
        <v>0</v>
      </c>
      <c r="AF219" s="370">
        <v>0</v>
      </c>
      <c r="AG219" s="370">
        <v>0</v>
      </c>
      <c r="AH219" s="370">
        <v>0</v>
      </c>
      <c r="AI219" s="370">
        <v>0</v>
      </c>
      <c r="AJ219" s="370">
        <f t="shared" si="188"/>
        <v>31296.26</v>
      </c>
      <c r="AK219" s="370">
        <f t="shared" si="189"/>
        <v>15648.13</v>
      </c>
      <c r="AL219" s="370">
        <v>0</v>
      </c>
      <c r="AM219" s="480"/>
      <c r="AN219" s="480"/>
      <c r="AP219" s="486" t="e">
        <f t="shared" si="158"/>
        <v>#DIV/0!</v>
      </c>
      <c r="AQ219" s="486" t="e">
        <f t="shared" si="164"/>
        <v>#DIV/0!</v>
      </c>
      <c r="AR219" s="486" t="e">
        <f t="shared" si="165"/>
        <v>#DIV/0!</v>
      </c>
      <c r="AS219" s="486" t="e">
        <f t="shared" si="166"/>
        <v>#DIV/0!</v>
      </c>
      <c r="AT219" s="486" t="e">
        <f t="shared" si="167"/>
        <v>#DIV/0!</v>
      </c>
      <c r="AU219" s="486" t="e">
        <f t="shared" si="168"/>
        <v>#DIV/0!</v>
      </c>
      <c r="AV219" s="486" t="e">
        <f t="shared" si="169"/>
        <v>#DIV/0!</v>
      </c>
      <c r="AW219" s="486">
        <f t="shared" si="170"/>
        <v>3183.9699904122722</v>
      </c>
      <c r="AX219" s="486" t="e">
        <f t="shared" si="171"/>
        <v>#DIV/0!</v>
      </c>
      <c r="AY219" s="486" t="e">
        <f t="shared" si="172"/>
        <v>#DIV/0!</v>
      </c>
      <c r="AZ219" s="486" t="e">
        <f t="shared" si="173"/>
        <v>#DIV/0!</v>
      </c>
      <c r="BA219" s="486">
        <f t="shared" si="159"/>
        <v>0</v>
      </c>
      <c r="BB219" s="494">
        <v>5155.41</v>
      </c>
      <c r="BC219" s="494">
        <v>2070.12</v>
      </c>
      <c r="BD219" s="494">
        <v>848.92</v>
      </c>
      <c r="BE219" s="494">
        <v>819.73</v>
      </c>
      <c r="BF219" s="494">
        <v>611.5</v>
      </c>
      <c r="BG219" s="494">
        <v>1080.04</v>
      </c>
      <c r="BH219" s="494">
        <v>2671800.0099999998</v>
      </c>
      <c r="BI219" s="494">
        <f t="shared" si="125"/>
        <v>4607.6000000000004</v>
      </c>
      <c r="BJ219" s="494">
        <v>14289.54</v>
      </c>
      <c r="BK219" s="494">
        <v>3389.61</v>
      </c>
      <c r="BL219" s="494">
        <v>5995.76</v>
      </c>
      <c r="BM219" s="494">
        <v>548.62</v>
      </c>
      <c r="BN219" s="495" t="e">
        <f t="shared" si="174"/>
        <v>#DIV/0!</v>
      </c>
      <c r="BO219" s="495" t="e">
        <f t="shared" si="175"/>
        <v>#DIV/0!</v>
      </c>
      <c r="BP219" s="495" t="e">
        <f t="shared" si="176"/>
        <v>#DIV/0!</v>
      </c>
      <c r="BQ219" s="495" t="e">
        <f t="shared" si="177"/>
        <v>#DIV/0!</v>
      </c>
      <c r="BR219" s="495" t="e">
        <f t="shared" si="178"/>
        <v>#DIV/0!</v>
      </c>
      <c r="BS219" s="495" t="e">
        <f t="shared" si="179"/>
        <v>#DIV/0!</v>
      </c>
      <c r="BT219" s="495" t="e">
        <f t="shared" si="180"/>
        <v>#DIV/0!</v>
      </c>
      <c r="BU219" s="495" t="str">
        <f t="shared" si="181"/>
        <v xml:space="preserve"> </v>
      </c>
      <c r="BV219" s="495" t="e">
        <f t="shared" si="182"/>
        <v>#DIV/0!</v>
      </c>
      <c r="BW219" s="495" t="e">
        <f t="shared" si="183"/>
        <v>#DIV/0!</v>
      </c>
      <c r="BX219" s="495" t="e">
        <f t="shared" si="184"/>
        <v>#DIV/0!</v>
      </c>
      <c r="BY219" s="495" t="str">
        <f t="shared" si="185"/>
        <v xml:space="preserve"> </v>
      </c>
    </row>
    <row r="220" spans="1:77" s="28" customFormat="1" ht="9" customHeight="1">
      <c r="A220" s="130">
        <v>190</v>
      </c>
      <c r="B220" s="365" t="s">
        <v>823</v>
      </c>
      <c r="C220" s="249">
        <v>904.2</v>
      </c>
      <c r="D220" s="376">
        <v>77.599999999999994</v>
      </c>
      <c r="E220" s="368"/>
      <c r="F220" s="368"/>
      <c r="G220" s="368"/>
      <c r="H220" s="368">
        <v>2497228.5999999996</v>
      </c>
      <c r="I220" s="368">
        <f t="shared" si="186"/>
        <v>1988709</v>
      </c>
      <c r="J220" s="205">
        <f>ROUND(0.955*(C220*370),2)</f>
        <v>319499.07</v>
      </c>
      <c r="K220" s="479">
        <v>300</v>
      </c>
      <c r="L220" s="205">
        <f>ROUND(0.955*(C220*1200)-0.01,2)</f>
        <v>1036213.19</v>
      </c>
      <c r="M220" s="465">
        <v>0</v>
      </c>
      <c r="N220" s="205">
        <f>ROUND(0.955*(C220*303.05),2)</f>
        <v>261687.01</v>
      </c>
      <c r="O220" s="249">
        <v>250</v>
      </c>
      <c r="P220" s="368">
        <f>ROUND(0.955*(C220*210),2)</f>
        <v>181337.31</v>
      </c>
      <c r="Q220" s="249">
        <v>0</v>
      </c>
      <c r="R220" s="368">
        <v>0</v>
      </c>
      <c r="S220" s="249">
        <v>200</v>
      </c>
      <c r="T220" s="368">
        <f>ROUND(0.955*(C220*220),2)</f>
        <v>189972.42</v>
      </c>
      <c r="U220" s="130">
        <v>0</v>
      </c>
      <c r="V220" s="368">
        <v>0</v>
      </c>
      <c r="W220" s="368">
        <v>0</v>
      </c>
      <c r="X220" s="368">
        <v>0</v>
      </c>
      <c r="Y220" s="370">
        <v>470.9</v>
      </c>
      <c r="Z220" s="370">
        <f>ROUND(122835.57*0.955,2)</f>
        <v>117307.97</v>
      </c>
      <c r="AA220" s="370">
        <v>0</v>
      </c>
      <c r="AB220" s="370">
        <v>0</v>
      </c>
      <c r="AC220" s="370">
        <v>0</v>
      </c>
      <c r="AD220" s="370">
        <v>0</v>
      </c>
      <c r="AE220" s="370">
        <v>0</v>
      </c>
      <c r="AF220" s="370">
        <v>0</v>
      </c>
      <c r="AG220" s="370">
        <v>0</v>
      </c>
      <c r="AH220" s="370">
        <v>0</v>
      </c>
      <c r="AI220" s="368">
        <f>ROUND(0.955*C220*322.91,2)</f>
        <v>278836.34000000003</v>
      </c>
      <c r="AJ220" s="370">
        <f>ROUND(0.03*(210+220+1200+370+303.05+322.91)*C220+Z220/95.5*3,2)</f>
        <v>74916.86</v>
      </c>
      <c r="AK220" s="370">
        <f>ROUND(0.015*(210+220+1200+370+303.05+322.91)*C220+Z220/95.5*1.5,2)</f>
        <v>37458.43</v>
      </c>
      <c r="AL220" s="370">
        <v>0</v>
      </c>
      <c r="AM220" s="480"/>
      <c r="AN220" s="480"/>
      <c r="AP220" s="486">
        <f t="shared" si="158"/>
        <v>4117.2560567010314</v>
      </c>
      <c r="AQ220" s="486">
        <f t="shared" si="164"/>
        <v>3454.0439666666666</v>
      </c>
      <c r="AR220" s="486" t="e">
        <f t="shared" si="165"/>
        <v>#DIV/0!</v>
      </c>
      <c r="AS220" s="486">
        <f t="shared" si="166"/>
        <v>725.34924000000001</v>
      </c>
      <c r="AT220" s="486" t="e">
        <f t="shared" si="167"/>
        <v>#DIV/0!</v>
      </c>
      <c r="AU220" s="486">
        <f t="shared" si="168"/>
        <v>949.86210000000005</v>
      </c>
      <c r="AV220" s="486" t="e">
        <f t="shared" si="169"/>
        <v>#DIV/0!</v>
      </c>
      <c r="AW220" s="486" t="e">
        <f t="shared" si="170"/>
        <v>#DIV/0!</v>
      </c>
      <c r="AX220" s="486">
        <f t="shared" si="171"/>
        <v>249.11439796135062</v>
      </c>
      <c r="AY220" s="486" t="e">
        <f t="shared" si="172"/>
        <v>#DIV/0!</v>
      </c>
      <c r="AZ220" s="486" t="e">
        <f t="shared" si="173"/>
        <v>#DIV/0!</v>
      </c>
      <c r="BA220" s="486">
        <f t="shared" si="159"/>
        <v>308.37905330679052</v>
      </c>
      <c r="BB220" s="494">
        <v>5155.41</v>
      </c>
      <c r="BC220" s="494">
        <v>2070.12</v>
      </c>
      <c r="BD220" s="494">
        <v>848.92</v>
      </c>
      <c r="BE220" s="494">
        <v>819.73</v>
      </c>
      <c r="BF220" s="494">
        <v>611.5</v>
      </c>
      <c r="BG220" s="494">
        <v>1080.04</v>
      </c>
      <c r="BH220" s="494">
        <v>2671800.0099999998</v>
      </c>
      <c r="BI220" s="494">
        <f t="shared" si="125"/>
        <v>4422.8500000000004</v>
      </c>
      <c r="BJ220" s="494">
        <v>14289.54</v>
      </c>
      <c r="BK220" s="494">
        <v>3389.61</v>
      </c>
      <c r="BL220" s="494">
        <v>5995.76</v>
      </c>
      <c r="BM220" s="494">
        <v>548.62</v>
      </c>
      <c r="BN220" s="495" t="str">
        <f t="shared" si="174"/>
        <v xml:space="preserve"> </v>
      </c>
      <c r="BO220" s="495" t="str">
        <f t="shared" si="175"/>
        <v>+</v>
      </c>
      <c r="BP220" s="495" t="e">
        <f t="shared" si="176"/>
        <v>#DIV/0!</v>
      </c>
      <c r="BQ220" s="495" t="str">
        <f t="shared" si="177"/>
        <v xml:space="preserve"> </v>
      </c>
      <c r="BR220" s="495" t="e">
        <f t="shared" si="178"/>
        <v>#DIV/0!</v>
      </c>
      <c r="BS220" s="495" t="str">
        <f t="shared" si="179"/>
        <v xml:space="preserve"> </v>
      </c>
      <c r="BT220" s="495" t="e">
        <f t="shared" si="180"/>
        <v>#DIV/0!</v>
      </c>
      <c r="BU220" s="495" t="e">
        <f t="shared" si="181"/>
        <v>#DIV/0!</v>
      </c>
      <c r="BV220" s="495" t="str">
        <f t="shared" si="182"/>
        <v xml:space="preserve"> </v>
      </c>
      <c r="BW220" s="495" t="e">
        <f t="shared" si="183"/>
        <v>#DIV/0!</v>
      </c>
      <c r="BX220" s="495" t="e">
        <f t="shared" si="184"/>
        <v>#DIV/0!</v>
      </c>
      <c r="BY220" s="495" t="str">
        <f t="shared" si="185"/>
        <v xml:space="preserve"> </v>
      </c>
    </row>
    <row r="221" spans="1:77" s="28" customFormat="1" ht="9" customHeight="1">
      <c r="A221" s="130">
        <v>191</v>
      </c>
      <c r="B221" s="365" t="s">
        <v>824</v>
      </c>
      <c r="C221" s="249">
        <v>375.9</v>
      </c>
      <c r="D221" s="376">
        <v>74.3</v>
      </c>
      <c r="E221" s="368"/>
      <c r="F221" s="368"/>
      <c r="G221" s="368"/>
      <c r="H221" s="368">
        <v>1038164.39</v>
      </c>
      <c r="I221" s="368">
        <f t="shared" si="186"/>
        <v>826759.26</v>
      </c>
      <c r="J221" s="205">
        <f>ROUND(0.955*(C221*370),2)</f>
        <v>132824.26999999999</v>
      </c>
      <c r="K221" s="479">
        <v>73</v>
      </c>
      <c r="L221" s="205">
        <f>ROUND(0.955*(C221*1200),2)</f>
        <v>430781.4</v>
      </c>
      <c r="M221" s="465">
        <v>0</v>
      </c>
      <c r="N221" s="205">
        <f>ROUND(0.955*(C221*303.05),2)</f>
        <v>108790.25</v>
      </c>
      <c r="O221" s="249">
        <v>74</v>
      </c>
      <c r="P221" s="368">
        <f>ROUND(0.955*(C221*210),2)</f>
        <v>75386.75</v>
      </c>
      <c r="Q221" s="249">
        <v>0</v>
      </c>
      <c r="R221" s="368">
        <v>0</v>
      </c>
      <c r="S221" s="249">
        <v>70</v>
      </c>
      <c r="T221" s="368">
        <f>ROUND(0.955*(C221*220),2)</f>
        <v>78976.59</v>
      </c>
      <c r="U221" s="130">
        <v>0</v>
      </c>
      <c r="V221" s="368">
        <v>0</v>
      </c>
      <c r="W221" s="368">
        <v>0</v>
      </c>
      <c r="X221" s="368">
        <v>0</v>
      </c>
      <c r="Y221" s="370">
        <v>219.3</v>
      </c>
      <c r="Z221" s="370">
        <f>ROUND(51066.02*0.955,2)</f>
        <v>48768.05</v>
      </c>
      <c r="AA221" s="370">
        <v>0</v>
      </c>
      <c r="AB221" s="370">
        <v>0</v>
      </c>
      <c r="AC221" s="370">
        <v>0</v>
      </c>
      <c r="AD221" s="370">
        <v>0</v>
      </c>
      <c r="AE221" s="370">
        <v>0</v>
      </c>
      <c r="AF221" s="370">
        <v>0</v>
      </c>
      <c r="AG221" s="370">
        <v>0</v>
      </c>
      <c r="AH221" s="370">
        <v>0</v>
      </c>
      <c r="AI221" s="368">
        <f>ROUND(0.955*C221*322.91,2)</f>
        <v>115919.67999999999</v>
      </c>
      <c r="AJ221" s="370">
        <f>ROUND(0.03*(210+220+1200+370+303.05+322.91)*C221+Z221/95.5*3,2)</f>
        <v>31144.93</v>
      </c>
      <c r="AK221" s="370">
        <f>ROUND(0.015*(210+220+1200+370+303.05+322.91)*C221+Z221/95.5*1.5,2)</f>
        <v>15572.47</v>
      </c>
      <c r="AL221" s="370">
        <v>0</v>
      </c>
      <c r="AM221" s="480"/>
      <c r="AN221" s="480"/>
      <c r="AP221" s="486">
        <f t="shared" si="158"/>
        <v>1787.6752355316285</v>
      </c>
      <c r="AQ221" s="486">
        <f t="shared" si="164"/>
        <v>5901.1150684931508</v>
      </c>
      <c r="AR221" s="486" t="e">
        <f t="shared" si="165"/>
        <v>#DIV/0!</v>
      </c>
      <c r="AS221" s="486">
        <f t="shared" si="166"/>
        <v>1018.7398648648649</v>
      </c>
      <c r="AT221" s="486" t="e">
        <f t="shared" si="167"/>
        <v>#DIV/0!</v>
      </c>
      <c r="AU221" s="486">
        <f t="shared" si="168"/>
        <v>1128.2369999999999</v>
      </c>
      <c r="AV221" s="486" t="e">
        <f t="shared" si="169"/>
        <v>#DIV/0!</v>
      </c>
      <c r="AW221" s="486" t="e">
        <f t="shared" si="170"/>
        <v>#DIV/0!</v>
      </c>
      <c r="AX221" s="486">
        <f t="shared" si="171"/>
        <v>222.38052895576837</v>
      </c>
      <c r="AY221" s="486" t="e">
        <f t="shared" si="172"/>
        <v>#DIV/0!</v>
      </c>
      <c r="AZ221" s="486" t="e">
        <f t="shared" si="173"/>
        <v>#DIV/0!</v>
      </c>
      <c r="BA221" s="486">
        <f t="shared" si="159"/>
        <v>308.37903697791967</v>
      </c>
      <c r="BB221" s="494">
        <v>5155.41</v>
      </c>
      <c r="BC221" s="494">
        <v>2070.12</v>
      </c>
      <c r="BD221" s="494">
        <v>848.92</v>
      </c>
      <c r="BE221" s="494">
        <v>819.73</v>
      </c>
      <c r="BF221" s="494">
        <v>611.5</v>
      </c>
      <c r="BG221" s="494">
        <v>1080.04</v>
      </c>
      <c r="BH221" s="494">
        <v>2671800.0099999998</v>
      </c>
      <c r="BI221" s="494">
        <f t="shared" si="125"/>
        <v>4422.8500000000004</v>
      </c>
      <c r="BJ221" s="494">
        <v>14289.54</v>
      </c>
      <c r="BK221" s="494">
        <v>3389.61</v>
      </c>
      <c r="BL221" s="494">
        <v>5995.76</v>
      </c>
      <c r="BM221" s="494">
        <v>548.62</v>
      </c>
      <c r="BN221" s="495" t="str">
        <f t="shared" si="174"/>
        <v xml:space="preserve"> </v>
      </c>
      <c r="BO221" s="495" t="str">
        <f t="shared" si="175"/>
        <v>+</v>
      </c>
      <c r="BP221" s="495" t="e">
        <f t="shared" si="176"/>
        <v>#DIV/0!</v>
      </c>
      <c r="BQ221" s="495" t="str">
        <f t="shared" si="177"/>
        <v>+</v>
      </c>
      <c r="BR221" s="495" t="e">
        <f t="shared" si="178"/>
        <v>#DIV/0!</v>
      </c>
      <c r="BS221" s="495" t="str">
        <f t="shared" si="179"/>
        <v>+</v>
      </c>
      <c r="BT221" s="495" t="e">
        <f t="shared" si="180"/>
        <v>#DIV/0!</v>
      </c>
      <c r="BU221" s="495" t="e">
        <f t="shared" si="181"/>
        <v>#DIV/0!</v>
      </c>
      <c r="BV221" s="495" t="str">
        <f t="shared" si="182"/>
        <v xml:space="preserve"> </v>
      </c>
      <c r="BW221" s="495" t="e">
        <f t="shared" si="183"/>
        <v>#DIV/0!</v>
      </c>
      <c r="BX221" s="495" t="e">
        <f t="shared" si="184"/>
        <v>#DIV/0!</v>
      </c>
      <c r="BY221" s="495" t="str">
        <f t="shared" si="185"/>
        <v xml:space="preserve"> </v>
      </c>
    </row>
    <row r="222" spans="1:77" s="28" customFormat="1" ht="9" customHeight="1">
      <c r="A222" s="130">
        <v>192</v>
      </c>
      <c r="B222" s="276" t="s">
        <v>825</v>
      </c>
      <c r="C222" s="249">
        <v>884</v>
      </c>
      <c r="D222" s="376"/>
      <c r="E222" s="368" t="s">
        <v>1006</v>
      </c>
      <c r="F222" s="249"/>
      <c r="G222" s="249"/>
      <c r="H222" s="368">
        <v>2506350</v>
      </c>
      <c r="I222" s="368">
        <f t="shared" si="186"/>
        <v>0</v>
      </c>
      <c r="J222" s="217">
        <v>0</v>
      </c>
      <c r="K222" s="469">
        <v>0</v>
      </c>
      <c r="L222" s="217">
        <v>0</v>
      </c>
      <c r="M222" s="469">
        <v>0</v>
      </c>
      <c r="N222" s="217">
        <v>0</v>
      </c>
      <c r="O222" s="249">
        <v>0</v>
      </c>
      <c r="P222" s="368">
        <v>0</v>
      </c>
      <c r="Q222" s="249">
        <v>0</v>
      </c>
      <c r="R222" s="368">
        <v>0</v>
      </c>
      <c r="S222" s="249">
        <v>0</v>
      </c>
      <c r="T222" s="368">
        <v>0</v>
      </c>
      <c r="U222" s="130">
        <v>0</v>
      </c>
      <c r="V222" s="368">
        <v>0</v>
      </c>
      <c r="W222" s="368">
        <v>775</v>
      </c>
      <c r="X222" s="368">
        <f t="shared" si="187"/>
        <v>2393564.25</v>
      </c>
      <c r="Y222" s="370">
        <v>0</v>
      </c>
      <c r="Z222" s="370">
        <v>0</v>
      </c>
      <c r="AA222" s="370">
        <v>0</v>
      </c>
      <c r="AB222" s="370">
        <v>0</v>
      </c>
      <c r="AC222" s="370">
        <v>0</v>
      </c>
      <c r="AD222" s="370">
        <v>0</v>
      </c>
      <c r="AE222" s="370">
        <v>0</v>
      </c>
      <c r="AF222" s="370">
        <v>0</v>
      </c>
      <c r="AG222" s="370">
        <v>0</v>
      </c>
      <c r="AH222" s="370">
        <v>0</v>
      </c>
      <c r="AI222" s="370">
        <v>0</v>
      </c>
      <c r="AJ222" s="370">
        <f t="shared" si="188"/>
        <v>75190.5</v>
      </c>
      <c r="AK222" s="370">
        <f t="shared" si="189"/>
        <v>37595.25</v>
      </c>
      <c r="AL222" s="370">
        <v>0</v>
      </c>
      <c r="AM222" s="480"/>
      <c r="AN222" s="480"/>
      <c r="AP222" s="486" t="e">
        <f t="shared" si="158"/>
        <v>#DIV/0!</v>
      </c>
      <c r="AQ222" s="486" t="e">
        <f t="shared" si="164"/>
        <v>#DIV/0!</v>
      </c>
      <c r="AR222" s="486" t="e">
        <f t="shared" si="165"/>
        <v>#DIV/0!</v>
      </c>
      <c r="AS222" s="486" t="e">
        <f t="shared" si="166"/>
        <v>#DIV/0!</v>
      </c>
      <c r="AT222" s="486" t="e">
        <f t="shared" si="167"/>
        <v>#DIV/0!</v>
      </c>
      <c r="AU222" s="486" t="e">
        <f t="shared" si="168"/>
        <v>#DIV/0!</v>
      </c>
      <c r="AV222" s="486" t="e">
        <f t="shared" si="169"/>
        <v>#DIV/0!</v>
      </c>
      <c r="AW222" s="486">
        <f t="shared" si="170"/>
        <v>3088.47</v>
      </c>
      <c r="AX222" s="486" t="e">
        <f t="shared" si="171"/>
        <v>#DIV/0!</v>
      </c>
      <c r="AY222" s="486" t="e">
        <f t="shared" si="172"/>
        <v>#DIV/0!</v>
      </c>
      <c r="AZ222" s="486" t="e">
        <f t="shared" si="173"/>
        <v>#DIV/0!</v>
      </c>
      <c r="BA222" s="486">
        <f t="shared" si="159"/>
        <v>0</v>
      </c>
      <c r="BB222" s="494">
        <v>5155.41</v>
      </c>
      <c r="BC222" s="494">
        <v>2070.12</v>
      </c>
      <c r="BD222" s="494">
        <v>848.92</v>
      </c>
      <c r="BE222" s="494">
        <v>819.73</v>
      </c>
      <c r="BF222" s="494">
        <v>611.5</v>
      </c>
      <c r="BG222" s="494">
        <v>1080.04</v>
      </c>
      <c r="BH222" s="494">
        <v>2671800.0099999998</v>
      </c>
      <c r="BI222" s="494">
        <f t="shared" si="125"/>
        <v>4422.8500000000004</v>
      </c>
      <c r="BJ222" s="494">
        <v>14289.54</v>
      </c>
      <c r="BK222" s="494">
        <v>3389.61</v>
      </c>
      <c r="BL222" s="494">
        <v>5995.76</v>
      </c>
      <c r="BM222" s="494">
        <v>548.62</v>
      </c>
      <c r="BN222" s="495" t="e">
        <f t="shared" si="174"/>
        <v>#DIV/0!</v>
      </c>
      <c r="BO222" s="495" t="e">
        <f t="shared" si="175"/>
        <v>#DIV/0!</v>
      </c>
      <c r="BP222" s="495" t="e">
        <f t="shared" si="176"/>
        <v>#DIV/0!</v>
      </c>
      <c r="BQ222" s="495" t="e">
        <f t="shared" si="177"/>
        <v>#DIV/0!</v>
      </c>
      <c r="BR222" s="495" t="e">
        <f t="shared" si="178"/>
        <v>#DIV/0!</v>
      </c>
      <c r="BS222" s="495" t="e">
        <f t="shared" si="179"/>
        <v>#DIV/0!</v>
      </c>
      <c r="BT222" s="495" t="e">
        <f t="shared" si="180"/>
        <v>#DIV/0!</v>
      </c>
      <c r="BU222" s="495" t="str">
        <f t="shared" si="181"/>
        <v xml:space="preserve"> </v>
      </c>
      <c r="BV222" s="495" t="e">
        <f t="shared" si="182"/>
        <v>#DIV/0!</v>
      </c>
      <c r="BW222" s="495" t="e">
        <f t="shared" si="183"/>
        <v>#DIV/0!</v>
      </c>
      <c r="BX222" s="495" t="e">
        <f t="shared" si="184"/>
        <v>#DIV/0!</v>
      </c>
      <c r="BY222" s="495" t="str">
        <f t="shared" si="185"/>
        <v xml:space="preserve"> </v>
      </c>
    </row>
    <row r="223" spans="1:77" s="28" customFormat="1" ht="9" customHeight="1">
      <c r="A223" s="130">
        <v>193</v>
      </c>
      <c r="B223" s="365" t="s">
        <v>826</v>
      </c>
      <c r="C223" s="249">
        <v>392.1</v>
      </c>
      <c r="D223" s="376">
        <v>40.799999999999997</v>
      </c>
      <c r="E223" s="368"/>
      <c r="F223" s="368"/>
      <c r="G223" s="368"/>
      <c r="H223" s="368">
        <v>1029638.92</v>
      </c>
      <c r="I223" s="368">
        <f t="shared" si="186"/>
        <v>862389.74</v>
      </c>
      <c r="J223" s="205">
        <f>ROUND(0.955*(C223*370)-0.01,2)</f>
        <v>138548.53</v>
      </c>
      <c r="K223" s="479">
        <v>150</v>
      </c>
      <c r="L223" s="205">
        <f>ROUND(0.955*(C223*1200),2)</f>
        <v>449346.6</v>
      </c>
      <c r="M223" s="465">
        <v>0</v>
      </c>
      <c r="N223" s="205">
        <f>ROUND(0.955*(C223*303.05),2)</f>
        <v>113478.74</v>
      </c>
      <c r="O223" s="249">
        <v>70</v>
      </c>
      <c r="P223" s="368">
        <f>ROUND(0.955*(C223*210),2)</f>
        <v>78635.66</v>
      </c>
      <c r="Q223" s="249">
        <v>0</v>
      </c>
      <c r="R223" s="368">
        <v>0</v>
      </c>
      <c r="S223" s="249">
        <v>80</v>
      </c>
      <c r="T223" s="368">
        <f>ROUND(0.955*(C223*220),2)</f>
        <v>82380.210000000006</v>
      </c>
      <c r="U223" s="130">
        <v>0</v>
      </c>
      <c r="V223" s="368">
        <v>0</v>
      </c>
      <c r="W223" s="368">
        <v>0</v>
      </c>
      <c r="X223" s="368">
        <v>0</v>
      </c>
      <c r="Y223" s="370">
        <v>0</v>
      </c>
      <c r="Z223" s="370">
        <v>0</v>
      </c>
      <c r="AA223" s="370">
        <v>0</v>
      </c>
      <c r="AB223" s="370">
        <v>0</v>
      </c>
      <c r="AC223" s="370">
        <v>0</v>
      </c>
      <c r="AD223" s="370">
        <v>0</v>
      </c>
      <c r="AE223" s="370">
        <v>0</v>
      </c>
      <c r="AF223" s="370">
        <v>0</v>
      </c>
      <c r="AG223" s="370">
        <v>0</v>
      </c>
      <c r="AH223" s="370">
        <v>0</v>
      </c>
      <c r="AI223" s="368">
        <f>ROUND(0.955*C223*322.91,2)</f>
        <v>120915.43</v>
      </c>
      <c r="AJ223" s="370">
        <f>ROUND(0.03*(210+220+1200+370+303.05+322.91)*C223,2)</f>
        <v>30889.17</v>
      </c>
      <c r="AK223" s="370">
        <f>ROUND(0.015*(210+220+1200+370+303.05+322.91)*C223,2)</f>
        <v>15444.58</v>
      </c>
      <c r="AL223" s="370">
        <v>0</v>
      </c>
      <c r="AM223" s="480"/>
      <c r="AN223" s="480"/>
      <c r="AP223" s="486">
        <f t="shared" si="158"/>
        <v>3395.797303921569</v>
      </c>
      <c r="AQ223" s="486">
        <f t="shared" si="164"/>
        <v>2995.6439999999998</v>
      </c>
      <c r="AR223" s="486" t="e">
        <f t="shared" si="165"/>
        <v>#DIV/0!</v>
      </c>
      <c r="AS223" s="486">
        <f t="shared" si="166"/>
        <v>1123.3665714285714</v>
      </c>
      <c r="AT223" s="486" t="e">
        <f t="shared" si="167"/>
        <v>#DIV/0!</v>
      </c>
      <c r="AU223" s="486">
        <f t="shared" si="168"/>
        <v>1029.7526250000001</v>
      </c>
      <c r="AV223" s="486" t="e">
        <f t="shared" si="169"/>
        <v>#DIV/0!</v>
      </c>
      <c r="AW223" s="486" t="e">
        <f t="shared" si="170"/>
        <v>#DIV/0!</v>
      </c>
      <c r="AX223" s="486" t="e">
        <f t="shared" si="171"/>
        <v>#DIV/0!</v>
      </c>
      <c r="AY223" s="486" t="e">
        <f t="shared" si="172"/>
        <v>#DIV/0!</v>
      </c>
      <c r="AZ223" s="486" t="e">
        <f t="shared" si="173"/>
        <v>#DIV/0!</v>
      </c>
      <c r="BA223" s="486">
        <f t="shared" si="159"/>
        <v>308.37906146391225</v>
      </c>
      <c r="BB223" s="494">
        <v>5155.41</v>
      </c>
      <c r="BC223" s="494">
        <v>2070.12</v>
      </c>
      <c r="BD223" s="494">
        <v>848.92</v>
      </c>
      <c r="BE223" s="494">
        <v>819.73</v>
      </c>
      <c r="BF223" s="494">
        <v>611.5</v>
      </c>
      <c r="BG223" s="494">
        <v>1080.04</v>
      </c>
      <c r="BH223" s="494">
        <v>2671800.0099999998</v>
      </c>
      <c r="BI223" s="494">
        <f t="shared" si="125"/>
        <v>4422.8500000000004</v>
      </c>
      <c r="BJ223" s="494">
        <v>14289.54</v>
      </c>
      <c r="BK223" s="494">
        <v>3389.61</v>
      </c>
      <c r="BL223" s="494">
        <v>5995.76</v>
      </c>
      <c r="BM223" s="494">
        <v>548.62</v>
      </c>
      <c r="BN223" s="495" t="str">
        <f t="shared" si="174"/>
        <v xml:space="preserve"> </v>
      </c>
      <c r="BO223" s="495" t="str">
        <f t="shared" si="175"/>
        <v>+</v>
      </c>
      <c r="BP223" s="495" t="e">
        <f t="shared" si="176"/>
        <v>#DIV/0!</v>
      </c>
      <c r="BQ223" s="495" t="str">
        <f t="shared" si="177"/>
        <v>+</v>
      </c>
      <c r="BR223" s="495" t="e">
        <f t="shared" si="178"/>
        <v>#DIV/0!</v>
      </c>
      <c r="BS223" s="495" t="str">
        <f t="shared" si="179"/>
        <v xml:space="preserve"> </v>
      </c>
      <c r="BT223" s="495" t="e">
        <f t="shared" si="180"/>
        <v>#DIV/0!</v>
      </c>
      <c r="BU223" s="495" t="e">
        <f t="shared" si="181"/>
        <v>#DIV/0!</v>
      </c>
      <c r="BV223" s="495" t="e">
        <f t="shared" si="182"/>
        <v>#DIV/0!</v>
      </c>
      <c r="BW223" s="495" t="e">
        <f t="shared" si="183"/>
        <v>#DIV/0!</v>
      </c>
      <c r="BX223" s="495" t="e">
        <f t="shared" si="184"/>
        <v>#DIV/0!</v>
      </c>
      <c r="BY223" s="495" t="str">
        <f t="shared" si="185"/>
        <v xml:space="preserve"> </v>
      </c>
    </row>
    <row r="224" spans="1:77" s="28" customFormat="1" ht="9" customHeight="1">
      <c r="A224" s="130">
        <v>194</v>
      </c>
      <c r="B224" s="276" t="s">
        <v>827</v>
      </c>
      <c r="C224" s="249">
        <v>605.70000000000005</v>
      </c>
      <c r="D224" s="376"/>
      <c r="E224" s="368" t="s">
        <v>1005</v>
      </c>
      <c r="F224" s="249"/>
      <c r="G224" s="249"/>
      <c r="H224" s="368">
        <v>1440288</v>
      </c>
      <c r="I224" s="368">
        <f t="shared" si="186"/>
        <v>0</v>
      </c>
      <c r="J224" s="217">
        <v>0</v>
      </c>
      <c r="K224" s="469">
        <v>0</v>
      </c>
      <c r="L224" s="217">
        <v>0</v>
      </c>
      <c r="M224" s="469">
        <v>0</v>
      </c>
      <c r="N224" s="217">
        <v>0</v>
      </c>
      <c r="O224" s="249">
        <v>0</v>
      </c>
      <c r="P224" s="368">
        <v>0</v>
      </c>
      <c r="Q224" s="249">
        <v>0</v>
      </c>
      <c r="R224" s="368">
        <v>0</v>
      </c>
      <c r="S224" s="249">
        <v>0</v>
      </c>
      <c r="T224" s="368">
        <v>0</v>
      </c>
      <c r="U224" s="130">
        <v>0</v>
      </c>
      <c r="V224" s="368">
        <v>0</v>
      </c>
      <c r="W224" s="368">
        <v>432</v>
      </c>
      <c r="X224" s="368">
        <f t="shared" si="187"/>
        <v>1375475.04</v>
      </c>
      <c r="Y224" s="370">
        <v>0</v>
      </c>
      <c r="Z224" s="370">
        <v>0</v>
      </c>
      <c r="AA224" s="370">
        <v>0</v>
      </c>
      <c r="AB224" s="370">
        <v>0</v>
      </c>
      <c r="AC224" s="370">
        <v>0</v>
      </c>
      <c r="AD224" s="370">
        <v>0</v>
      </c>
      <c r="AE224" s="370">
        <v>0</v>
      </c>
      <c r="AF224" s="370">
        <v>0</v>
      </c>
      <c r="AG224" s="370">
        <v>0</v>
      </c>
      <c r="AH224" s="370">
        <v>0</v>
      </c>
      <c r="AI224" s="370">
        <v>0</v>
      </c>
      <c r="AJ224" s="370">
        <f t="shared" si="188"/>
        <v>43208.639999999999</v>
      </c>
      <c r="AK224" s="370">
        <f t="shared" si="189"/>
        <v>21604.32</v>
      </c>
      <c r="AL224" s="370">
        <v>0</v>
      </c>
      <c r="AM224" s="480"/>
      <c r="AN224" s="480"/>
      <c r="AP224" s="486" t="e">
        <f t="shared" si="158"/>
        <v>#DIV/0!</v>
      </c>
      <c r="AQ224" s="486" t="e">
        <f t="shared" si="164"/>
        <v>#DIV/0!</v>
      </c>
      <c r="AR224" s="486" t="e">
        <f t="shared" si="165"/>
        <v>#DIV/0!</v>
      </c>
      <c r="AS224" s="486" t="e">
        <f t="shared" si="166"/>
        <v>#DIV/0!</v>
      </c>
      <c r="AT224" s="486" t="e">
        <f t="shared" si="167"/>
        <v>#DIV/0!</v>
      </c>
      <c r="AU224" s="486" t="e">
        <f t="shared" si="168"/>
        <v>#DIV/0!</v>
      </c>
      <c r="AV224" s="486" t="e">
        <f t="shared" si="169"/>
        <v>#DIV/0!</v>
      </c>
      <c r="AW224" s="486">
        <f t="shared" si="170"/>
        <v>3183.9700000000003</v>
      </c>
      <c r="AX224" s="486" t="e">
        <f t="shared" si="171"/>
        <v>#DIV/0!</v>
      </c>
      <c r="AY224" s="486" t="e">
        <f t="shared" si="172"/>
        <v>#DIV/0!</v>
      </c>
      <c r="AZ224" s="486" t="e">
        <f t="shared" si="173"/>
        <v>#DIV/0!</v>
      </c>
      <c r="BA224" s="486">
        <f t="shared" si="159"/>
        <v>0</v>
      </c>
      <c r="BB224" s="494">
        <v>5155.41</v>
      </c>
      <c r="BC224" s="494">
        <v>2070.12</v>
      </c>
      <c r="BD224" s="494">
        <v>848.92</v>
      </c>
      <c r="BE224" s="494">
        <v>819.73</v>
      </c>
      <c r="BF224" s="494">
        <v>611.5</v>
      </c>
      <c r="BG224" s="494">
        <v>1080.04</v>
      </c>
      <c r="BH224" s="494">
        <v>2671800.0099999998</v>
      </c>
      <c r="BI224" s="494">
        <f t="shared" si="125"/>
        <v>4607.6000000000004</v>
      </c>
      <c r="BJ224" s="494">
        <v>14289.54</v>
      </c>
      <c r="BK224" s="494">
        <v>3389.61</v>
      </c>
      <c r="BL224" s="494">
        <v>5995.76</v>
      </c>
      <c r="BM224" s="494">
        <v>548.62</v>
      </c>
      <c r="BN224" s="495" t="e">
        <f t="shared" si="174"/>
        <v>#DIV/0!</v>
      </c>
      <c r="BO224" s="495" t="e">
        <f t="shared" si="175"/>
        <v>#DIV/0!</v>
      </c>
      <c r="BP224" s="495" t="e">
        <f t="shared" si="176"/>
        <v>#DIV/0!</v>
      </c>
      <c r="BQ224" s="495" t="e">
        <f t="shared" si="177"/>
        <v>#DIV/0!</v>
      </c>
      <c r="BR224" s="495" t="e">
        <f t="shared" si="178"/>
        <v>#DIV/0!</v>
      </c>
      <c r="BS224" s="495" t="e">
        <f t="shared" si="179"/>
        <v>#DIV/0!</v>
      </c>
      <c r="BT224" s="495" t="e">
        <f t="shared" si="180"/>
        <v>#DIV/0!</v>
      </c>
      <c r="BU224" s="495" t="str">
        <f t="shared" si="181"/>
        <v xml:space="preserve"> </v>
      </c>
      <c r="BV224" s="495" t="e">
        <f t="shared" si="182"/>
        <v>#DIV/0!</v>
      </c>
      <c r="BW224" s="495" t="e">
        <f t="shared" si="183"/>
        <v>#DIV/0!</v>
      </c>
      <c r="BX224" s="495" t="e">
        <f t="shared" si="184"/>
        <v>#DIV/0!</v>
      </c>
      <c r="BY224" s="495" t="str">
        <f t="shared" si="185"/>
        <v xml:space="preserve"> </v>
      </c>
    </row>
    <row r="225" spans="1:77" s="28" customFormat="1" ht="22.5" customHeight="1">
      <c r="A225" s="954" t="s">
        <v>271</v>
      </c>
      <c r="B225" s="954"/>
      <c r="C225" s="368">
        <f>SUM(C210:C224)</f>
        <v>13987.020000000002</v>
      </c>
      <c r="D225" s="396"/>
      <c r="E225" s="362" t="s">
        <v>391</v>
      </c>
      <c r="F225" s="374"/>
      <c r="G225" s="374"/>
      <c r="H225" s="368">
        <f>SUM(H210:H224)</f>
        <v>26785679.310000002</v>
      </c>
      <c r="I225" s="368">
        <f t="shared" ref="I225:AL225" si="190">SUM(I210:I224)</f>
        <v>3677858</v>
      </c>
      <c r="J225" s="368">
        <f t="shared" si="190"/>
        <v>590871.87</v>
      </c>
      <c r="K225" s="368">
        <f t="shared" si="190"/>
        <v>523</v>
      </c>
      <c r="L225" s="368">
        <f t="shared" si="190"/>
        <v>1916341.19</v>
      </c>
      <c r="M225" s="368">
        <f t="shared" si="190"/>
        <v>0</v>
      </c>
      <c r="N225" s="368">
        <f t="shared" si="190"/>
        <v>483956</v>
      </c>
      <c r="O225" s="368">
        <f t="shared" si="190"/>
        <v>394</v>
      </c>
      <c r="P225" s="368">
        <f t="shared" si="190"/>
        <v>335359.71999999997</v>
      </c>
      <c r="Q225" s="368">
        <f t="shared" si="190"/>
        <v>0</v>
      </c>
      <c r="R225" s="368">
        <f t="shared" si="190"/>
        <v>0</v>
      </c>
      <c r="S225" s="368">
        <f t="shared" si="190"/>
        <v>350</v>
      </c>
      <c r="T225" s="368">
        <f t="shared" si="190"/>
        <v>351329.22000000003</v>
      </c>
      <c r="U225" s="130">
        <f t="shared" si="190"/>
        <v>0</v>
      </c>
      <c r="V225" s="368">
        <f t="shared" si="190"/>
        <v>0</v>
      </c>
      <c r="W225" s="368">
        <f t="shared" si="190"/>
        <v>6751.0999999999995</v>
      </c>
      <c r="X225" s="368">
        <f t="shared" si="190"/>
        <v>21220718.27</v>
      </c>
      <c r="Y225" s="368">
        <f t="shared" si="190"/>
        <v>690.2</v>
      </c>
      <c r="Z225" s="368">
        <f t="shared" si="190"/>
        <v>166076.02000000002</v>
      </c>
      <c r="AA225" s="368">
        <f t="shared" si="190"/>
        <v>0</v>
      </c>
      <c r="AB225" s="368">
        <f t="shared" si="190"/>
        <v>0</v>
      </c>
      <c r="AC225" s="368">
        <f t="shared" si="190"/>
        <v>0</v>
      </c>
      <c r="AD225" s="368">
        <f t="shared" si="190"/>
        <v>0</v>
      </c>
      <c r="AE225" s="368">
        <f t="shared" si="190"/>
        <v>0</v>
      </c>
      <c r="AF225" s="368">
        <f t="shared" si="190"/>
        <v>0</v>
      </c>
      <c r="AG225" s="368">
        <f t="shared" si="190"/>
        <v>0</v>
      </c>
      <c r="AH225" s="368">
        <f t="shared" si="190"/>
        <v>0</v>
      </c>
      <c r="AI225" s="368">
        <f t="shared" si="190"/>
        <v>515671.45</v>
      </c>
      <c r="AJ225" s="368">
        <f t="shared" si="190"/>
        <v>803570.38</v>
      </c>
      <c r="AK225" s="368">
        <f t="shared" si="190"/>
        <v>401785.18999999994</v>
      </c>
      <c r="AL225" s="368">
        <f t="shared" si="190"/>
        <v>0</v>
      </c>
      <c r="AM225" s="360"/>
      <c r="AN225" s="360"/>
      <c r="AP225" s="486" t="e">
        <f t="shared" si="158"/>
        <v>#DIV/0!</v>
      </c>
      <c r="AQ225" s="486">
        <f t="shared" si="164"/>
        <v>3664.132294455067</v>
      </c>
      <c r="AR225" s="497" t="e">
        <f t="shared" si="165"/>
        <v>#DIV/0!</v>
      </c>
      <c r="AS225" s="497">
        <f t="shared" si="166"/>
        <v>851.16680203045678</v>
      </c>
      <c r="AT225" s="497" t="e">
        <f t="shared" si="167"/>
        <v>#DIV/0!</v>
      </c>
      <c r="AU225" s="497">
        <f t="shared" si="168"/>
        <v>1003.7977714285715</v>
      </c>
      <c r="AV225" s="497" t="e">
        <f t="shared" si="169"/>
        <v>#DIV/0!</v>
      </c>
      <c r="AW225" s="497">
        <f t="shared" si="170"/>
        <v>3143.2978729392248</v>
      </c>
      <c r="AX225" s="497">
        <f t="shared" si="171"/>
        <v>240.62013909011881</v>
      </c>
      <c r="AY225" s="486" t="e">
        <f t="shared" si="172"/>
        <v>#DIV/0!</v>
      </c>
      <c r="AZ225" s="497" t="e">
        <f t="shared" si="173"/>
        <v>#DIV/0!</v>
      </c>
      <c r="BA225" s="486">
        <f t="shared" si="159"/>
        <v>36.867856770062524</v>
      </c>
      <c r="BB225" s="494">
        <v>5155.41</v>
      </c>
      <c r="BC225" s="494">
        <v>2070.12</v>
      </c>
      <c r="BD225" s="494">
        <v>848.92</v>
      </c>
      <c r="BE225" s="494">
        <v>819.73</v>
      </c>
      <c r="BF225" s="494">
        <v>611.5</v>
      </c>
      <c r="BG225" s="494">
        <v>1080.04</v>
      </c>
      <c r="BH225" s="494">
        <v>2671800.0099999998</v>
      </c>
      <c r="BI225" s="494">
        <f t="shared" si="125"/>
        <v>4422.8500000000004</v>
      </c>
      <c r="BJ225" s="494">
        <v>14289.54</v>
      </c>
      <c r="BK225" s="494">
        <v>3389.61</v>
      </c>
      <c r="BL225" s="494">
        <v>5995.76</v>
      </c>
      <c r="BM225" s="494">
        <v>548.62</v>
      </c>
      <c r="BN225" s="493" t="e">
        <f t="shared" si="174"/>
        <v>#DIV/0!</v>
      </c>
      <c r="BO225" s="493" t="str">
        <f t="shared" si="175"/>
        <v>+</v>
      </c>
      <c r="BP225" s="493" t="e">
        <f t="shared" si="176"/>
        <v>#DIV/0!</v>
      </c>
      <c r="BQ225" s="493" t="str">
        <f t="shared" si="177"/>
        <v>+</v>
      </c>
      <c r="BR225" s="493" t="e">
        <f t="shared" si="178"/>
        <v>#DIV/0!</v>
      </c>
      <c r="BS225" s="493" t="str">
        <f t="shared" si="179"/>
        <v xml:space="preserve"> </v>
      </c>
      <c r="BT225" s="493" t="e">
        <f t="shared" si="180"/>
        <v>#DIV/0!</v>
      </c>
      <c r="BU225" s="493" t="str">
        <f t="shared" si="181"/>
        <v xml:space="preserve"> </v>
      </c>
      <c r="BV225" s="493" t="str">
        <f t="shared" si="182"/>
        <v xml:space="preserve"> </v>
      </c>
      <c r="BW225" s="493" t="e">
        <f t="shared" si="183"/>
        <v>#DIV/0!</v>
      </c>
      <c r="BX225" s="493" t="e">
        <f t="shared" si="184"/>
        <v>#DIV/0!</v>
      </c>
      <c r="BY225" s="493" t="str">
        <f t="shared" si="185"/>
        <v xml:space="preserve"> </v>
      </c>
    </row>
    <row r="226" spans="1:77" s="28" customFormat="1" ht="9" customHeight="1">
      <c r="A226" s="833" t="s">
        <v>445</v>
      </c>
      <c r="B226" s="834"/>
      <c r="C226" s="834"/>
      <c r="D226" s="834"/>
      <c r="E226" s="834"/>
      <c r="F226" s="834"/>
      <c r="G226" s="834"/>
      <c r="H226" s="834"/>
      <c r="I226" s="834"/>
      <c r="J226" s="834"/>
      <c r="K226" s="834"/>
      <c r="L226" s="834"/>
      <c r="M226" s="834"/>
      <c r="N226" s="834"/>
      <c r="O226" s="834"/>
      <c r="P226" s="834"/>
      <c r="Q226" s="834"/>
      <c r="R226" s="834"/>
      <c r="S226" s="834"/>
      <c r="T226" s="834"/>
      <c r="U226" s="834"/>
      <c r="V226" s="834"/>
      <c r="W226" s="834"/>
      <c r="X226" s="834"/>
      <c r="Y226" s="834"/>
      <c r="Z226" s="834"/>
      <c r="AA226" s="834"/>
      <c r="AB226" s="834"/>
      <c r="AC226" s="834"/>
      <c r="AD226" s="834"/>
      <c r="AE226" s="834"/>
      <c r="AF226" s="834"/>
      <c r="AG226" s="834"/>
      <c r="AH226" s="834"/>
      <c r="AI226" s="834"/>
      <c r="AJ226" s="834"/>
      <c r="AK226" s="834"/>
      <c r="AL226" s="834"/>
      <c r="AM226" s="834"/>
      <c r="AN226" s="835"/>
      <c r="AP226" s="486" t="e">
        <f t="shared" si="158"/>
        <v>#DIV/0!</v>
      </c>
      <c r="AQ226" s="486" t="e">
        <f t="shared" si="164"/>
        <v>#DIV/0!</v>
      </c>
      <c r="AR226" s="497" t="e">
        <f t="shared" si="165"/>
        <v>#DIV/0!</v>
      </c>
      <c r="AS226" s="497" t="e">
        <f t="shared" si="166"/>
        <v>#DIV/0!</v>
      </c>
      <c r="AT226" s="497" t="e">
        <f t="shared" si="167"/>
        <v>#DIV/0!</v>
      </c>
      <c r="AU226" s="497" t="e">
        <f t="shared" si="168"/>
        <v>#DIV/0!</v>
      </c>
      <c r="AV226" s="497" t="e">
        <f t="shared" si="169"/>
        <v>#DIV/0!</v>
      </c>
      <c r="AW226" s="497" t="e">
        <f t="shared" si="170"/>
        <v>#DIV/0!</v>
      </c>
      <c r="AX226" s="497" t="e">
        <f t="shared" si="171"/>
        <v>#DIV/0!</v>
      </c>
      <c r="AY226" s="486" t="e">
        <f t="shared" si="172"/>
        <v>#DIV/0!</v>
      </c>
      <c r="AZ226" s="497" t="e">
        <f t="shared" si="173"/>
        <v>#DIV/0!</v>
      </c>
      <c r="BA226" s="486" t="e">
        <f t="shared" si="159"/>
        <v>#DIV/0!</v>
      </c>
      <c r="BB226" s="494">
        <v>5155.41</v>
      </c>
      <c r="BC226" s="494">
        <v>2070.12</v>
      </c>
      <c r="BD226" s="494">
        <v>848.92</v>
      </c>
      <c r="BE226" s="494">
        <v>819.73</v>
      </c>
      <c r="BF226" s="494">
        <v>611.5</v>
      </c>
      <c r="BG226" s="494">
        <v>1080.04</v>
      </c>
      <c r="BH226" s="494">
        <v>2671800.0099999998</v>
      </c>
      <c r="BI226" s="494">
        <f t="shared" si="125"/>
        <v>4422.8500000000004</v>
      </c>
      <c r="BJ226" s="494">
        <v>14289.54</v>
      </c>
      <c r="BK226" s="494">
        <v>3389.61</v>
      </c>
      <c r="BL226" s="494">
        <v>5995.76</v>
      </c>
      <c r="BM226" s="494">
        <v>548.62</v>
      </c>
      <c r="BN226" s="493" t="e">
        <f t="shared" si="174"/>
        <v>#DIV/0!</v>
      </c>
      <c r="BO226" s="493" t="e">
        <f t="shared" si="175"/>
        <v>#DIV/0!</v>
      </c>
      <c r="BP226" s="493" t="e">
        <f t="shared" si="176"/>
        <v>#DIV/0!</v>
      </c>
      <c r="BQ226" s="493" t="e">
        <f t="shared" si="177"/>
        <v>#DIV/0!</v>
      </c>
      <c r="BR226" s="493" t="e">
        <f t="shared" si="178"/>
        <v>#DIV/0!</v>
      </c>
      <c r="BS226" s="493" t="e">
        <f t="shared" si="179"/>
        <v>#DIV/0!</v>
      </c>
      <c r="BT226" s="493" t="e">
        <f t="shared" si="180"/>
        <v>#DIV/0!</v>
      </c>
      <c r="BU226" s="493" t="e">
        <f t="shared" si="181"/>
        <v>#DIV/0!</v>
      </c>
      <c r="BV226" s="493" t="e">
        <f t="shared" si="182"/>
        <v>#DIV/0!</v>
      </c>
      <c r="BW226" s="493" t="e">
        <f t="shared" si="183"/>
        <v>#DIV/0!</v>
      </c>
      <c r="BX226" s="493" t="e">
        <f t="shared" si="184"/>
        <v>#DIV/0!</v>
      </c>
      <c r="BY226" s="493" t="e">
        <f t="shared" si="185"/>
        <v>#DIV/0!</v>
      </c>
    </row>
    <row r="227" spans="1:77" s="28" customFormat="1" ht="9" customHeight="1">
      <c r="A227" s="166">
        <v>195</v>
      </c>
      <c r="B227" s="276" t="s">
        <v>844</v>
      </c>
      <c r="C227" s="249">
        <v>291.39999999999998</v>
      </c>
      <c r="D227" s="376">
        <v>15.3</v>
      </c>
      <c r="E227" s="368"/>
      <c r="F227" s="249"/>
      <c r="G227" s="249"/>
      <c r="H227" s="368">
        <v>107818</v>
      </c>
      <c r="I227" s="368">
        <f t="shared" ref="I227:I228" si="191">J227+L227+N227+P227+R227+T227</f>
        <v>102966.19</v>
      </c>
      <c r="J227" s="205">
        <f>ROUND(0.955*(C227*370),2)</f>
        <v>102966.19</v>
      </c>
      <c r="K227" s="469">
        <v>0</v>
      </c>
      <c r="L227" s="217">
        <v>0</v>
      </c>
      <c r="M227" s="469">
        <v>0</v>
      </c>
      <c r="N227" s="217">
        <v>0</v>
      </c>
      <c r="O227" s="249">
        <v>0</v>
      </c>
      <c r="P227" s="368">
        <v>0</v>
      </c>
      <c r="Q227" s="249">
        <v>0</v>
      </c>
      <c r="R227" s="368">
        <v>0</v>
      </c>
      <c r="S227" s="249">
        <v>0</v>
      </c>
      <c r="T227" s="368">
        <v>0</v>
      </c>
      <c r="U227" s="130">
        <v>0</v>
      </c>
      <c r="V227" s="368">
        <v>0</v>
      </c>
      <c r="W227" s="368">
        <v>0</v>
      </c>
      <c r="X227" s="368">
        <v>0</v>
      </c>
      <c r="Y227" s="370">
        <v>0</v>
      </c>
      <c r="Z227" s="370">
        <v>0</v>
      </c>
      <c r="AA227" s="370">
        <v>0</v>
      </c>
      <c r="AB227" s="370">
        <v>0</v>
      </c>
      <c r="AC227" s="370">
        <v>0</v>
      </c>
      <c r="AD227" s="370">
        <v>0</v>
      </c>
      <c r="AE227" s="370">
        <v>0</v>
      </c>
      <c r="AF227" s="370">
        <v>0</v>
      </c>
      <c r="AG227" s="370">
        <v>0</v>
      </c>
      <c r="AH227" s="370">
        <v>0</v>
      </c>
      <c r="AI227" s="370">
        <v>0</v>
      </c>
      <c r="AJ227" s="370">
        <f>ROUND(0.03*C227*370,2)</f>
        <v>3234.54</v>
      </c>
      <c r="AK227" s="370">
        <f>ROUND(0.015*370*C227,2)</f>
        <v>1617.27</v>
      </c>
      <c r="AL227" s="370">
        <v>0</v>
      </c>
      <c r="AM227" s="229"/>
      <c r="AN227" s="229"/>
      <c r="AP227" s="486">
        <f t="shared" si="158"/>
        <v>6729.8163398692805</v>
      </c>
      <c r="AQ227" s="486" t="e">
        <f t="shared" si="164"/>
        <v>#DIV/0!</v>
      </c>
      <c r="AR227" s="486" t="e">
        <f t="shared" si="165"/>
        <v>#DIV/0!</v>
      </c>
      <c r="AS227" s="486" t="e">
        <f t="shared" si="166"/>
        <v>#DIV/0!</v>
      </c>
      <c r="AT227" s="486" t="e">
        <f t="shared" si="167"/>
        <v>#DIV/0!</v>
      </c>
      <c r="AU227" s="486" t="e">
        <f t="shared" si="168"/>
        <v>#DIV/0!</v>
      </c>
      <c r="AV227" s="486" t="e">
        <f t="shared" si="169"/>
        <v>#DIV/0!</v>
      </c>
      <c r="AW227" s="486" t="e">
        <f t="shared" si="170"/>
        <v>#DIV/0!</v>
      </c>
      <c r="AX227" s="486" t="e">
        <f t="shared" si="171"/>
        <v>#DIV/0!</v>
      </c>
      <c r="AY227" s="486" t="e">
        <f t="shared" si="172"/>
        <v>#DIV/0!</v>
      </c>
      <c r="AZ227" s="486" t="e">
        <f t="shared" si="173"/>
        <v>#DIV/0!</v>
      </c>
      <c r="BA227" s="486">
        <f t="shared" si="159"/>
        <v>0</v>
      </c>
      <c r="BB227" s="494">
        <v>5155.41</v>
      </c>
      <c r="BC227" s="494">
        <v>2070.12</v>
      </c>
      <c r="BD227" s="494">
        <v>848.92</v>
      </c>
      <c r="BE227" s="494">
        <v>819.73</v>
      </c>
      <c r="BF227" s="494">
        <v>611.5</v>
      </c>
      <c r="BG227" s="494">
        <v>1080.04</v>
      </c>
      <c r="BH227" s="494">
        <v>2671800.0099999998</v>
      </c>
      <c r="BI227" s="494">
        <f t="shared" ref="BI227:BI290" si="192">IF(E227="ПК",4607.6,4422.85)</f>
        <v>4422.8500000000004</v>
      </c>
      <c r="BJ227" s="494">
        <v>14289.54</v>
      </c>
      <c r="BK227" s="494">
        <v>3389.61</v>
      </c>
      <c r="BL227" s="494">
        <v>5995.76</v>
      </c>
      <c r="BM227" s="494">
        <v>548.62</v>
      </c>
      <c r="BN227" s="495" t="str">
        <f t="shared" si="174"/>
        <v>+</v>
      </c>
      <c r="BO227" s="495" t="e">
        <f t="shared" si="175"/>
        <v>#DIV/0!</v>
      </c>
      <c r="BP227" s="495" t="e">
        <f t="shared" si="176"/>
        <v>#DIV/0!</v>
      </c>
      <c r="BQ227" s="495" t="e">
        <f t="shared" si="177"/>
        <v>#DIV/0!</v>
      </c>
      <c r="BR227" s="495" t="e">
        <f t="shared" si="178"/>
        <v>#DIV/0!</v>
      </c>
      <c r="BS227" s="495" t="e">
        <f t="shared" si="179"/>
        <v>#DIV/0!</v>
      </c>
      <c r="BT227" s="495" t="e">
        <f t="shared" si="180"/>
        <v>#DIV/0!</v>
      </c>
      <c r="BU227" s="495" t="e">
        <f t="shared" si="181"/>
        <v>#DIV/0!</v>
      </c>
      <c r="BV227" s="495" t="e">
        <f t="shared" si="182"/>
        <v>#DIV/0!</v>
      </c>
      <c r="BW227" s="495" t="e">
        <f t="shared" si="183"/>
        <v>#DIV/0!</v>
      </c>
      <c r="BX227" s="495" t="e">
        <f t="shared" si="184"/>
        <v>#DIV/0!</v>
      </c>
      <c r="BY227" s="495" t="str">
        <f t="shared" si="185"/>
        <v xml:space="preserve"> </v>
      </c>
    </row>
    <row r="228" spans="1:77" s="28" customFormat="1" ht="9" customHeight="1">
      <c r="A228" s="166">
        <v>196</v>
      </c>
      <c r="B228" s="276" t="s">
        <v>845</v>
      </c>
      <c r="C228" s="249">
        <v>803.5</v>
      </c>
      <c r="D228" s="376"/>
      <c r="E228" s="368" t="s">
        <v>1005</v>
      </c>
      <c r="F228" s="249"/>
      <c r="G228" s="249"/>
      <c r="H228" s="368">
        <v>1400280</v>
      </c>
      <c r="I228" s="368">
        <f t="shared" si="191"/>
        <v>0</v>
      </c>
      <c r="J228" s="217">
        <v>0</v>
      </c>
      <c r="K228" s="469">
        <v>0</v>
      </c>
      <c r="L228" s="217">
        <v>0</v>
      </c>
      <c r="M228" s="469">
        <v>0</v>
      </c>
      <c r="N228" s="217">
        <v>0</v>
      </c>
      <c r="O228" s="249">
        <v>0</v>
      </c>
      <c r="P228" s="368">
        <v>0</v>
      </c>
      <c r="Q228" s="249">
        <v>0</v>
      </c>
      <c r="R228" s="368">
        <v>0</v>
      </c>
      <c r="S228" s="249">
        <v>0</v>
      </c>
      <c r="T228" s="368">
        <v>0</v>
      </c>
      <c r="U228" s="130">
        <v>0</v>
      </c>
      <c r="V228" s="368">
        <v>0</v>
      </c>
      <c r="W228" s="43">
        <v>420</v>
      </c>
      <c r="X228" s="368">
        <f t="shared" ref="X228" si="193">ROUND(H228/100*95.5,2)</f>
        <v>1337267.3999999999</v>
      </c>
      <c r="Y228" s="370">
        <v>0</v>
      </c>
      <c r="Z228" s="370">
        <v>0</v>
      </c>
      <c r="AA228" s="370">
        <v>0</v>
      </c>
      <c r="AB228" s="370">
        <v>0</v>
      </c>
      <c r="AC228" s="370">
        <v>0</v>
      </c>
      <c r="AD228" s="370">
        <v>0</v>
      </c>
      <c r="AE228" s="370">
        <v>0</v>
      </c>
      <c r="AF228" s="370">
        <v>0</v>
      </c>
      <c r="AG228" s="370">
        <v>0</v>
      </c>
      <c r="AH228" s="370">
        <v>0</v>
      </c>
      <c r="AI228" s="370">
        <v>0</v>
      </c>
      <c r="AJ228" s="370">
        <f t="shared" ref="AJ228" si="194">ROUND(H228/100*3,2)</f>
        <v>42008.4</v>
      </c>
      <c r="AK228" s="370">
        <f t="shared" ref="AK228" si="195">ROUND(H228/100*1.5,2)</f>
        <v>21004.2</v>
      </c>
      <c r="AL228" s="370">
        <v>0</v>
      </c>
      <c r="AM228" s="229"/>
      <c r="AN228" s="229"/>
      <c r="AP228" s="486" t="e">
        <f t="shared" si="158"/>
        <v>#DIV/0!</v>
      </c>
      <c r="AQ228" s="486" t="e">
        <f t="shared" si="164"/>
        <v>#DIV/0!</v>
      </c>
      <c r="AR228" s="486" t="e">
        <f t="shared" si="165"/>
        <v>#DIV/0!</v>
      </c>
      <c r="AS228" s="486" t="e">
        <f t="shared" si="166"/>
        <v>#DIV/0!</v>
      </c>
      <c r="AT228" s="486" t="e">
        <f t="shared" si="167"/>
        <v>#DIV/0!</v>
      </c>
      <c r="AU228" s="486" t="e">
        <f t="shared" si="168"/>
        <v>#DIV/0!</v>
      </c>
      <c r="AV228" s="486" t="e">
        <f t="shared" si="169"/>
        <v>#DIV/0!</v>
      </c>
      <c r="AW228" s="486">
        <f t="shared" si="170"/>
        <v>3183.97</v>
      </c>
      <c r="AX228" s="486" t="e">
        <f t="shared" si="171"/>
        <v>#DIV/0!</v>
      </c>
      <c r="AY228" s="486" t="e">
        <f t="shared" si="172"/>
        <v>#DIV/0!</v>
      </c>
      <c r="AZ228" s="486" t="e">
        <f t="shared" si="173"/>
        <v>#DIV/0!</v>
      </c>
      <c r="BA228" s="486">
        <f t="shared" si="159"/>
        <v>0</v>
      </c>
      <c r="BB228" s="494">
        <v>5155.41</v>
      </c>
      <c r="BC228" s="494">
        <v>2070.12</v>
      </c>
      <c r="BD228" s="494">
        <v>848.92</v>
      </c>
      <c r="BE228" s="494">
        <v>819.73</v>
      </c>
      <c r="BF228" s="494">
        <v>611.5</v>
      </c>
      <c r="BG228" s="494">
        <v>1080.04</v>
      </c>
      <c r="BH228" s="494">
        <v>2671800.0099999998</v>
      </c>
      <c r="BI228" s="494">
        <f t="shared" si="192"/>
        <v>4607.6000000000004</v>
      </c>
      <c r="BJ228" s="494">
        <v>14289.54</v>
      </c>
      <c r="BK228" s="494">
        <v>3389.61</v>
      </c>
      <c r="BL228" s="494">
        <v>5995.76</v>
      </c>
      <c r="BM228" s="494">
        <v>548.62</v>
      </c>
      <c r="BN228" s="495" t="e">
        <f t="shared" si="174"/>
        <v>#DIV/0!</v>
      </c>
      <c r="BO228" s="495" t="e">
        <f t="shared" si="175"/>
        <v>#DIV/0!</v>
      </c>
      <c r="BP228" s="495" t="e">
        <f t="shared" si="176"/>
        <v>#DIV/0!</v>
      </c>
      <c r="BQ228" s="495" t="e">
        <f t="shared" si="177"/>
        <v>#DIV/0!</v>
      </c>
      <c r="BR228" s="495" t="e">
        <f t="shared" si="178"/>
        <v>#DIV/0!</v>
      </c>
      <c r="BS228" s="495" t="e">
        <f t="shared" si="179"/>
        <v>#DIV/0!</v>
      </c>
      <c r="BT228" s="495" t="e">
        <f t="shared" si="180"/>
        <v>#DIV/0!</v>
      </c>
      <c r="BU228" s="495" t="str">
        <f t="shared" si="181"/>
        <v xml:space="preserve"> </v>
      </c>
      <c r="BV228" s="495" t="e">
        <f t="shared" si="182"/>
        <v>#DIV/0!</v>
      </c>
      <c r="BW228" s="495" t="e">
        <f t="shared" si="183"/>
        <v>#DIV/0!</v>
      </c>
      <c r="BX228" s="495" t="e">
        <f t="shared" si="184"/>
        <v>#DIV/0!</v>
      </c>
      <c r="BY228" s="495" t="str">
        <f t="shared" si="185"/>
        <v xml:space="preserve"> </v>
      </c>
    </row>
    <row r="229" spans="1:77" s="28" customFormat="1" ht="39.75" customHeight="1">
      <c r="A229" s="956" t="s">
        <v>446</v>
      </c>
      <c r="B229" s="956"/>
      <c r="C229" s="167">
        <f>SUM(C227:C228)</f>
        <v>1094.9000000000001</v>
      </c>
      <c r="D229" s="167"/>
      <c r="E229" s="167" t="s">
        <v>391</v>
      </c>
      <c r="F229" s="399"/>
      <c r="G229" s="399"/>
      <c r="H229" s="167">
        <f>SUM(H227:H228)</f>
        <v>1508098</v>
      </c>
      <c r="I229" s="167">
        <f t="shared" ref="I229:AL229" si="196">SUM(I227:I228)</f>
        <v>102966.19</v>
      </c>
      <c r="J229" s="167">
        <f t="shared" si="196"/>
        <v>102966.19</v>
      </c>
      <c r="K229" s="167">
        <f t="shared" si="196"/>
        <v>0</v>
      </c>
      <c r="L229" s="167">
        <f t="shared" si="196"/>
        <v>0</v>
      </c>
      <c r="M229" s="167">
        <f t="shared" si="196"/>
        <v>0</v>
      </c>
      <c r="N229" s="167">
        <f t="shared" si="196"/>
        <v>0</v>
      </c>
      <c r="O229" s="167">
        <f t="shared" si="196"/>
        <v>0</v>
      </c>
      <c r="P229" s="167">
        <f t="shared" si="196"/>
        <v>0</v>
      </c>
      <c r="Q229" s="167">
        <f t="shared" si="196"/>
        <v>0</v>
      </c>
      <c r="R229" s="167">
        <f t="shared" si="196"/>
        <v>0</v>
      </c>
      <c r="S229" s="167">
        <f t="shared" si="196"/>
        <v>0</v>
      </c>
      <c r="T229" s="167">
        <f t="shared" si="196"/>
        <v>0</v>
      </c>
      <c r="U229" s="190">
        <f t="shared" si="196"/>
        <v>0</v>
      </c>
      <c r="V229" s="167">
        <f t="shared" si="196"/>
        <v>0</v>
      </c>
      <c r="W229" s="167">
        <f t="shared" si="196"/>
        <v>420</v>
      </c>
      <c r="X229" s="167">
        <f t="shared" si="196"/>
        <v>1337267.3999999999</v>
      </c>
      <c r="Y229" s="167">
        <f t="shared" si="196"/>
        <v>0</v>
      </c>
      <c r="Z229" s="167">
        <f t="shared" si="196"/>
        <v>0</v>
      </c>
      <c r="AA229" s="167">
        <f t="shared" si="196"/>
        <v>0</v>
      </c>
      <c r="AB229" s="167">
        <f t="shared" si="196"/>
        <v>0</v>
      </c>
      <c r="AC229" s="167">
        <f t="shared" si="196"/>
        <v>0</v>
      </c>
      <c r="AD229" s="167">
        <f t="shared" si="196"/>
        <v>0</v>
      </c>
      <c r="AE229" s="167">
        <f t="shared" si="196"/>
        <v>0</v>
      </c>
      <c r="AF229" s="167">
        <f t="shared" si="196"/>
        <v>0</v>
      </c>
      <c r="AG229" s="167">
        <f t="shared" si="196"/>
        <v>0</v>
      </c>
      <c r="AH229" s="167">
        <f t="shared" si="196"/>
        <v>0</v>
      </c>
      <c r="AI229" s="167">
        <f t="shared" si="196"/>
        <v>0</v>
      </c>
      <c r="AJ229" s="167">
        <f t="shared" si="196"/>
        <v>45242.94</v>
      </c>
      <c r="AK229" s="167">
        <f t="shared" si="196"/>
        <v>22621.47</v>
      </c>
      <c r="AL229" s="167">
        <f t="shared" si="196"/>
        <v>0</v>
      </c>
      <c r="AM229" s="370"/>
      <c r="AN229" s="370"/>
      <c r="AP229" s="486" t="e">
        <f t="shared" si="158"/>
        <v>#DIV/0!</v>
      </c>
      <c r="AQ229" s="486" t="e">
        <f t="shared" si="164"/>
        <v>#DIV/0!</v>
      </c>
      <c r="AR229" s="497" t="e">
        <f t="shared" si="165"/>
        <v>#DIV/0!</v>
      </c>
      <c r="AS229" s="497" t="e">
        <f t="shared" si="166"/>
        <v>#DIV/0!</v>
      </c>
      <c r="AT229" s="497" t="e">
        <f t="shared" si="167"/>
        <v>#DIV/0!</v>
      </c>
      <c r="AU229" s="497" t="e">
        <f t="shared" si="168"/>
        <v>#DIV/0!</v>
      </c>
      <c r="AV229" s="497" t="e">
        <f t="shared" si="169"/>
        <v>#DIV/0!</v>
      </c>
      <c r="AW229" s="497">
        <f t="shared" si="170"/>
        <v>3183.97</v>
      </c>
      <c r="AX229" s="497" t="e">
        <f t="shared" si="171"/>
        <v>#DIV/0!</v>
      </c>
      <c r="AY229" s="486" t="e">
        <f t="shared" si="172"/>
        <v>#DIV/0!</v>
      </c>
      <c r="AZ229" s="497" t="e">
        <f t="shared" si="173"/>
        <v>#DIV/0!</v>
      </c>
      <c r="BA229" s="486">
        <f t="shared" si="159"/>
        <v>0</v>
      </c>
      <c r="BB229" s="494">
        <v>5155.41</v>
      </c>
      <c r="BC229" s="494">
        <v>2070.12</v>
      </c>
      <c r="BD229" s="494">
        <v>848.92</v>
      </c>
      <c r="BE229" s="494">
        <v>819.73</v>
      </c>
      <c r="BF229" s="494">
        <v>611.5</v>
      </c>
      <c r="BG229" s="494">
        <v>1080.04</v>
      </c>
      <c r="BH229" s="494">
        <v>2671800.0099999998</v>
      </c>
      <c r="BI229" s="494">
        <f t="shared" si="192"/>
        <v>4422.8500000000004</v>
      </c>
      <c r="BJ229" s="494">
        <v>14289.54</v>
      </c>
      <c r="BK229" s="494">
        <v>3389.61</v>
      </c>
      <c r="BL229" s="494">
        <v>5995.76</v>
      </c>
      <c r="BM229" s="494">
        <v>548.62</v>
      </c>
      <c r="BN229" s="493" t="e">
        <f t="shared" si="174"/>
        <v>#DIV/0!</v>
      </c>
      <c r="BO229" s="493" t="e">
        <f t="shared" si="175"/>
        <v>#DIV/0!</v>
      </c>
      <c r="BP229" s="493" t="e">
        <f t="shared" si="176"/>
        <v>#DIV/0!</v>
      </c>
      <c r="BQ229" s="493" t="e">
        <f t="shared" si="177"/>
        <v>#DIV/0!</v>
      </c>
      <c r="BR229" s="493" t="e">
        <f t="shared" si="178"/>
        <v>#DIV/0!</v>
      </c>
      <c r="BS229" s="493" t="e">
        <f t="shared" si="179"/>
        <v>#DIV/0!</v>
      </c>
      <c r="BT229" s="493" t="e">
        <f t="shared" si="180"/>
        <v>#DIV/0!</v>
      </c>
      <c r="BU229" s="493" t="str">
        <f t="shared" si="181"/>
        <v xml:space="preserve"> </v>
      </c>
      <c r="BV229" s="493" t="e">
        <f t="shared" si="182"/>
        <v>#DIV/0!</v>
      </c>
      <c r="BW229" s="493" t="e">
        <f t="shared" si="183"/>
        <v>#DIV/0!</v>
      </c>
      <c r="BX229" s="493" t="e">
        <f t="shared" si="184"/>
        <v>#DIV/0!</v>
      </c>
      <c r="BY229" s="493" t="str">
        <f t="shared" si="185"/>
        <v xml:space="preserve"> </v>
      </c>
    </row>
    <row r="230" spans="1:77" s="28" customFormat="1" ht="14.25" customHeight="1">
      <c r="A230" s="833" t="s">
        <v>397</v>
      </c>
      <c r="B230" s="834"/>
      <c r="C230" s="834"/>
      <c r="D230" s="834"/>
      <c r="E230" s="834"/>
      <c r="F230" s="834"/>
      <c r="G230" s="834"/>
      <c r="H230" s="834"/>
      <c r="I230" s="834"/>
      <c r="J230" s="834"/>
      <c r="K230" s="834"/>
      <c r="L230" s="834"/>
      <c r="M230" s="834"/>
      <c r="N230" s="834"/>
      <c r="O230" s="834"/>
      <c r="P230" s="834"/>
      <c r="Q230" s="834"/>
      <c r="R230" s="834"/>
      <c r="S230" s="834"/>
      <c r="T230" s="834"/>
      <c r="U230" s="834"/>
      <c r="V230" s="834"/>
      <c r="W230" s="834"/>
      <c r="X230" s="834"/>
      <c r="Y230" s="834"/>
      <c r="Z230" s="834"/>
      <c r="AA230" s="834"/>
      <c r="AB230" s="834"/>
      <c r="AC230" s="834"/>
      <c r="AD230" s="834"/>
      <c r="AE230" s="834"/>
      <c r="AF230" s="834"/>
      <c r="AG230" s="834"/>
      <c r="AH230" s="834"/>
      <c r="AI230" s="834"/>
      <c r="AJ230" s="834"/>
      <c r="AK230" s="834"/>
      <c r="AL230" s="835"/>
      <c r="AM230" s="280"/>
      <c r="AN230" s="280"/>
      <c r="AP230" s="486" t="e">
        <f t="shared" si="158"/>
        <v>#DIV/0!</v>
      </c>
      <c r="AQ230" s="486" t="e">
        <f t="shared" si="164"/>
        <v>#DIV/0!</v>
      </c>
      <c r="AR230" s="497" t="e">
        <f t="shared" si="165"/>
        <v>#DIV/0!</v>
      </c>
      <c r="AS230" s="497" t="e">
        <f t="shared" si="166"/>
        <v>#DIV/0!</v>
      </c>
      <c r="AT230" s="497" t="e">
        <f t="shared" si="167"/>
        <v>#DIV/0!</v>
      </c>
      <c r="AU230" s="497" t="e">
        <f t="shared" si="168"/>
        <v>#DIV/0!</v>
      </c>
      <c r="AV230" s="497" t="e">
        <f t="shared" si="169"/>
        <v>#DIV/0!</v>
      </c>
      <c r="AW230" s="497" t="e">
        <f t="shared" si="170"/>
        <v>#DIV/0!</v>
      </c>
      <c r="AX230" s="497" t="e">
        <f t="shared" si="171"/>
        <v>#DIV/0!</v>
      </c>
      <c r="AY230" s="486" t="e">
        <f t="shared" si="172"/>
        <v>#DIV/0!</v>
      </c>
      <c r="AZ230" s="497" t="e">
        <f t="shared" si="173"/>
        <v>#DIV/0!</v>
      </c>
      <c r="BA230" s="486" t="e">
        <f t="shared" si="159"/>
        <v>#DIV/0!</v>
      </c>
      <c r="BB230" s="494">
        <v>5155.41</v>
      </c>
      <c r="BC230" s="494">
        <v>2070.12</v>
      </c>
      <c r="BD230" s="494">
        <v>848.92</v>
      </c>
      <c r="BE230" s="494">
        <v>819.73</v>
      </c>
      <c r="BF230" s="494">
        <v>611.5</v>
      </c>
      <c r="BG230" s="494">
        <v>1080.04</v>
      </c>
      <c r="BH230" s="494">
        <v>2671800.0099999998</v>
      </c>
      <c r="BI230" s="494">
        <f t="shared" si="192"/>
        <v>4422.8500000000004</v>
      </c>
      <c r="BJ230" s="494">
        <v>14289.54</v>
      </c>
      <c r="BK230" s="494">
        <v>3389.61</v>
      </c>
      <c r="BL230" s="494">
        <v>5995.76</v>
      </c>
      <c r="BM230" s="494">
        <v>548.62</v>
      </c>
      <c r="BN230" s="493" t="e">
        <f t="shared" si="174"/>
        <v>#DIV/0!</v>
      </c>
      <c r="BO230" s="493" t="e">
        <f t="shared" si="175"/>
        <v>#DIV/0!</v>
      </c>
      <c r="BP230" s="493" t="e">
        <f t="shared" si="176"/>
        <v>#DIV/0!</v>
      </c>
      <c r="BQ230" s="493" t="e">
        <f t="shared" si="177"/>
        <v>#DIV/0!</v>
      </c>
      <c r="BR230" s="493" t="e">
        <f t="shared" si="178"/>
        <v>#DIV/0!</v>
      </c>
      <c r="BS230" s="493" t="e">
        <f t="shared" si="179"/>
        <v>#DIV/0!</v>
      </c>
      <c r="BT230" s="493" t="e">
        <f t="shared" si="180"/>
        <v>#DIV/0!</v>
      </c>
      <c r="BU230" s="493" t="e">
        <f t="shared" si="181"/>
        <v>#DIV/0!</v>
      </c>
      <c r="BV230" s="493" t="e">
        <f t="shared" si="182"/>
        <v>#DIV/0!</v>
      </c>
      <c r="BW230" s="493" t="e">
        <f t="shared" si="183"/>
        <v>#DIV/0!</v>
      </c>
      <c r="BX230" s="493" t="e">
        <f t="shared" si="184"/>
        <v>#DIV/0!</v>
      </c>
      <c r="BY230" s="493" t="e">
        <f t="shared" si="185"/>
        <v>#DIV/0!</v>
      </c>
    </row>
    <row r="231" spans="1:77" s="28" customFormat="1" ht="9" customHeight="1">
      <c r="A231" s="166">
        <v>197</v>
      </c>
      <c r="B231" s="276" t="s">
        <v>843</v>
      </c>
      <c r="C231" s="249">
        <v>752.2</v>
      </c>
      <c r="D231" s="376"/>
      <c r="E231" s="368" t="s">
        <v>1006</v>
      </c>
      <c r="F231" s="249"/>
      <c r="G231" s="249"/>
      <c r="H231" s="368">
        <v>1358280</v>
      </c>
      <c r="I231" s="368">
        <f t="shared" ref="I231:I232" si="197">J231+L231+N231+P231+R231+T231</f>
        <v>0</v>
      </c>
      <c r="J231" s="217">
        <v>0</v>
      </c>
      <c r="K231" s="469">
        <v>0</v>
      </c>
      <c r="L231" s="217">
        <v>0</v>
      </c>
      <c r="M231" s="469">
        <v>0</v>
      </c>
      <c r="N231" s="217">
        <v>0</v>
      </c>
      <c r="O231" s="249">
        <v>0</v>
      </c>
      <c r="P231" s="368">
        <v>0</v>
      </c>
      <c r="Q231" s="249">
        <v>0</v>
      </c>
      <c r="R231" s="368">
        <v>0</v>
      </c>
      <c r="S231" s="249">
        <v>0</v>
      </c>
      <c r="T231" s="368">
        <v>0</v>
      </c>
      <c r="U231" s="130">
        <v>0</v>
      </c>
      <c r="V231" s="368">
        <v>0</v>
      </c>
      <c r="W231" s="20">
        <v>420</v>
      </c>
      <c r="X231" s="368">
        <f t="shared" ref="X231:X232" si="198">ROUND(H231/100*95.5,2)</f>
        <v>1297157.3999999999</v>
      </c>
      <c r="Y231" s="370">
        <v>0</v>
      </c>
      <c r="Z231" s="370">
        <v>0</v>
      </c>
      <c r="AA231" s="370">
        <v>0</v>
      </c>
      <c r="AB231" s="370">
        <v>0</v>
      </c>
      <c r="AC231" s="370">
        <v>0</v>
      </c>
      <c r="AD231" s="370">
        <v>0</v>
      </c>
      <c r="AE231" s="370">
        <v>0</v>
      </c>
      <c r="AF231" s="370">
        <v>0</v>
      </c>
      <c r="AG231" s="370">
        <v>0</v>
      </c>
      <c r="AH231" s="370">
        <v>0</v>
      </c>
      <c r="AI231" s="370">
        <v>0</v>
      </c>
      <c r="AJ231" s="370">
        <f t="shared" ref="AJ231:AJ232" si="199">ROUND(H231/100*3,2)</f>
        <v>40748.400000000001</v>
      </c>
      <c r="AK231" s="370">
        <f t="shared" ref="AK231:AK232" si="200">ROUND(H231/100*1.5,2)</f>
        <v>20374.2</v>
      </c>
      <c r="AL231" s="370">
        <v>0</v>
      </c>
      <c r="AM231" s="446"/>
      <c r="AN231" s="446"/>
      <c r="AP231" s="486" t="e">
        <f t="shared" si="158"/>
        <v>#DIV/0!</v>
      </c>
      <c r="AQ231" s="486" t="e">
        <f t="shared" si="164"/>
        <v>#DIV/0!</v>
      </c>
      <c r="AR231" s="486" t="e">
        <f t="shared" si="165"/>
        <v>#DIV/0!</v>
      </c>
      <c r="AS231" s="486" t="e">
        <f t="shared" si="166"/>
        <v>#DIV/0!</v>
      </c>
      <c r="AT231" s="486" t="e">
        <f t="shared" si="167"/>
        <v>#DIV/0!</v>
      </c>
      <c r="AU231" s="486" t="e">
        <f t="shared" si="168"/>
        <v>#DIV/0!</v>
      </c>
      <c r="AV231" s="486" t="e">
        <f t="shared" si="169"/>
        <v>#DIV/0!</v>
      </c>
      <c r="AW231" s="486">
        <f t="shared" si="170"/>
        <v>3088.47</v>
      </c>
      <c r="AX231" s="486" t="e">
        <f t="shared" si="171"/>
        <v>#DIV/0!</v>
      </c>
      <c r="AY231" s="486" t="e">
        <f t="shared" si="172"/>
        <v>#DIV/0!</v>
      </c>
      <c r="AZ231" s="486" t="e">
        <f t="shared" si="173"/>
        <v>#DIV/0!</v>
      </c>
      <c r="BA231" s="486">
        <f t="shared" si="159"/>
        <v>0</v>
      </c>
      <c r="BB231" s="494">
        <v>5155.41</v>
      </c>
      <c r="BC231" s="494">
        <v>2070.12</v>
      </c>
      <c r="BD231" s="494">
        <v>848.92</v>
      </c>
      <c r="BE231" s="494">
        <v>819.73</v>
      </c>
      <c r="BF231" s="494">
        <v>611.5</v>
      </c>
      <c r="BG231" s="494">
        <v>1080.04</v>
      </c>
      <c r="BH231" s="494">
        <v>2671800.0099999998</v>
      </c>
      <c r="BI231" s="494">
        <f t="shared" si="192"/>
        <v>4422.8500000000004</v>
      </c>
      <c r="BJ231" s="494">
        <v>14289.54</v>
      </c>
      <c r="BK231" s="494">
        <v>3389.61</v>
      </c>
      <c r="BL231" s="494">
        <v>5995.76</v>
      </c>
      <c r="BM231" s="494">
        <v>548.62</v>
      </c>
      <c r="BN231" s="495" t="e">
        <f t="shared" si="174"/>
        <v>#DIV/0!</v>
      </c>
      <c r="BO231" s="495" t="e">
        <f t="shared" si="175"/>
        <v>#DIV/0!</v>
      </c>
      <c r="BP231" s="495" t="e">
        <f t="shared" si="176"/>
        <v>#DIV/0!</v>
      </c>
      <c r="BQ231" s="495" t="e">
        <f t="shared" si="177"/>
        <v>#DIV/0!</v>
      </c>
      <c r="BR231" s="495" t="e">
        <f t="shared" si="178"/>
        <v>#DIV/0!</v>
      </c>
      <c r="BS231" s="495" t="e">
        <f t="shared" si="179"/>
        <v>#DIV/0!</v>
      </c>
      <c r="BT231" s="495" t="e">
        <f t="shared" si="180"/>
        <v>#DIV/0!</v>
      </c>
      <c r="BU231" s="495" t="str">
        <f t="shared" si="181"/>
        <v xml:space="preserve"> </v>
      </c>
      <c r="BV231" s="495" t="e">
        <f t="shared" si="182"/>
        <v>#DIV/0!</v>
      </c>
      <c r="BW231" s="495" t="e">
        <f t="shared" si="183"/>
        <v>#DIV/0!</v>
      </c>
      <c r="BX231" s="495" t="e">
        <f t="shared" si="184"/>
        <v>#DIV/0!</v>
      </c>
      <c r="BY231" s="495" t="str">
        <f t="shared" si="185"/>
        <v xml:space="preserve"> </v>
      </c>
    </row>
    <row r="232" spans="1:77" s="28" customFormat="1" ht="9" customHeight="1">
      <c r="A232" s="166">
        <v>198</v>
      </c>
      <c r="B232" s="276" t="s">
        <v>846</v>
      </c>
      <c r="C232" s="249">
        <v>1865</v>
      </c>
      <c r="D232" s="376"/>
      <c r="E232" s="368" t="s">
        <v>1005</v>
      </c>
      <c r="F232" s="249"/>
      <c r="G232" s="249"/>
      <c r="H232" s="368">
        <v>2100420</v>
      </c>
      <c r="I232" s="368">
        <f t="shared" si="197"/>
        <v>0</v>
      </c>
      <c r="J232" s="217">
        <v>0</v>
      </c>
      <c r="K232" s="469">
        <v>0</v>
      </c>
      <c r="L232" s="217">
        <v>0</v>
      </c>
      <c r="M232" s="469">
        <v>0</v>
      </c>
      <c r="N232" s="217">
        <v>0</v>
      </c>
      <c r="O232" s="249">
        <v>0</v>
      </c>
      <c r="P232" s="368">
        <v>0</v>
      </c>
      <c r="Q232" s="249">
        <v>0</v>
      </c>
      <c r="R232" s="368">
        <v>0</v>
      </c>
      <c r="S232" s="249">
        <v>0</v>
      </c>
      <c r="T232" s="368">
        <v>0</v>
      </c>
      <c r="U232" s="130">
        <v>0</v>
      </c>
      <c r="V232" s="368">
        <v>0</v>
      </c>
      <c r="W232" s="20">
        <v>630</v>
      </c>
      <c r="X232" s="368">
        <f t="shared" si="198"/>
        <v>2005901.1</v>
      </c>
      <c r="Y232" s="370">
        <v>0</v>
      </c>
      <c r="Z232" s="370">
        <v>0</v>
      </c>
      <c r="AA232" s="370">
        <v>0</v>
      </c>
      <c r="AB232" s="370">
        <v>0</v>
      </c>
      <c r="AC232" s="370">
        <v>0</v>
      </c>
      <c r="AD232" s="370">
        <v>0</v>
      </c>
      <c r="AE232" s="370">
        <v>0</v>
      </c>
      <c r="AF232" s="370">
        <v>0</v>
      </c>
      <c r="AG232" s="370">
        <v>0</v>
      </c>
      <c r="AH232" s="370">
        <v>0</v>
      </c>
      <c r="AI232" s="370">
        <v>0</v>
      </c>
      <c r="AJ232" s="370">
        <f t="shared" si="199"/>
        <v>63012.6</v>
      </c>
      <c r="AK232" s="370">
        <f t="shared" si="200"/>
        <v>31506.3</v>
      </c>
      <c r="AL232" s="370">
        <v>0</v>
      </c>
      <c r="AM232" s="446"/>
      <c r="AN232" s="446"/>
      <c r="AP232" s="486" t="e">
        <f t="shared" si="158"/>
        <v>#DIV/0!</v>
      </c>
      <c r="AQ232" s="486" t="e">
        <f t="shared" si="164"/>
        <v>#DIV/0!</v>
      </c>
      <c r="AR232" s="486" t="e">
        <f t="shared" si="165"/>
        <v>#DIV/0!</v>
      </c>
      <c r="AS232" s="486" t="e">
        <f t="shared" si="166"/>
        <v>#DIV/0!</v>
      </c>
      <c r="AT232" s="486" t="e">
        <f t="shared" si="167"/>
        <v>#DIV/0!</v>
      </c>
      <c r="AU232" s="486" t="e">
        <f t="shared" si="168"/>
        <v>#DIV/0!</v>
      </c>
      <c r="AV232" s="486" t="e">
        <f t="shared" si="169"/>
        <v>#DIV/0!</v>
      </c>
      <c r="AW232" s="486">
        <f t="shared" si="170"/>
        <v>3183.9700000000003</v>
      </c>
      <c r="AX232" s="486" t="e">
        <f t="shared" si="171"/>
        <v>#DIV/0!</v>
      </c>
      <c r="AY232" s="486" t="e">
        <f t="shared" si="172"/>
        <v>#DIV/0!</v>
      </c>
      <c r="AZ232" s="486" t="e">
        <f t="shared" si="173"/>
        <v>#DIV/0!</v>
      </c>
      <c r="BA232" s="486">
        <f t="shared" si="159"/>
        <v>0</v>
      </c>
      <c r="BB232" s="494">
        <v>5155.41</v>
      </c>
      <c r="BC232" s="494">
        <v>2070.12</v>
      </c>
      <c r="BD232" s="494">
        <v>848.92</v>
      </c>
      <c r="BE232" s="494">
        <v>819.73</v>
      </c>
      <c r="BF232" s="494">
        <v>611.5</v>
      </c>
      <c r="BG232" s="494">
        <v>1080.04</v>
      </c>
      <c r="BH232" s="494">
        <v>2671800.0099999998</v>
      </c>
      <c r="BI232" s="494">
        <f t="shared" si="192"/>
        <v>4607.6000000000004</v>
      </c>
      <c r="BJ232" s="494">
        <v>14289.54</v>
      </c>
      <c r="BK232" s="494">
        <v>3389.61</v>
      </c>
      <c r="BL232" s="494">
        <v>5995.76</v>
      </c>
      <c r="BM232" s="494">
        <v>548.62</v>
      </c>
      <c r="BN232" s="495" t="e">
        <f t="shared" si="174"/>
        <v>#DIV/0!</v>
      </c>
      <c r="BO232" s="495" t="e">
        <f t="shared" si="175"/>
        <v>#DIV/0!</v>
      </c>
      <c r="BP232" s="495" t="e">
        <f t="shared" si="176"/>
        <v>#DIV/0!</v>
      </c>
      <c r="BQ232" s="495" t="e">
        <f t="shared" si="177"/>
        <v>#DIV/0!</v>
      </c>
      <c r="BR232" s="495" t="e">
        <f t="shared" si="178"/>
        <v>#DIV/0!</v>
      </c>
      <c r="BS232" s="495" t="e">
        <f t="shared" si="179"/>
        <v>#DIV/0!</v>
      </c>
      <c r="BT232" s="495" t="e">
        <f t="shared" si="180"/>
        <v>#DIV/0!</v>
      </c>
      <c r="BU232" s="495" t="str">
        <f t="shared" si="181"/>
        <v xml:space="preserve"> </v>
      </c>
      <c r="BV232" s="495" t="e">
        <f t="shared" si="182"/>
        <v>#DIV/0!</v>
      </c>
      <c r="BW232" s="495" t="e">
        <f t="shared" si="183"/>
        <v>#DIV/0!</v>
      </c>
      <c r="BX232" s="495" t="e">
        <f t="shared" si="184"/>
        <v>#DIV/0!</v>
      </c>
      <c r="BY232" s="495" t="str">
        <f t="shared" si="185"/>
        <v xml:space="preserve"> </v>
      </c>
    </row>
    <row r="233" spans="1:77" s="28" customFormat="1" ht="22.5" customHeight="1">
      <c r="A233" s="956" t="s">
        <v>398</v>
      </c>
      <c r="B233" s="956"/>
      <c r="C233" s="167">
        <f>SUM(C231:C232)</f>
        <v>2617.1999999999998</v>
      </c>
      <c r="D233" s="167"/>
      <c r="E233" s="167" t="s">
        <v>391</v>
      </c>
      <c r="F233" s="399"/>
      <c r="G233" s="399"/>
      <c r="H233" s="167">
        <f>SUM(H231:H232)</f>
        <v>3458700</v>
      </c>
      <c r="I233" s="167">
        <f t="shared" ref="I233:AL233" si="201">SUM(I231:I232)</f>
        <v>0</v>
      </c>
      <c r="J233" s="167">
        <f t="shared" si="201"/>
        <v>0</v>
      </c>
      <c r="K233" s="167">
        <f t="shared" si="201"/>
        <v>0</v>
      </c>
      <c r="L233" s="167">
        <f t="shared" si="201"/>
        <v>0</v>
      </c>
      <c r="M233" s="167">
        <f t="shared" si="201"/>
        <v>0</v>
      </c>
      <c r="N233" s="167">
        <f t="shared" si="201"/>
        <v>0</v>
      </c>
      <c r="O233" s="167">
        <f t="shared" si="201"/>
        <v>0</v>
      </c>
      <c r="P233" s="167">
        <f t="shared" si="201"/>
        <v>0</v>
      </c>
      <c r="Q233" s="167">
        <f t="shared" si="201"/>
        <v>0</v>
      </c>
      <c r="R233" s="167">
        <f t="shared" si="201"/>
        <v>0</v>
      </c>
      <c r="S233" s="167">
        <f t="shared" si="201"/>
        <v>0</v>
      </c>
      <c r="T233" s="167">
        <f t="shared" si="201"/>
        <v>0</v>
      </c>
      <c r="U233" s="190">
        <f t="shared" si="201"/>
        <v>0</v>
      </c>
      <c r="V233" s="167">
        <f t="shared" si="201"/>
        <v>0</v>
      </c>
      <c r="W233" s="167">
        <f t="shared" si="201"/>
        <v>1050</v>
      </c>
      <c r="X233" s="167">
        <f t="shared" si="201"/>
        <v>3303058.5</v>
      </c>
      <c r="Y233" s="167">
        <f t="shared" si="201"/>
        <v>0</v>
      </c>
      <c r="Z233" s="167">
        <f t="shared" si="201"/>
        <v>0</v>
      </c>
      <c r="AA233" s="167">
        <f t="shared" si="201"/>
        <v>0</v>
      </c>
      <c r="AB233" s="167">
        <f t="shared" si="201"/>
        <v>0</v>
      </c>
      <c r="AC233" s="167">
        <f t="shared" si="201"/>
        <v>0</v>
      </c>
      <c r="AD233" s="167">
        <f t="shared" si="201"/>
        <v>0</v>
      </c>
      <c r="AE233" s="167">
        <f t="shared" si="201"/>
        <v>0</v>
      </c>
      <c r="AF233" s="167">
        <f t="shared" si="201"/>
        <v>0</v>
      </c>
      <c r="AG233" s="167">
        <f t="shared" si="201"/>
        <v>0</v>
      </c>
      <c r="AH233" s="167">
        <f t="shared" si="201"/>
        <v>0</v>
      </c>
      <c r="AI233" s="167">
        <f t="shared" si="201"/>
        <v>0</v>
      </c>
      <c r="AJ233" s="167">
        <f t="shared" si="201"/>
        <v>103761</v>
      </c>
      <c r="AK233" s="167">
        <f t="shared" si="201"/>
        <v>51880.5</v>
      </c>
      <c r="AL233" s="167">
        <f t="shared" si="201"/>
        <v>0</v>
      </c>
      <c r="AM233" s="280"/>
      <c r="AN233" s="280"/>
      <c r="AP233" s="486" t="e">
        <f t="shared" si="158"/>
        <v>#DIV/0!</v>
      </c>
      <c r="AQ233" s="486" t="e">
        <f t="shared" si="164"/>
        <v>#DIV/0!</v>
      </c>
      <c r="AR233" s="497" t="e">
        <f t="shared" si="165"/>
        <v>#DIV/0!</v>
      </c>
      <c r="AS233" s="497" t="e">
        <f t="shared" si="166"/>
        <v>#DIV/0!</v>
      </c>
      <c r="AT233" s="497" t="e">
        <f t="shared" si="167"/>
        <v>#DIV/0!</v>
      </c>
      <c r="AU233" s="497" t="e">
        <f t="shared" si="168"/>
        <v>#DIV/0!</v>
      </c>
      <c r="AV233" s="497" t="e">
        <f t="shared" si="169"/>
        <v>#DIV/0!</v>
      </c>
      <c r="AW233" s="497">
        <f t="shared" si="170"/>
        <v>3145.77</v>
      </c>
      <c r="AX233" s="497" t="e">
        <f t="shared" si="171"/>
        <v>#DIV/0!</v>
      </c>
      <c r="AY233" s="486" t="e">
        <f t="shared" si="172"/>
        <v>#DIV/0!</v>
      </c>
      <c r="AZ233" s="497" t="e">
        <f t="shared" si="173"/>
        <v>#DIV/0!</v>
      </c>
      <c r="BA233" s="486">
        <f t="shared" si="159"/>
        <v>0</v>
      </c>
      <c r="BB233" s="494">
        <v>5155.41</v>
      </c>
      <c r="BC233" s="494">
        <v>2070.12</v>
      </c>
      <c r="BD233" s="494">
        <v>848.92</v>
      </c>
      <c r="BE233" s="494">
        <v>819.73</v>
      </c>
      <c r="BF233" s="494">
        <v>611.5</v>
      </c>
      <c r="BG233" s="494">
        <v>1080.04</v>
      </c>
      <c r="BH233" s="494">
        <v>2671800.0099999998</v>
      </c>
      <c r="BI233" s="494">
        <f t="shared" si="192"/>
        <v>4422.8500000000004</v>
      </c>
      <c r="BJ233" s="494">
        <v>14289.54</v>
      </c>
      <c r="BK233" s="494">
        <v>3389.61</v>
      </c>
      <c r="BL233" s="494">
        <v>5995.76</v>
      </c>
      <c r="BM233" s="494">
        <v>548.62</v>
      </c>
      <c r="BN233" s="493" t="e">
        <f t="shared" si="174"/>
        <v>#DIV/0!</v>
      </c>
      <c r="BO233" s="493" t="e">
        <f t="shared" si="175"/>
        <v>#DIV/0!</v>
      </c>
      <c r="BP233" s="493" t="e">
        <f t="shared" si="176"/>
        <v>#DIV/0!</v>
      </c>
      <c r="BQ233" s="493" t="e">
        <f t="shared" si="177"/>
        <v>#DIV/0!</v>
      </c>
      <c r="BR233" s="493" t="e">
        <f t="shared" si="178"/>
        <v>#DIV/0!</v>
      </c>
      <c r="BS233" s="493" t="e">
        <f t="shared" si="179"/>
        <v>#DIV/0!</v>
      </c>
      <c r="BT233" s="493" t="e">
        <f t="shared" si="180"/>
        <v>#DIV/0!</v>
      </c>
      <c r="BU233" s="493" t="str">
        <f t="shared" si="181"/>
        <v xml:space="preserve"> </v>
      </c>
      <c r="BV233" s="493" t="e">
        <f t="shared" si="182"/>
        <v>#DIV/0!</v>
      </c>
      <c r="BW233" s="493" t="e">
        <f t="shared" si="183"/>
        <v>#DIV/0!</v>
      </c>
      <c r="BX233" s="493" t="e">
        <f t="shared" si="184"/>
        <v>#DIV/0!</v>
      </c>
      <c r="BY233" s="493" t="str">
        <f t="shared" si="185"/>
        <v xml:space="preserve"> </v>
      </c>
    </row>
    <row r="234" spans="1:77" s="28" customFormat="1" ht="12" customHeight="1">
      <c r="A234" s="837" t="s">
        <v>442</v>
      </c>
      <c r="B234" s="838"/>
      <c r="C234" s="838"/>
      <c r="D234" s="838"/>
      <c r="E234" s="838"/>
      <c r="F234" s="838"/>
      <c r="G234" s="838"/>
      <c r="H234" s="838"/>
      <c r="I234" s="838"/>
      <c r="J234" s="838"/>
      <c r="K234" s="838"/>
      <c r="L234" s="838"/>
      <c r="M234" s="838"/>
      <c r="N234" s="838"/>
      <c r="O234" s="838"/>
      <c r="P234" s="838"/>
      <c r="Q234" s="838"/>
      <c r="R234" s="838"/>
      <c r="S234" s="838"/>
      <c r="T234" s="838"/>
      <c r="U234" s="838"/>
      <c r="V234" s="838"/>
      <c r="W234" s="838"/>
      <c r="X234" s="838"/>
      <c r="Y234" s="838"/>
      <c r="Z234" s="838"/>
      <c r="AA234" s="838"/>
      <c r="AB234" s="838"/>
      <c r="AC234" s="838"/>
      <c r="AD234" s="838"/>
      <c r="AE234" s="838"/>
      <c r="AF234" s="838"/>
      <c r="AG234" s="838"/>
      <c r="AH234" s="838"/>
      <c r="AI234" s="838"/>
      <c r="AJ234" s="838"/>
      <c r="AK234" s="838"/>
      <c r="AL234" s="839"/>
      <c r="AM234" s="280"/>
      <c r="AN234" s="280"/>
      <c r="AP234" s="486" t="e">
        <f t="shared" si="158"/>
        <v>#DIV/0!</v>
      </c>
      <c r="AQ234" s="486" t="e">
        <f t="shared" si="164"/>
        <v>#DIV/0!</v>
      </c>
      <c r="AR234" s="497" t="e">
        <f t="shared" si="165"/>
        <v>#DIV/0!</v>
      </c>
      <c r="AS234" s="497" t="e">
        <f t="shared" si="166"/>
        <v>#DIV/0!</v>
      </c>
      <c r="AT234" s="497" t="e">
        <f t="shared" si="167"/>
        <v>#DIV/0!</v>
      </c>
      <c r="AU234" s="497" t="e">
        <f t="shared" si="168"/>
        <v>#DIV/0!</v>
      </c>
      <c r="AV234" s="497" t="e">
        <f t="shared" si="169"/>
        <v>#DIV/0!</v>
      </c>
      <c r="AW234" s="497" t="e">
        <f t="shared" si="170"/>
        <v>#DIV/0!</v>
      </c>
      <c r="AX234" s="497" t="e">
        <f t="shared" si="171"/>
        <v>#DIV/0!</v>
      </c>
      <c r="AY234" s="486" t="e">
        <f t="shared" si="172"/>
        <v>#DIV/0!</v>
      </c>
      <c r="AZ234" s="497" t="e">
        <f t="shared" si="173"/>
        <v>#DIV/0!</v>
      </c>
      <c r="BA234" s="486" t="e">
        <f t="shared" si="159"/>
        <v>#DIV/0!</v>
      </c>
      <c r="BB234" s="494">
        <v>5155.41</v>
      </c>
      <c r="BC234" s="494">
        <v>2070.12</v>
      </c>
      <c r="BD234" s="494">
        <v>848.92</v>
      </c>
      <c r="BE234" s="494">
        <v>819.73</v>
      </c>
      <c r="BF234" s="494">
        <v>611.5</v>
      </c>
      <c r="BG234" s="494">
        <v>1080.04</v>
      </c>
      <c r="BH234" s="494">
        <v>2671800.0099999998</v>
      </c>
      <c r="BI234" s="494">
        <f t="shared" si="192"/>
        <v>4422.8500000000004</v>
      </c>
      <c r="BJ234" s="494">
        <v>14289.54</v>
      </c>
      <c r="BK234" s="494">
        <v>3389.61</v>
      </c>
      <c r="BL234" s="494">
        <v>5995.76</v>
      </c>
      <c r="BM234" s="494">
        <v>548.62</v>
      </c>
      <c r="BN234" s="493" t="e">
        <f t="shared" si="174"/>
        <v>#DIV/0!</v>
      </c>
      <c r="BO234" s="493" t="e">
        <f t="shared" si="175"/>
        <v>#DIV/0!</v>
      </c>
      <c r="BP234" s="493" t="e">
        <f t="shared" si="176"/>
        <v>#DIV/0!</v>
      </c>
      <c r="BQ234" s="493" t="e">
        <f t="shared" si="177"/>
        <v>#DIV/0!</v>
      </c>
      <c r="BR234" s="493" t="e">
        <f t="shared" si="178"/>
        <v>#DIV/0!</v>
      </c>
      <c r="BS234" s="493" t="e">
        <f t="shared" si="179"/>
        <v>#DIV/0!</v>
      </c>
      <c r="BT234" s="493" t="e">
        <f t="shared" si="180"/>
        <v>#DIV/0!</v>
      </c>
      <c r="BU234" s="493" t="e">
        <f t="shared" si="181"/>
        <v>#DIV/0!</v>
      </c>
      <c r="BV234" s="493" t="e">
        <f t="shared" si="182"/>
        <v>#DIV/0!</v>
      </c>
      <c r="BW234" s="493" t="e">
        <f t="shared" si="183"/>
        <v>#DIV/0!</v>
      </c>
      <c r="BX234" s="493" t="e">
        <f t="shared" si="184"/>
        <v>#DIV/0!</v>
      </c>
      <c r="BY234" s="493" t="e">
        <f t="shared" si="185"/>
        <v>#DIV/0!</v>
      </c>
    </row>
    <row r="235" spans="1:77" s="28" customFormat="1" ht="9" customHeight="1">
      <c r="A235" s="278">
        <v>199</v>
      </c>
      <c r="B235" s="276" t="s">
        <v>850</v>
      </c>
      <c r="C235" s="249">
        <v>1538.2</v>
      </c>
      <c r="D235" s="376">
        <v>710</v>
      </c>
      <c r="E235" s="368"/>
      <c r="F235" s="249"/>
      <c r="G235" s="249"/>
      <c r="H235" s="368">
        <v>2911295.58</v>
      </c>
      <c r="I235" s="368">
        <f t="shared" ref="I235" si="202">J235+L235+N235+P235+R235+T235</f>
        <v>2306000.2999999998</v>
      </c>
      <c r="J235" s="205">
        <f>ROUND(0.955*(1538*370),2)</f>
        <v>543452.30000000005</v>
      </c>
      <c r="K235" s="469">
        <v>256</v>
      </c>
      <c r="L235" s="205">
        <f>ROUND(0.955*(1538*1200),2)</f>
        <v>1762548</v>
      </c>
      <c r="M235" s="469">
        <v>0</v>
      </c>
      <c r="N235" s="217">
        <v>0</v>
      </c>
      <c r="O235" s="249">
        <v>0</v>
      </c>
      <c r="P235" s="368">
        <v>0</v>
      </c>
      <c r="Q235" s="249">
        <v>0</v>
      </c>
      <c r="R235" s="368">
        <v>0</v>
      </c>
      <c r="S235" s="249">
        <v>0</v>
      </c>
      <c r="T235" s="368">
        <v>0</v>
      </c>
      <c r="U235" s="130">
        <v>0</v>
      </c>
      <c r="V235" s="368">
        <v>0</v>
      </c>
      <c r="W235" s="368">
        <v>0</v>
      </c>
      <c r="X235" s="368">
        <v>0</v>
      </c>
      <c r="Y235" s="370">
        <v>0</v>
      </c>
      <c r="Z235" s="370">
        <v>0</v>
      </c>
      <c r="AA235" s="370">
        <v>0</v>
      </c>
      <c r="AB235" s="370">
        <v>0</v>
      </c>
      <c r="AC235" s="370">
        <v>0</v>
      </c>
      <c r="AD235" s="370">
        <v>0</v>
      </c>
      <c r="AE235" s="370">
        <v>0</v>
      </c>
      <c r="AF235" s="370">
        <v>0</v>
      </c>
      <c r="AG235" s="370">
        <v>0</v>
      </c>
      <c r="AH235" s="370">
        <v>0</v>
      </c>
      <c r="AI235" s="368">
        <f>ROUND(0.955*1538*322.91,2)</f>
        <v>474286.98</v>
      </c>
      <c r="AJ235" s="370">
        <f>ROUND(0.03*(1200+370+322.91)*1538,2)</f>
        <v>87338.87</v>
      </c>
      <c r="AK235" s="370">
        <f>ROUND(0.015*(1200+370+322.91)*1538,2)</f>
        <v>43669.43</v>
      </c>
      <c r="AL235" s="370">
        <v>0</v>
      </c>
      <c r="AM235" s="446"/>
      <c r="AN235" s="446"/>
      <c r="AP235" s="486">
        <f t="shared" si="158"/>
        <v>765.42577464788735</v>
      </c>
      <c r="AQ235" s="486">
        <f t="shared" si="164"/>
        <v>6884.953125</v>
      </c>
      <c r="AR235" s="486" t="e">
        <f t="shared" si="165"/>
        <v>#DIV/0!</v>
      </c>
      <c r="AS235" s="486" t="e">
        <f t="shared" si="166"/>
        <v>#DIV/0!</v>
      </c>
      <c r="AT235" s="486" t="e">
        <f t="shared" si="167"/>
        <v>#DIV/0!</v>
      </c>
      <c r="AU235" s="486" t="e">
        <f t="shared" si="168"/>
        <v>#DIV/0!</v>
      </c>
      <c r="AV235" s="486" t="e">
        <f t="shared" si="169"/>
        <v>#DIV/0!</v>
      </c>
      <c r="AW235" s="486" t="e">
        <f t="shared" si="170"/>
        <v>#DIV/0!</v>
      </c>
      <c r="AX235" s="486" t="e">
        <f t="shared" si="171"/>
        <v>#DIV/0!</v>
      </c>
      <c r="AY235" s="486" t="e">
        <f t="shared" si="172"/>
        <v>#DIV/0!</v>
      </c>
      <c r="AZ235" s="486" t="e">
        <f t="shared" si="173"/>
        <v>#DIV/0!</v>
      </c>
      <c r="BA235" s="486">
        <f t="shared" si="159"/>
        <v>308.33895462228577</v>
      </c>
      <c r="BB235" s="494">
        <v>5155.41</v>
      </c>
      <c r="BC235" s="494">
        <v>2070.12</v>
      </c>
      <c r="BD235" s="494">
        <v>848.92</v>
      </c>
      <c r="BE235" s="494">
        <v>819.73</v>
      </c>
      <c r="BF235" s="494">
        <v>611.5</v>
      </c>
      <c r="BG235" s="494">
        <v>1080.04</v>
      </c>
      <c r="BH235" s="494">
        <v>2671800.0099999998</v>
      </c>
      <c r="BI235" s="494">
        <f t="shared" si="192"/>
        <v>4422.8500000000004</v>
      </c>
      <c r="BJ235" s="494">
        <v>14289.54</v>
      </c>
      <c r="BK235" s="494">
        <v>3389.61</v>
      </c>
      <c r="BL235" s="494">
        <v>5995.76</v>
      </c>
      <c r="BM235" s="494">
        <v>548.62</v>
      </c>
      <c r="BN235" s="495" t="str">
        <f t="shared" si="174"/>
        <v xml:space="preserve"> </v>
      </c>
      <c r="BO235" s="495" t="str">
        <f t="shared" si="175"/>
        <v>+</v>
      </c>
      <c r="BP235" s="495" t="e">
        <f t="shared" si="176"/>
        <v>#DIV/0!</v>
      </c>
      <c r="BQ235" s="495" t="e">
        <f t="shared" si="177"/>
        <v>#DIV/0!</v>
      </c>
      <c r="BR235" s="495" t="e">
        <f t="shared" si="178"/>
        <v>#DIV/0!</v>
      </c>
      <c r="BS235" s="495" t="e">
        <f t="shared" si="179"/>
        <v>#DIV/0!</v>
      </c>
      <c r="BT235" s="495" t="e">
        <f t="shared" si="180"/>
        <v>#DIV/0!</v>
      </c>
      <c r="BU235" s="495" t="e">
        <f t="shared" si="181"/>
        <v>#DIV/0!</v>
      </c>
      <c r="BV235" s="495" t="e">
        <f t="shared" si="182"/>
        <v>#DIV/0!</v>
      </c>
      <c r="BW235" s="495" t="e">
        <f t="shared" si="183"/>
        <v>#DIV/0!</v>
      </c>
      <c r="BX235" s="495" t="e">
        <f t="shared" si="184"/>
        <v>#DIV/0!</v>
      </c>
      <c r="BY235" s="495" t="str">
        <f t="shared" si="185"/>
        <v xml:space="preserve"> </v>
      </c>
    </row>
    <row r="236" spans="1:77" s="28" customFormat="1" ht="35.25" customHeight="1">
      <c r="A236" s="954" t="s">
        <v>443</v>
      </c>
      <c r="B236" s="954"/>
      <c r="C236" s="368">
        <f>SUM(C235)</f>
        <v>1538.2</v>
      </c>
      <c r="D236" s="368"/>
      <c r="E236" s="368" t="s">
        <v>391</v>
      </c>
      <c r="F236" s="249"/>
      <c r="G236" s="249"/>
      <c r="H236" s="368">
        <f>SUM(H235)</f>
        <v>2911295.58</v>
      </c>
      <c r="I236" s="368">
        <f t="shared" ref="I236:AL236" si="203">SUM(I235)</f>
        <v>2306000.2999999998</v>
      </c>
      <c r="J236" s="368">
        <f t="shared" si="203"/>
        <v>543452.30000000005</v>
      </c>
      <c r="K236" s="368">
        <f t="shared" si="203"/>
        <v>256</v>
      </c>
      <c r="L236" s="368">
        <f t="shared" si="203"/>
        <v>1762548</v>
      </c>
      <c r="M236" s="368">
        <f t="shared" si="203"/>
        <v>0</v>
      </c>
      <c r="N236" s="368">
        <f t="shared" si="203"/>
        <v>0</v>
      </c>
      <c r="O236" s="368">
        <f t="shared" si="203"/>
        <v>0</v>
      </c>
      <c r="P236" s="368">
        <f t="shared" si="203"/>
        <v>0</v>
      </c>
      <c r="Q236" s="368">
        <f t="shared" si="203"/>
        <v>0</v>
      </c>
      <c r="R236" s="368">
        <f t="shared" si="203"/>
        <v>0</v>
      </c>
      <c r="S236" s="368">
        <f t="shared" si="203"/>
        <v>0</v>
      </c>
      <c r="T236" s="368">
        <f t="shared" si="203"/>
        <v>0</v>
      </c>
      <c r="U236" s="130">
        <f t="shared" si="203"/>
        <v>0</v>
      </c>
      <c r="V236" s="368">
        <f t="shared" si="203"/>
        <v>0</v>
      </c>
      <c r="W236" s="368">
        <f t="shared" si="203"/>
        <v>0</v>
      </c>
      <c r="X236" s="368">
        <f t="shared" si="203"/>
        <v>0</v>
      </c>
      <c r="Y236" s="368">
        <f t="shared" si="203"/>
        <v>0</v>
      </c>
      <c r="Z236" s="368">
        <f t="shared" si="203"/>
        <v>0</v>
      </c>
      <c r="AA236" s="368">
        <f t="shared" si="203"/>
        <v>0</v>
      </c>
      <c r="AB236" s="368">
        <f t="shared" si="203"/>
        <v>0</v>
      </c>
      <c r="AC236" s="368">
        <f t="shared" si="203"/>
        <v>0</v>
      </c>
      <c r="AD236" s="368">
        <f t="shared" si="203"/>
        <v>0</v>
      </c>
      <c r="AE236" s="368">
        <f t="shared" si="203"/>
        <v>0</v>
      </c>
      <c r="AF236" s="368">
        <f t="shared" si="203"/>
        <v>0</v>
      </c>
      <c r="AG236" s="368">
        <f t="shared" si="203"/>
        <v>0</v>
      </c>
      <c r="AH236" s="368">
        <f t="shared" si="203"/>
        <v>0</v>
      </c>
      <c r="AI236" s="368">
        <f t="shared" si="203"/>
        <v>474286.98</v>
      </c>
      <c r="AJ236" s="368">
        <f t="shared" si="203"/>
        <v>87338.87</v>
      </c>
      <c r="AK236" s="368">
        <f t="shared" si="203"/>
        <v>43669.43</v>
      </c>
      <c r="AL236" s="368">
        <f t="shared" si="203"/>
        <v>0</v>
      </c>
      <c r="AM236" s="280"/>
      <c r="AN236" s="280"/>
      <c r="AP236" s="486" t="e">
        <f t="shared" si="158"/>
        <v>#DIV/0!</v>
      </c>
      <c r="AQ236" s="486">
        <f t="shared" si="164"/>
        <v>6884.953125</v>
      </c>
      <c r="AR236" s="497" t="e">
        <f t="shared" si="165"/>
        <v>#DIV/0!</v>
      </c>
      <c r="AS236" s="497" t="e">
        <f t="shared" si="166"/>
        <v>#DIV/0!</v>
      </c>
      <c r="AT236" s="497" t="e">
        <f t="shared" si="167"/>
        <v>#DIV/0!</v>
      </c>
      <c r="AU236" s="497" t="e">
        <f t="shared" si="168"/>
        <v>#DIV/0!</v>
      </c>
      <c r="AV236" s="497" t="e">
        <f t="shared" si="169"/>
        <v>#DIV/0!</v>
      </c>
      <c r="AW236" s="497" t="e">
        <f t="shared" si="170"/>
        <v>#DIV/0!</v>
      </c>
      <c r="AX236" s="497" t="e">
        <f t="shared" si="171"/>
        <v>#DIV/0!</v>
      </c>
      <c r="AY236" s="486" t="e">
        <f t="shared" si="172"/>
        <v>#DIV/0!</v>
      </c>
      <c r="AZ236" s="497" t="e">
        <f t="shared" si="173"/>
        <v>#DIV/0!</v>
      </c>
      <c r="BA236" s="486">
        <f t="shared" si="159"/>
        <v>308.33895462228577</v>
      </c>
      <c r="BB236" s="494">
        <v>5155.41</v>
      </c>
      <c r="BC236" s="494">
        <v>2070.12</v>
      </c>
      <c r="BD236" s="494">
        <v>848.92</v>
      </c>
      <c r="BE236" s="494">
        <v>819.73</v>
      </c>
      <c r="BF236" s="494">
        <v>611.5</v>
      </c>
      <c r="BG236" s="494">
        <v>1080.04</v>
      </c>
      <c r="BH236" s="494">
        <v>2671800.0099999998</v>
      </c>
      <c r="BI236" s="494">
        <f t="shared" si="192"/>
        <v>4422.8500000000004</v>
      </c>
      <c r="BJ236" s="494">
        <v>14289.54</v>
      </c>
      <c r="BK236" s="494">
        <v>3389.61</v>
      </c>
      <c r="BL236" s="494">
        <v>5995.76</v>
      </c>
      <c r="BM236" s="494">
        <v>548.62</v>
      </c>
      <c r="BN236" s="493" t="e">
        <f t="shared" si="174"/>
        <v>#DIV/0!</v>
      </c>
      <c r="BO236" s="493" t="str">
        <f t="shared" si="175"/>
        <v>+</v>
      </c>
      <c r="BP236" s="493" t="e">
        <f t="shared" si="176"/>
        <v>#DIV/0!</v>
      </c>
      <c r="BQ236" s="493" t="e">
        <f t="shared" si="177"/>
        <v>#DIV/0!</v>
      </c>
      <c r="BR236" s="493" t="e">
        <f t="shared" si="178"/>
        <v>#DIV/0!</v>
      </c>
      <c r="BS236" s="493" t="e">
        <f t="shared" si="179"/>
        <v>#DIV/0!</v>
      </c>
      <c r="BT236" s="493" t="e">
        <f t="shared" si="180"/>
        <v>#DIV/0!</v>
      </c>
      <c r="BU236" s="493" t="e">
        <f t="shared" si="181"/>
        <v>#DIV/0!</v>
      </c>
      <c r="BV236" s="493" t="e">
        <f t="shared" si="182"/>
        <v>#DIV/0!</v>
      </c>
      <c r="BW236" s="493" t="e">
        <f t="shared" si="183"/>
        <v>#DIV/0!</v>
      </c>
      <c r="BX236" s="493" t="e">
        <f t="shared" si="184"/>
        <v>#DIV/0!</v>
      </c>
      <c r="BY236" s="493" t="str">
        <f t="shared" si="185"/>
        <v xml:space="preserve"> </v>
      </c>
    </row>
    <row r="237" spans="1:77" s="28" customFormat="1" ht="11.25" customHeight="1">
      <c r="A237" s="833" t="s">
        <v>435</v>
      </c>
      <c r="B237" s="834"/>
      <c r="C237" s="834"/>
      <c r="D237" s="834"/>
      <c r="E237" s="834"/>
      <c r="F237" s="834"/>
      <c r="G237" s="834"/>
      <c r="H237" s="834"/>
      <c r="I237" s="834"/>
      <c r="J237" s="834"/>
      <c r="K237" s="834"/>
      <c r="L237" s="834"/>
      <c r="M237" s="834"/>
      <c r="N237" s="834"/>
      <c r="O237" s="834"/>
      <c r="P237" s="834"/>
      <c r="Q237" s="834"/>
      <c r="R237" s="834"/>
      <c r="S237" s="834"/>
      <c r="T237" s="834"/>
      <c r="U237" s="834"/>
      <c r="V237" s="834"/>
      <c r="W237" s="834"/>
      <c r="X237" s="834"/>
      <c r="Y237" s="834"/>
      <c r="Z237" s="834"/>
      <c r="AA237" s="834"/>
      <c r="AB237" s="834"/>
      <c r="AC237" s="834"/>
      <c r="AD237" s="834"/>
      <c r="AE237" s="834"/>
      <c r="AF237" s="834"/>
      <c r="AG237" s="834"/>
      <c r="AH237" s="834"/>
      <c r="AI237" s="834"/>
      <c r="AJ237" s="834"/>
      <c r="AK237" s="834"/>
      <c r="AL237" s="835"/>
      <c r="AM237" s="280"/>
      <c r="AN237" s="280"/>
      <c r="AP237" s="486" t="e">
        <f t="shared" si="158"/>
        <v>#DIV/0!</v>
      </c>
      <c r="AQ237" s="486" t="e">
        <f t="shared" si="164"/>
        <v>#DIV/0!</v>
      </c>
      <c r="AR237" s="497" t="e">
        <f t="shared" si="165"/>
        <v>#DIV/0!</v>
      </c>
      <c r="AS237" s="497" t="e">
        <f t="shared" si="166"/>
        <v>#DIV/0!</v>
      </c>
      <c r="AT237" s="497" t="e">
        <f t="shared" si="167"/>
        <v>#DIV/0!</v>
      </c>
      <c r="AU237" s="497" t="e">
        <f t="shared" si="168"/>
        <v>#DIV/0!</v>
      </c>
      <c r="AV237" s="497" t="e">
        <f t="shared" si="169"/>
        <v>#DIV/0!</v>
      </c>
      <c r="AW237" s="497" t="e">
        <f t="shared" si="170"/>
        <v>#DIV/0!</v>
      </c>
      <c r="AX237" s="497" t="e">
        <f t="shared" si="171"/>
        <v>#DIV/0!</v>
      </c>
      <c r="AY237" s="486" t="e">
        <f t="shared" si="172"/>
        <v>#DIV/0!</v>
      </c>
      <c r="AZ237" s="497" t="e">
        <f t="shared" si="173"/>
        <v>#DIV/0!</v>
      </c>
      <c r="BA237" s="486" t="e">
        <f t="shared" si="159"/>
        <v>#DIV/0!</v>
      </c>
      <c r="BB237" s="494">
        <v>5155.41</v>
      </c>
      <c r="BC237" s="494">
        <v>2070.12</v>
      </c>
      <c r="BD237" s="494">
        <v>848.92</v>
      </c>
      <c r="BE237" s="494">
        <v>819.73</v>
      </c>
      <c r="BF237" s="494">
        <v>611.5</v>
      </c>
      <c r="BG237" s="494">
        <v>1080.04</v>
      </c>
      <c r="BH237" s="494">
        <v>2671800.0099999998</v>
      </c>
      <c r="BI237" s="494">
        <f t="shared" si="192"/>
        <v>4422.8500000000004</v>
      </c>
      <c r="BJ237" s="494">
        <v>14289.54</v>
      </c>
      <c r="BK237" s="494">
        <v>3389.61</v>
      </c>
      <c r="BL237" s="494">
        <v>5995.76</v>
      </c>
      <c r="BM237" s="494">
        <v>548.62</v>
      </c>
      <c r="BN237" s="493" t="e">
        <f t="shared" si="174"/>
        <v>#DIV/0!</v>
      </c>
      <c r="BO237" s="493" t="e">
        <f t="shared" si="175"/>
        <v>#DIV/0!</v>
      </c>
      <c r="BP237" s="493" t="e">
        <f t="shared" si="176"/>
        <v>#DIV/0!</v>
      </c>
      <c r="BQ237" s="493" t="e">
        <f t="shared" si="177"/>
        <v>#DIV/0!</v>
      </c>
      <c r="BR237" s="493" t="e">
        <f t="shared" si="178"/>
        <v>#DIV/0!</v>
      </c>
      <c r="BS237" s="493" t="e">
        <f t="shared" si="179"/>
        <v>#DIV/0!</v>
      </c>
      <c r="BT237" s="493" t="e">
        <f t="shared" si="180"/>
        <v>#DIV/0!</v>
      </c>
      <c r="BU237" s="493" t="e">
        <f t="shared" si="181"/>
        <v>#DIV/0!</v>
      </c>
      <c r="BV237" s="493" t="e">
        <f t="shared" si="182"/>
        <v>#DIV/0!</v>
      </c>
      <c r="BW237" s="493" t="e">
        <f t="shared" si="183"/>
        <v>#DIV/0!</v>
      </c>
      <c r="BX237" s="493" t="e">
        <f t="shared" si="184"/>
        <v>#DIV/0!</v>
      </c>
      <c r="BY237" s="493" t="e">
        <f t="shared" si="185"/>
        <v>#DIV/0!</v>
      </c>
    </row>
    <row r="238" spans="1:77" s="28" customFormat="1" ht="9" customHeight="1">
      <c r="A238" s="166">
        <v>200</v>
      </c>
      <c r="B238" s="276" t="s">
        <v>857</v>
      </c>
      <c r="C238" s="249">
        <v>516.20000000000005</v>
      </c>
      <c r="D238" s="376"/>
      <c r="E238" s="368" t="s">
        <v>1006</v>
      </c>
      <c r="F238" s="249"/>
      <c r="G238" s="249"/>
      <c r="H238" s="368">
        <v>1856316</v>
      </c>
      <c r="I238" s="368">
        <f t="shared" ref="I238" si="204">J238+L238+N238+P238+R238+T238</f>
        <v>0</v>
      </c>
      <c r="J238" s="217">
        <v>0</v>
      </c>
      <c r="K238" s="469">
        <v>0</v>
      </c>
      <c r="L238" s="217">
        <v>0</v>
      </c>
      <c r="M238" s="469">
        <v>0</v>
      </c>
      <c r="N238" s="217">
        <v>0</v>
      </c>
      <c r="O238" s="249">
        <v>0</v>
      </c>
      <c r="P238" s="368">
        <v>0</v>
      </c>
      <c r="Q238" s="249">
        <v>0</v>
      </c>
      <c r="R238" s="368">
        <v>0</v>
      </c>
      <c r="S238" s="249">
        <v>0</v>
      </c>
      <c r="T238" s="368">
        <v>0</v>
      </c>
      <c r="U238" s="130">
        <v>0</v>
      </c>
      <c r="V238" s="368">
        <v>0</v>
      </c>
      <c r="W238" s="370">
        <v>574</v>
      </c>
      <c r="X238" s="368">
        <f t="shared" ref="X238" si="205">ROUND(H238/100*95.5,2)</f>
        <v>1772781.78</v>
      </c>
      <c r="Y238" s="370">
        <v>0</v>
      </c>
      <c r="Z238" s="370">
        <v>0</v>
      </c>
      <c r="AA238" s="370">
        <v>0</v>
      </c>
      <c r="AB238" s="370">
        <v>0</v>
      </c>
      <c r="AC238" s="370">
        <v>0</v>
      </c>
      <c r="AD238" s="370">
        <v>0</v>
      </c>
      <c r="AE238" s="370">
        <v>0</v>
      </c>
      <c r="AF238" s="370">
        <v>0</v>
      </c>
      <c r="AG238" s="370">
        <v>0</v>
      </c>
      <c r="AH238" s="370">
        <v>0</v>
      </c>
      <c r="AI238" s="370">
        <v>0</v>
      </c>
      <c r="AJ238" s="370">
        <f t="shared" ref="AJ238" si="206">ROUND(H238/100*3,2)</f>
        <v>55689.48</v>
      </c>
      <c r="AK238" s="370">
        <f t="shared" ref="AK238" si="207">ROUND(H238/100*1.5,2)</f>
        <v>27844.74</v>
      </c>
      <c r="AL238" s="370">
        <v>0</v>
      </c>
      <c r="AM238" s="446"/>
      <c r="AN238" s="446"/>
      <c r="AP238" s="486" t="e">
        <f t="shared" si="158"/>
        <v>#DIV/0!</v>
      </c>
      <c r="AQ238" s="486" t="e">
        <f t="shared" si="164"/>
        <v>#DIV/0!</v>
      </c>
      <c r="AR238" s="486" t="e">
        <f t="shared" si="165"/>
        <v>#DIV/0!</v>
      </c>
      <c r="AS238" s="486" t="e">
        <f t="shared" si="166"/>
        <v>#DIV/0!</v>
      </c>
      <c r="AT238" s="486" t="e">
        <f t="shared" si="167"/>
        <v>#DIV/0!</v>
      </c>
      <c r="AU238" s="486" t="e">
        <f t="shared" si="168"/>
        <v>#DIV/0!</v>
      </c>
      <c r="AV238" s="486" t="e">
        <f t="shared" si="169"/>
        <v>#DIV/0!</v>
      </c>
      <c r="AW238" s="486">
        <f t="shared" si="170"/>
        <v>3088.4700000000003</v>
      </c>
      <c r="AX238" s="486" t="e">
        <f t="shared" si="171"/>
        <v>#DIV/0!</v>
      </c>
      <c r="AY238" s="486" t="e">
        <f t="shared" si="172"/>
        <v>#DIV/0!</v>
      </c>
      <c r="AZ238" s="486" t="e">
        <f t="shared" si="173"/>
        <v>#DIV/0!</v>
      </c>
      <c r="BA238" s="486">
        <f t="shared" si="159"/>
        <v>0</v>
      </c>
      <c r="BB238" s="494">
        <v>5155.41</v>
      </c>
      <c r="BC238" s="494">
        <v>2070.12</v>
      </c>
      <c r="BD238" s="494">
        <v>848.92</v>
      </c>
      <c r="BE238" s="494">
        <v>819.73</v>
      </c>
      <c r="BF238" s="494">
        <v>611.5</v>
      </c>
      <c r="BG238" s="494">
        <v>1080.04</v>
      </c>
      <c r="BH238" s="494">
        <v>2671800.0099999998</v>
      </c>
      <c r="BI238" s="494">
        <f t="shared" si="192"/>
        <v>4422.8500000000004</v>
      </c>
      <c r="BJ238" s="494">
        <v>14289.54</v>
      </c>
      <c r="BK238" s="494">
        <v>3389.61</v>
      </c>
      <c r="BL238" s="494">
        <v>5995.76</v>
      </c>
      <c r="BM238" s="494">
        <v>548.62</v>
      </c>
      <c r="BN238" s="495" t="e">
        <f t="shared" si="174"/>
        <v>#DIV/0!</v>
      </c>
      <c r="BO238" s="495" t="e">
        <f t="shared" si="175"/>
        <v>#DIV/0!</v>
      </c>
      <c r="BP238" s="495" t="e">
        <f t="shared" si="176"/>
        <v>#DIV/0!</v>
      </c>
      <c r="BQ238" s="495" t="e">
        <f t="shared" si="177"/>
        <v>#DIV/0!</v>
      </c>
      <c r="BR238" s="495" t="e">
        <f t="shared" si="178"/>
        <v>#DIV/0!</v>
      </c>
      <c r="BS238" s="495" t="e">
        <f t="shared" si="179"/>
        <v>#DIV/0!</v>
      </c>
      <c r="BT238" s="495" t="e">
        <f t="shared" si="180"/>
        <v>#DIV/0!</v>
      </c>
      <c r="BU238" s="495" t="str">
        <f t="shared" si="181"/>
        <v xml:space="preserve"> </v>
      </c>
      <c r="BV238" s="495" t="e">
        <f t="shared" si="182"/>
        <v>#DIV/0!</v>
      </c>
      <c r="BW238" s="495" t="e">
        <f t="shared" si="183"/>
        <v>#DIV/0!</v>
      </c>
      <c r="BX238" s="495" t="e">
        <f t="shared" si="184"/>
        <v>#DIV/0!</v>
      </c>
      <c r="BY238" s="495" t="str">
        <f t="shared" si="185"/>
        <v xml:space="preserve"> </v>
      </c>
    </row>
    <row r="239" spans="1:77" s="28" customFormat="1" ht="36" customHeight="1">
      <c r="A239" s="954" t="s">
        <v>436</v>
      </c>
      <c r="B239" s="954"/>
      <c r="C239" s="368">
        <f>SUM(C238)</f>
        <v>516.20000000000005</v>
      </c>
      <c r="D239" s="396"/>
      <c r="E239" s="167" t="s">
        <v>391</v>
      </c>
      <c r="F239" s="399"/>
      <c r="G239" s="399"/>
      <c r="H239" s="368">
        <f>SUM(H238)</f>
        <v>1856316</v>
      </c>
      <c r="I239" s="368">
        <f t="shared" ref="I239:AL239" si="208">SUM(I238)</f>
        <v>0</v>
      </c>
      <c r="J239" s="368">
        <f t="shared" si="208"/>
        <v>0</v>
      </c>
      <c r="K239" s="368">
        <f t="shared" si="208"/>
        <v>0</v>
      </c>
      <c r="L239" s="368">
        <f t="shared" si="208"/>
        <v>0</v>
      </c>
      <c r="M239" s="368">
        <f t="shared" si="208"/>
        <v>0</v>
      </c>
      <c r="N239" s="368">
        <f t="shared" si="208"/>
        <v>0</v>
      </c>
      <c r="O239" s="368">
        <f t="shared" si="208"/>
        <v>0</v>
      </c>
      <c r="P239" s="368">
        <f t="shared" si="208"/>
        <v>0</v>
      </c>
      <c r="Q239" s="368">
        <f t="shared" si="208"/>
        <v>0</v>
      </c>
      <c r="R239" s="368">
        <f t="shared" si="208"/>
        <v>0</v>
      </c>
      <c r="S239" s="368">
        <f t="shared" si="208"/>
        <v>0</v>
      </c>
      <c r="T239" s="368">
        <f t="shared" si="208"/>
        <v>0</v>
      </c>
      <c r="U239" s="130">
        <f t="shared" si="208"/>
        <v>0</v>
      </c>
      <c r="V239" s="368">
        <f t="shared" si="208"/>
        <v>0</v>
      </c>
      <c r="W239" s="368">
        <f t="shared" si="208"/>
        <v>574</v>
      </c>
      <c r="X239" s="368">
        <f t="shared" si="208"/>
        <v>1772781.78</v>
      </c>
      <c r="Y239" s="368">
        <f t="shared" si="208"/>
        <v>0</v>
      </c>
      <c r="Z239" s="368">
        <f t="shared" si="208"/>
        <v>0</v>
      </c>
      <c r="AA239" s="368">
        <f t="shared" si="208"/>
        <v>0</v>
      </c>
      <c r="AB239" s="368">
        <f t="shared" si="208"/>
        <v>0</v>
      </c>
      <c r="AC239" s="368">
        <f t="shared" si="208"/>
        <v>0</v>
      </c>
      <c r="AD239" s="368">
        <f t="shared" si="208"/>
        <v>0</v>
      </c>
      <c r="AE239" s="368">
        <f t="shared" si="208"/>
        <v>0</v>
      </c>
      <c r="AF239" s="368">
        <f t="shared" si="208"/>
        <v>0</v>
      </c>
      <c r="AG239" s="368">
        <f t="shared" si="208"/>
        <v>0</v>
      </c>
      <c r="AH239" s="368">
        <f t="shared" si="208"/>
        <v>0</v>
      </c>
      <c r="AI239" s="368">
        <f t="shared" si="208"/>
        <v>0</v>
      </c>
      <c r="AJ239" s="368">
        <f t="shared" si="208"/>
        <v>55689.48</v>
      </c>
      <c r="AK239" s="368">
        <f t="shared" si="208"/>
        <v>27844.74</v>
      </c>
      <c r="AL239" s="368">
        <f t="shared" si="208"/>
        <v>0</v>
      </c>
      <c r="AM239" s="280"/>
      <c r="AN239" s="280"/>
      <c r="AP239" s="486" t="e">
        <f t="shared" si="158"/>
        <v>#DIV/0!</v>
      </c>
      <c r="AQ239" s="486" t="e">
        <f t="shared" si="164"/>
        <v>#DIV/0!</v>
      </c>
      <c r="AR239" s="497" t="e">
        <f t="shared" si="165"/>
        <v>#DIV/0!</v>
      </c>
      <c r="AS239" s="497" t="e">
        <f t="shared" si="166"/>
        <v>#DIV/0!</v>
      </c>
      <c r="AT239" s="497" t="e">
        <f t="shared" si="167"/>
        <v>#DIV/0!</v>
      </c>
      <c r="AU239" s="497" t="e">
        <f t="shared" si="168"/>
        <v>#DIV/0!</v>
      </c>
      <c r="AV239" s="497" t="e">
        <f t="shared" si="169"/>
        <v>#DIV/0!</v>
      </c>
      <c r="AW239" s="497">
        <f t="shared" si="170"/>
        <v>3088.4700000000003</v>
      </c>
      <c r="AX239" s="497" t="e">
        <f t="shared" si="171"/>
        <v>#DIV/0!</v>
      </c>
      <c r="AY239" s="486" t="e">
        <f t="shared" si="172"/>
        <v>#DIV/0!</v>
      </c>
      <c r="AZ239" s="497" t="e">
        <f t="shared" si="173"/>
        <v>#DIV/0!</v>
      </c>
      <c r="BA239" s="486">
        <f t="shared" si="159"/>
        <v>0</v>
      </c>
      <c r="BB239" s="494">
        <v>5155.41</v>
      </c>
      <c r="BC239" s="494">
        <v>2070.12</v>
      </c>
      <c r="BD239" s="494">
        <v>848.92</v>
      </c>
      <c r="BE239" s="494">
        <v>819.73</v>
      </c>
      <c r="BF239" s="494">
        <v>611.5</v>
      </c>
      <c r="BG239" s="494">
        <v>1080.04</v>
      </c>
      <c r="BH239" s="494">
        <v>2671800.0099999998</v>
      </c>
      <c r="BI239" s="494">
        <f t="shared" si="192"/>
        <v>4422.8500000000004</v>
      </c>
      <c r="BJ239" s="494">
        <v>14289.54</v>
      </c>
      <c r="BK239" s="494">
        <v>3389.61</v>
      </c>
      <c r="BL239" s="494">
        <v>5995.76</v>
      </c>
      <c r="BM239" s="494">
        <v>548.62</v>
      </c>
      <c r="BN239" s="493" t="e">
        <f t="shared" si="174"/>
        <v>#DIV/0!</v>
      </c>
      <c r="BO239" s="493" t="e">
        <f t="shared" si="175"/>
        <v>#DIV/0!</v>
      </c>
      <c r="BP239" s="493" t="e">
        <f t="shared" si="176"/>
        <v>#DIV/0!</v>
      </c>
      <c r="BQ239" s="493" t="e">
        <f t="shared" si="177"/>
        <v>#DIV/0!</v>
      </c>
      <c r="BR239" s="493" t="e">
        <f t="shared" si="178"/>
        <v>#DIV/0!</v>
      </c>
      <c r="BS239" s="493" t="e">
        <f t="shared" si="179"/>
        <v>#DIV/0!</v>
      </c>
      <c r="BT239" s="493" t="e">
        <f t="shared" si="180"/>
        <v>#DIV/0!</v>
      </c>
      <c r="BU239" s="493" t="str">
        <f t="shared" si="181"/>
        <v xml:space="preserve"> </v>
      </c>
      <c r="BV239" s="493" t="e">
        <f t="shared" si="182"/>
        <v>#DIV/0!</v>
      </c>
      <c r="BW239" s="493" t="e">
        <f t="shared" si="183"/>
        <v>#DIV/0!</v>
      </c>
      <c r="BX239" s="493" t="e">
        <f t="shared" si="184"/>
        <v>#DIV/0!</v>
      </c>
      <c r="BY239" s="493" t="str">
        <f t="shared" si="185"/>
        <v xml:space="preserve"> </v>
      </c>
    </row>
    <row r="240" spans="1:77" s="28" customFormat="1" ht="12.75" customHeight="1">
      <c r="A240" s="833" t="s">
        <v>861</v>
      </c>
      <c r="B240" s="834"/>
      <c r="C240" s="834"/>
      <c r="D240" s="834"/>
      <c r="E240" s="834"/>
      <c r="F240" s="834"/>
      <c r="G240" s="834"/>
      <c r="H240" s="834"/>
      <c r="I240" s="834"/>
      <c r="J240" s="834"/>
      <c r="K240" s="834"/>
      <c r="L240" s="834"/>
      <c r="M240" s="834"/>
      <c r="N240" s="834"/>
      <c r="O240" s="834"/>
      <c r="P240" s="834"/>
      <c r="Q240" s="834"/>
      <c r="R240" s="834"/>
      <c r="S240" s="834"/>
      <c r="T240" s="834"/>
      <c r="U240" s="834"/>
      <c r="V240" s="834"/>
      <c r="W240" s="834"/>
      <c r="X240" s="834"/>
      <c r="Y240" s="834"/>
      <c r="Z240" s="834"/>
      <c r="AA240" s="834"/>
      <c r="AB240" s="834"/>
      <c r="AC240" s="834"/>
      <c r="AD240" s="834"/>
      <c r="AE240" s="834"/>
      <c r="AF240" s="834"/>
      <c r="AG240" s="834"/>
      <c r="AH240" s="834"/>
      <c r="AI240" s="834"/>
      <c r="AJ240" s="834"/>
      <c r="AK240" s="834"/>
      <c r="AL240" s="835"/>
      <c r="AM240" s="280"/>
      <c r="AN240" s="280"/>
      <c r="AP240" s="486" t="e">
        <f t="shared" si="158"/>
        <v>#DIV/0!</v>
      </c>
      <c r="AQ240" s="486" t="e">
        <f t="shared" si="164"/>
        <v>#DIV/0!</v>
      </c>
      <c r="AR240" s="497" t="e">
        <f t="shared" si="165"/>
        <v>#DIV/0!</v>
      </c>
      <c r="AS240" s="497" t="e">
        <f t="shared" si="166"/>
        <v>#DIV/0!</v>
      </c>
      <c r="AT240" s="497" t="e">
        <f t="shared" si="167"/>
        <v>#DIV/0!</v>
      </c>
      <c r="AU240" s="497" t="e">
        <f t="shared" si="168"/>
        <v>#DIV/0!</v>
      </c>
      <c r="AV240" s="497" t="e">
        <f t="shared" si="169"/>
        <v>#DIV/0!</v>
      </c>
      <c r="AW240" s="497" t="e">
        <f t="shared" si="170"/>
        <v>#DIV/0!</v>
      </c>
      <c r="AX240" s="497" t="e">
        <f t="shared" si="171"/>
        <v>#DIV/0!</v>
      </c>
      <c r="AY240" s="486" t="e">
        <f t="shared" si="172"/>
        <v>#DIV/0!</v>
      </c>
      <c r="AZ240" s="497" t="e">
        <f t="shared" si="173"/>
        <v>#DIV/0!</v>
      </c>
      <c r="BA240" s="486" t="e">
        <f t="shared" si="159"/>
        <v>#DIV/0!</v>
      </c>
      <c r="BB240" s="494">
        <v>5155.41</v>
      </c>
      <c r="BC240" s="494">
        <v>2070.12</v>
      </c>
      <c r="BD240" s="494">
        <v>848.92</v>
      </c>
      <c r="BE240" s="494">
        <v>819.73</v>
      </c>
      <c r="BF240" s="494">
        <v>611.5</v>
      </c>
      <c r="BG240" s="494">
        <v>1080.04</v>
      </c>
      <c r="BH240" s="494">
        <v>2671800.0099999998</v>
      </c>
      <c r="BI240" s="494">
        <f t="shared" si="192"/>
        <v>4422.8500000000004</v>
      </c>
      <c r="BJ240" s="494">
        <v>14289.54</v>
      </c>
      <c r="BK240" s="494">
        <v>3389.61</v>
      </c>
      <c r="BL240" s="494">
        <v>5995.76</v>
      </c>
      <c r="BM240" s="494">
        <v>548.62</v>
      </c>
      <c r="BN240" s="493" t="e">
        <f t="shared" si="174"/>
        <v>#DIV/0!</v>
      </c>
      <c r="BO240" s="493" t="e">
        <f t="shared" si="175"/>
        <v>#DIV/0!</v>
      </c>
      <c r="BP240" s="493" t="e">
        <f t="shared" si="176"/>
        <v>#DIV/0!</v>
      </c>
      <c r="BQ240" s="493" t="e">
        <f t="shared" si="177"/>
        <v>#DIV/0!</v>
      </c>
      <c r="BR240" s="493" t="e">
        <f t="shared" si="178"/>
        <v>#DIV/0!</v>
      </c>
      <c r="BS240" s="493" t="e">
        <f t="shared" si="179"/>
        <v>#DIV/0!</v>
      </c>
      <c r="BT240" s="493" t="e">
        <f t="shared" si="180"/>
        <v>#DIV/0!</v>
      </c>
      <c r="BU240" s="493" t="e">
        <f t="shared" si="181"/>
        <v>#DIV/0!</v>
      </c>
      <c r="BV240" s="493" t="e">
        <f t="shared" si="182"/>
        <v>#DIV/0!</v>
      </c>
      <c r="BW240" s="493" t="e">
        <f t="shared" si="183"/>
        <v>#DIV/0!</v>
      </c>
      <c r="BX240" s="493" t="e">
        <f t="shared" si="184"/>
        <v>#DIV/0!</v>
      </c>
      <c r="BY240" s="493" t="e">
        <f t="shared" si="185"/>
        <v>#DIV/0!</v>
      </c>
    </row>
    <row r="241" spans="1:77" s="28" customFormat="1" ht="9" customHeight="1">
      <c r="A241" s="166">
        <v>201</v>
      </c>
      <c r="B241" s="276" t="s">
        <v>858</v>
      </c>
      <c r="C241" s="249">
        <v>634.20000000000005</v>
      </c>
      <c r="D241" s="376"/>
      <c r="E241" s="368" t="s">
        <v>1005</v>
      </c>
      <c r="F241" s="249"/>
      <c r="G241" s="249"/>
      <c r="H241" s="368">
        <v>1583650</v>
      </c>
      <c r="I241" s="368">
        <f t="shared" ref="I241" si="209">J241+L241+N241+P241+R241+T241</f>
        <v>0</v>
      </c>
      <c r="J241" s="217">
        <v>0</v>
      </c>
      <c r="K241" s="469">
        <v>0</v>
      </c>
      <c r="L241" s="217">
        <v>0</v>
      </c>
      <c r="M241" s="469">
        <v>0</v>
      </c>
      <c r="N241" s="217">
        <v>0</v>
      </c>
      <c r="O241" s="249">
        <v>0</v>
      </c>
      <c r="P241" s="368">
        <v>0</v>
      </c>
      <c r="Q241" s="249">
        <v>0</v>
      </c>
      <c r="R241" s="368">
        <v>0</v>
      </c>
      <c r="S241" s="249">
        <v>0</v>
      </c>
      <c r="T241" s="368">
        <v>0</v>
      </c>
      <c r="U241" s="130">
        <v>0</v>
      </c>
      <c r="V241" s="368">
        <v>0</v>
      </c>
      <c r="W241" s="370">
        <v>475</v>
      </c>
      <c r="X241" s="368">
        <f t="shared" ref="X241" si="210">ROUND(H241/100*95.5,2)</f>
        <v>1512385.75</v>
      </c>
      <c r="Y241" s="370">
        <v>0</v>
      </c>
      <c r="Z241" s="370">
        <v>0</v>
      </c>
      <c r="AA241" s="370">
        <v>0</v>
      </c>
      <c r="AB241" s="370">
        <v>0</v>
      </c>
      <c r="AC241" s="370">
        <v>0</v>
      </c>
      <c r="AD241" s="370">
        <v>0</v>
      </c>
      <c r="AE241" s="370">
        <v>0</v>
      </c>
      <c r="AF241" s="370">
        <v>0</v>
      </c>
      <c r="AG241" s="370">
        <v>0</v>
      </c>
      <c r="AH241" s="370">
        <v>0</v>
      </c>
      <c r="AI241" s="370">
        <v>0</v>
      </c>
      <c r="AJ241" s="370">
        <f t="shared" ref="AJ241" si="211">ROUND(H241/100*3,2)</f>
        <v>47509.5</v>
      </c>
      <c r="AK241" s="370">
        <f t="shared" ref="AK241" si="212">ROUND(H241/100*1.5,2)</f>
        <v>23754.75</v>
      </c>
      <c r="AL241" s="370">
        <v>0</v>
      </c>
      <c r="AM241" s="446"/>
      <c r="AN241" s="446"/>
      <c r="AP241" s="486" t="e">
        <f t="shared" si="158"/>
        <v>#DIV/0!</v>
      </c>
      <c r="AQ241" s="486" t="e">
        <f t="shared" si="164"/>
        <v>#DIV/0!</v>
      </c>
      <c r="AR241" s="486" t="e">
        <f t="shared" si="165"/>
        <v>#DIV/0!</v>
      </c>
      <c r="AS241" s="486" t="e">
        <f t="shared" si="166"/>
        <v>#DIV/0!</v>
      </c>
      <c r="AT241" s="486" t="e">
        <f t="shared" si="167"/>
        <v>#DIV/0!</v>
      </c>
      <c r="AU241" s="486" t="e">
        <f t="shared" si="168"/>
        <v>#DIV/0!</v>
      </c>
      <c r="AV241" s="486" t="e">
        <f t="shared" si="169"/>
        <v>#DIV/0!</v>
      </c>
      <c r="AW241" s="486">
        <f t="shared" si="170"/>
        <v>3183.97</v>
      </c>
      <c r="AX241" s="486" t="e">
        <f t="shared" si="171"/>
        <v>#DIV/0!</v>
      </c>
      <c r="AY241" s="486" t="e">
        <f t="shared" si="172"/>
        <v>#DIV/0!</v>
      </c>
      <c r="AZ241" s="486" t="e">
        <f t="shared" si="173"/>
        <v>#DIV/0!</v>
      </c>
      <c r="BA241" s="486">
        <f t="shared" si="159"/>
        <v>0</v>
      </c>
      <c r="BB241" s="494">
        <v>5155.41</v>
      </c>
      <c r="BC241" s="494">
        <v>2070.12</v>
      </c>
      <c r="BD241" s="494">
        <v>848.92</v>
      </c>
      <c r="BE241" s="494">
        <v>819.73</v>
      </c>
      <c r="BF241" s="494">
        <v>611.5</v>
      </c>
      <c r="BG241" s="494">
        <v>1080.04</v>
      </c>
      <c r="BH241" s="494">
        <v>2671800.0099999998</v>
      </c>
      <c r="BI241" s="494">
        <f t="shared" si="192"/>
        <v>4607.6000000000004</v>
      </c>
      <c r="BJ241" s="494">
        <v>14289.54</v>
      </c>
      <c r="BK241" s="494">
        <v>3389.61</v>
      </c>
      <c r="BL241" s="494">
        <v>5995.76</v>
      </c>
      <c r="BM241" s="494">
        <v>548.62</v>
      </c>
      <c r="BN241" s="495" t="e">
        <f t="shared" si="174"/>
        <v>#DIV/0!</v>
      </c>
      <c r="BO241" s="495" t="e">
        <f t="shared" si="175"/>
        <v>#DIV/0!</v>
      </c>
      <c r="BP241" s="495" t="e">
        <f t="shared" si="176"/>
        <v>#DIV/0!</v>
      </c>
      <c r="BQ241" s="495" t="e">
        <f t="shared" si="177"/>
        <v>#DIV/0!</v>
      </c>
      <c r="BR241" s="495" t="e">
        <f t="shared" si="178"/>
        <v>#DIV/0!</v>
      </c>
      <c r="BS241" s="495" t="e">
        <f t="shared" si="179"/>
        <v>#DIV/0!</v>
      </c>
      <c r="BT241" s="495" t="e">
        <f t="shared" si="180"/>
        <v>#DIV/0!</v>
      </c>
      <c r="BU241" s="495" t="str">
        <f t="shared" si="181"/>
        <v xml:space="preserve"> </v>
      </c>
      <c r="BV241" s="495" t="e">
        <f t="shared" si="182"/>
        <v>#DIV/0!</v>
      </c>
      <c r="BW241" s="495" t="e">
        <f t="shared" si="183"/>
        <v>#DIV/0!</v>
      </c>
      <c r="BX241" s="495" t="e">
        <f t="shared" si="184"/>
        <v>#DIV/0!</v>
      </c>
      <c r="BY241" s="495" t="str">
        <f t="shared" si="185"/>
        <v xml:space="preserve"> </v>
      </c>
    </row>
    <row r="242" spans="1:77" s="28" customFormat="1" ht="24" customHeight="1">
      <c r="A242" s="954" t="s">
        <v>1014</v>
      </c>
      <c r="B242" s="954"/>
      <c r="C242" s="368">
        <f>SUM(C241)</f>
        <v>634.20000000000005</v>
      </c>
      <c r="D242" s="396"/>
      <c r="E242" s="167" t="s">
        <v>391</v>
      </c>
      <c r="F242" s="399"/>
      <c r="G242" s="399"/>
      <c r="H242" s="368">
        <f>SUM(H241)</f>
        <v>1583650</v>
      </c>
      <c r="I242" s="368">
        <f t="shared" ref="I242:AL242" si="213">SUM(I241)</f>
        <v>0</v>
      </c>
      <c r="J242" s="368">
        <f t="shared" si="213"/>
        <v>0</v>
      </c>
      <c r="K242" s="368">
        <f t="shared" si="213"/>
        <v>0</v>
      </c>
      <c r="L242" s="368">
        <f t="shared" si="213"/>
        <v>0</v>
      </c>
      <c r="M242" s="368">
        <f t="shared" si="213"/>
        <v>0</v>
      </c>
      <c r="N242" s="368">
        <f t="shared" si="213"/>
        <v>0</v>
      </c>
      <c r="O242" s="368">
        <f t="shared" si="213"/>
        <v>0</v>
      </c>
      <c r="P242" s="368">
        <f t="shared" si="213"/>
        <v>0</v>
      </c>
      <c r="Q242" s="368">
        <f t="shared" si="213"/>
        <v>0</v>
      </c>
      <c r="R242" s="368">
        <f t="shared" si="213"/>
        <v>0</v>
      </c>
      <c r="S242" s="368">
        <f t="shared" si="213"/>
        <v>0</v>
      </c>
      <c r="T242" s="368">
        <f t="shared" si="213"/>
        <v>0</v>
      </c>
      <c r="U242" s="130">
        <f t="shared" si="213"/>
        <v>0</v>
      </c>
      <c r="V242" s="368">
        <f t="shared" si="213"/>
        <v>0</v>
      </c>
      <c r="W242" s="368">
        <f t="shared" si="213"/>
        <v>475</v>
      </c>
      <c r="X242" s="368">
        <f t="shared" si="213"/>
        <v>1512385.75</v>
      </c>
      <c r="Y242" s="368">
        <f t="shared" si="213"/>
        <v>0</v>
      </c>
      <c r="Z242" s="368">
        <f t="shared" si="213"/>
        <v>0</v>
      </c>
      <c r="AA242" s="368">
        <f t="shared" si="213"/>
        <v>0</v>
      </c>
      <c r="AB242" s="368">
        <f t="shared" si="213"/>
        <v>0</v>
      </c>
      <c r="AC242" s="368">
        <f t="shared" si="213"/>
        <v>0</v>
      </c>
      <c r="AD242" s="368">
        <f t="shared" si="213"/>
        <v>0</v>
      </c>
      <c r="AE242" s="368">
        <f t="shared" si="213"/>
        <v>0</v>
      </c>
      <c r="AF242" s="368">
        <f t="shared" si="213"/>
        <v>0</v>
      </c>
      <c r="AG242" s="368">
        <f t="shared" si="213"/>
        <v>0</v>
      </c>
      <c r="AH242" s="368">
        <f t="shared" si="213"/>
        <v>0</v>
      </c>
      <c r="AI242" s="368">
        <f t="shared" si="213"/>
        <v>0</v>
      </c>
      <c r="AJ242" s="368">
        <f t="shared" si="213"/>
        <v>47509.5</v>
      </c>
      <c r="AK242" s="368">
        <f t="shared" si="213"/>
        <v>23754.75</v>
      </c>
      <c r="AL242" s="368">
        <f t="shared" si="213"/>
        <v>0</v>
      </c>
      <c r="AM242" s="280"/>
      <c r="AN242" s="280"/>
      <c r="AP242" s="486" t="e">
        <f t="shared" si="158"/>
        <v>#DIV/0!</v>
      </c>
      <c r="AQ242" s="486" t="e">
        <f t="shared" si="164"/>
        <v>#DIV/0!</v>
      </c>
      <c r="AR242" s="497" t="e">
        <f t="shared" si="165"/>
        <v>#DIV/0!</v>
      </c>
      <c r="AS242" s="497" t="e">
        <f t="shared" si="166"/>
        <v>#DIV/0!</v>
      </c>
      <c r="AT242" s="497" t="e">
        <f t="shared" si="167"/>
        <v>#DIV/0!</v>
      </c>
      <c r="AU242" s="497" t="e">
        <f t="shared" si="168"/>
        <v>#DIV/0!</v>
      </c>
      <c r="AV242" s="497" t="e">
        <f t="shared" si="169"/>
        <v>#DIV/0!</v>
      </c>
      <c r="AW242" s="497">
        <f t="shared" si="170"/>
        <v>3183.97</v>
      </c>
      <c r="AX242" s="497" t="e">
        <f t="shared" si="171"/>
        <v>#DIV/0!</v>
      </c>
      <c r="AY242" s="486" t="e">
        <f t="shared" si="172"/>
        <v>#DIV/0!</v>
      </c>
      <c r="AZ242" s="497" t="e">
        <f t="shared" si="173"/>
        <v>#DIV/0!</v>
      </c>
      <c r="BA242" s="486">
        <f t="shared" si="159"/>
        <v>0</v>
      </c>
      <c r="BB242" s="494">
        <v>5155.41</v>
      </c>
      <c r="BC242" s="494">
        <v>2070.12</v>
      </c>
      <c r="BD242" s="494">
        <v>848.92</v>
      </c>
      <c r="BE242" s="494">
        <v>819.73</v>
      </c>
      <c r="BF242" s="494">
        <v>611.5</v>
      </c>
      <c r="BG242" s="494">
        <v>1080.04</v>
      </c>
      <c r="BH242" s="494">
        <v>2671800.0099999998</v>
      </c>
      <c r="BI242" s="494">
        <f t="shared" si="192"/>
        <v>4422.8500000000004</v>
      </c>
      <c r="BJ242" s="494">
        <v>14289.54</v>
      </c>
      <c r="BK242" s="494">
        <v>3389.61</v>
      </c>
      <c r="BL242" s="494">
        <v>5995.76</v>
      </c>
      <c r="BM242" s="494">
        <v>548.62</v>
      </c>
      <c r="BN242" s="493" t="e">
        <f t="shared" si="174"/>
        <v>#DIV/0!</v>
      </c>
      <c r="BO242" s="493" t="e">
        <f t="shared" si="175"/>
        <v>#DIV/0!</v>
      </c>
      <c r="BP242" s="493" t="e">
        <f t="shared" si="176"/>
        <v>#DIV/0!</v>
      </c>
      <c r="BQ242" s="493" t="e">
        <f t="shared" si="177"/>
        <v>#DIV/0!</v>
      </c>
      <c r="BR242" s="493" t="e">
        <f t="shared" si="178"/>
        <v>#DIV/0!</v>
      </c>
      <c r="BS242" s="493" t="e">
        <f t="shared" si="179"/>
        <v>#DIV/0!</v>
      </c>
      <c r="BT242" s="493" t="e">
        <f t="shared" si="180"/>
        <v>#DIV/0!</v>
      </c>
      <c r="BU242" s="493" t="str">
        <f t="shared" si="181"/>
        <v xml:space="preserve"> </v>
      </c>
      <c r="BV242" s="493" t="e">
        <f t="shared" si="182"/>
        <v>#DIV/0!</v>
      </c>
      <c r="BW242" s="493" t="e">
        <f t="shared" si="183"/>
        <v>#DIV/0!</v>
      </c>
      <c r="BX242" s="493" t="e">
        <f t="shared" si="184"/>
        <v>#DIV/0!</v>
      </c>
      <c r="BY242" s="493" t="str">
        <f t="shared" si="185"/>
        <v xml:space="preserve"> </v>
      </c>
    </row>
    <row r="243" spans="1:77" s="28" customFormat="1" ht="12" customHeight="1">
      <c r="A243" s="959" t="s">
        <v>409</v>
      </c>
      <c r="B243" s="960"/>
      <c r="C243" s="960"/>
      <c r="D243" s="960"/>
      <c r="E243" s="960"/>
      <c r="F243" s="960"/>
      <c r="G243" s="960"/>
      <c r="H243" s="960"/>
      <c r="I243" s="960"/>
      <c r="J243" s="960"/>
      <c r="K243" s="960"/>
      <c r="L243" s="960"/>
      <c r="M243" s="960"/>
      <c r="N243" s="960"/>
      <c r="O243" s="960"/>
      <c r="P243" s="960"/>
      <c r="Q243" s="960"/>
      <c r="R243" s="960"/>
      <c r="S243" s="960"/>
      <c r="T243" s="960"/>
      <c r="U243" s="960"/>
      <c r="V243" s="960"/>
      <c r="W243" s="960"/>
      <c r="X243" s="960"/>
      <c r="Y243" s="960"/>
      <c r="Z243" s="960"/>
      <c r="AA243" s="960"/>
      <c r="AB243" s="960"/>
      <c r="AC243" s="960"/>
      <c r="AD243" s="960"/>
      <c r="AE243" s="960"/>
      <c r="AF243" s="960"/>
      <c r="AG243" s="960"/>
      <c r="AH243" s="960"/>
      <c r="AI243" s="960"/>
      <c r="AJ243" s="960"/>
      <c r="AK243" s="960"/>
      <c r="AL243" s="961"/>
      <c r="AM243" s="280"/>
      <c r="AN243" s="280"/>
      <c r="AP243" s="486" t="e">
        <f t="shared" si="158"/>
        <v>#DIV/0!</v>
      </c>
      <c r="AQ243" s="486" t="e">
        <f t="shared" si="164"/>
        <v>#DIV/0!</v>
      </c>
      <c r="AR243" s="497" t="e">
        <f t="shared" si="165"/>
        <v>#DIV/0!</v>
      </c>
      <c r="AS243" s="497" t="e">
        <f t="shared" si="166"/>
        <v>#DIV/0!</v>
      </c>
      <c r="AT243" s="497" t="e">
        <f t="shared" si="167"/>
        <v>#DIV/0!</v>
      </c>
      <c r="AU243" s="497" t="e">
        <f t="shared" si="168"/>
        <v>#DIV/0!</v>
      </c>
      <c r="AV243" s="497" t="e">
        <f t="shared" si="169"/>
        <v>#DIV/0!</v>
      </c>
      <c r="AW243" s="497" t="e">
        <f t="shared" si="170"/>
        <v>#DIV/0!</v>
      </c>
      <c r="AX243" s="497" t="e">
        <f t="shared" si="171"/>
        <v>#DIV/0!</v>
      </c>
      <c r="AY243" s="486" t="e">
        <f t="shared" si="172"/>
        <v>#DIV/0!</v>
      </c>
      <c r="AZ243" s="497" t="e">
        <f t="shared" si="173"/>
        <v>#DIV/0!</v>
      </c>
      <c r="BA243" s="486" t="e">
        <f t="shared" si="159"/>
        <v>#DIV/0!</v>
      </c>
      <c r="BB243" s="494">
        <v>5155.41</v>
      </c>
      <c r="BC243" s="494">
        <v>2070.12</v>
      </c>
      <c r="BD243" s="494">
        <v>848.92</v>
      </c>
      <c r="BE243" s="494">
        <v>819.73</v>
      </c>
      <c r="BF243" s="494">
        <v>611.5</v>
      </c>
      <c r="BG243" s="494">
        <v>1080.04</v>
      </c>
      <c r="BH243" s="494">
        <v>2671800.0099999998</v>
      </c>
      <c r="BI243" s="494">
        <f t="shared" si="192"/>
        <v>4422.8500000000004</v>
      </c>
      <c r="BJ243" s="494">
        <v>14289.54</v>
      </c>
      <c r="BK243" s="494">
        <v>3389.61</v>
      </c>
      <c r="BL243" s="494">
        <v>5995.76</v>
      </c>
      <c r="BM243" s="494">
        <v>548.62</v>
      </c>
      <c r="BN243" s="493" t="e">
        <f t="shared" si="174"/>
        <v>#DIV/0!</v>
      </c>
      <c r="BO243" s="493" t="e">
        <f t="shared" si="175"/>
        <v>#DIV/0!</v>
      </c>
      <c r="BP243" s="493" t="e">
        <f t="shared" si="176"/>
        <v>#DIV/0!</v>
      </c>
      <c r="BQ243" s="493" t="e">
        <f t="shared" si="177"/>
        <v>#DIV/0!</v>
      </c>
      <c r="BR243" s="493" t="e">
        <f t="shared" si="178"/>
        <v>#DIV/0!</v>
      </c>
      <c r="BS243" s="493" t="e">
        <f t="shared" si="179"/>
        <v>#DIV/0!</v>
      </c>
      <c r="BT243" s="493" t="e">
        <f t="shared" si="180"/>
        <v>#DIV/0!</v>
      </c>
      <c r="BU243" s="493" t="e">
        <f t="shared" si="181"/>
        <v>#DIV/0!</v>
      </c>
      <c r="BV243" s="493" t="e">
        <f t="shared" si="182"/>
        <v>#DIV/0!</v>
      </c>
      <c r="BW243" s="493" t="e">
        <f t="shared" si="183"/>
        <v>#DIV/0!</v>
      </c>
      <c r="BX243" s="493" t="e">
        <f t="shared" si="184"/>
        <v>#DIV/0!</v>
      </c>
      <c r="BY243" s="493" t="e">
        <f t="shared" si="185"/>
        <v>#DIV/0!</v>
      </c>
    </row>
    <row r="244" spans="1:77" s="28" customFormat="1" ht="9" customHeight="1">
      <c r="A244" s="141">
        <v>202</v>
      </c>
      <c r="B244" s="150" t="s">
        <v>886</v>
      </c>
      <c r="C244" s="249">
        <v>1137.9000000000001</v>
      </c>
      <c r="D244" s="376"/>
      <c r="E244" s="368" t="s">
        <v>1005</v>
      </c>
      <c r="F244" s="249"/>
      <c r="G244" s="249"/>
      <c r="H244" s="368">
        <v>1667000</v>
      </c>
      <c r="I244" s="368">
        <f t="shared" ref="I244" si="214">J244+L244+N244+P244+R244+T244</f>
        <v>0</v>
      </c>
      <c r="J244" s="217">
        <v>0</v>
      </c>
      <c r="K244" s="469">
        <v>0</v>
      </c>
      <c r="L244" s="217">
        <v>0</v>
      </c>
      <c r="M244" s="469">
        <v>0</v>
      </c>
      <c r="N244" s="217">
        <v>0</v>
      </c>
      <c r="O244" s="249">
        <v>0</v>
      </c>
      <c r="P244" s="368">
        <v>0</v>
      </c>
      <c r="Q244" s="249">
        <v>0</v>
      </c>
      <c r="R244" s="368">
        <v>0</v>
      </c>
      <c r="S244" s="249">
        <v>0</v>
      </c>
      <c r="T244" s="368">
        <v>0</v>
      </c>
      <c r="U244" s="130">
        <v>0</v>
      </c>
      <c r="V244" s="368">
        <v>0</v>
      </c>
      <c r="W244" s="368">
        <v>500</v>
      </c>
      <c r="X244" s="368">
        <f t="shared" ref="X244" si="215">ROUND(H244/100*95.5,2)</f>
        <v>1591985</v>
      </c>
      <c r="Y244" s="370">
        <v>0</v>
      </c>
      <c r="Z244" s="370">
        <v>0</v>
      </c>
      <c r="AA244" s="370">
        <v>0</v>
      </c>
      <c r="AB244" s="370">
        <v>0</v>
      </c>
      <c r="AC244" s="370">
        <v>0</v>
      </c>
      <c r="AD244" s="370">
        <v>0</v>
      </c>
      <c r="AE244" s="370">
        <v>0</v>
      </c>
      <c r="AF244" s="370">
        <v>0</v>
      </c>
      <c r="AG244" s="370">
        <v>0</v>
      </c>
      <c r="AH244" s="370">
        <v>0</v>
      </c>
      <c r="AI244" s="370">
        <v>0</v>
      </c>
      <c r="AJ244" s="370">
        <f t="shared" ref="AJ244" si="216">ROUND(H244/100*3,2)</f>
        <v>50010</v>
      </c>
      <c r="AK244" s="370">
        <f t="shared" ref="AK244" si="217">ROUND(H244/100*1.5,2)</f>
        <v>25005</v>
      </c>
      <c r="AL244" s="370">
        <v>0</v>
      </c>
      <c r="AM244" s="446"/>
      <c r="AN244" s="446"/>
      <c r="AP244" s="486" t="e">
        <f t="shared" si="158"/>
        <v>#DIV/0!</v>
      </c>
      <c r="AQ244" s="486" t="e">
        <f t="shared" si="164"/>
        <v>#DIV/0!</v>
      </c>
      <c r="AR244" s="486" t="e">
        <f t="shared" si="165"/>
        <v>#DIV/0!</v>
      </c>
      <c r="AS244" s="486" t="e">
        <f t="shared" si="166"/>
        <v>#DIV/0!</v>
      </c>
      <c r="AT244" s="486" t="e">
        <f t="shared" si="167"/>
        <v>#DIV/0!</v>
      </c>
      <c r="AU244" s="486" t="e">
        <f t="shared" si="168"/>
        <v>#DIV/0!</v>
      </c>
      <c r="AV244" s="486" t="e">
        <f t="shared" si="169"/>
        <v>#DIV/0!</v>
      </c>
      <c r="AW244" s="486">
        <f t="shared" si="170"/>
        <v>3183.97</v>
      </c>
      <c r="AX244" s="486" t="e">
        <f t="shared" si="171"/>
        <v>#DIV/0!</v>
      </c>
      <c r="AY244" s="486" t="e">
        <f t="shared" si="172"/>
        <v>#DIV/0!</v>
      </c>
      <c r="AZ244" s="486" t="e">
        <f t="shared" si="173"/>
        <v>#DIV/0!</v>
      </c>
      <c r="BA244" s="486">
        <f t="shared" si="159"/>
        <v>0</v>
      </c>
      <c r="BB244" s="494">
        <v>5155.41</v>
      </c>
      <c r="BC244" s="494">
        <v>2070.12</v>
      </c>
      <c r="BD244" s="494">
        <v>848.92</v>
      </c>
      <c r="BE244" s="494">
        <v>819.73</v>
      </c>
      <c r="BF244" s="494">
        <v>611.5</v>
      </c>
      <c r="BG244" s="494">
        <v>1080.04</v>
      </c>
      <c r="BH244" s="494">
        <v>2671800.0099999998</v>
      </c>
      <c r="BI244" s="494">
        <f t="shared" si="192"/>
        <v>4607.6000000000004</v>
      </c>
      <c r="BJ244" s="494">
        <v>14289.54</v>
      </c>
      <c r="BK244" s="494">
        <v>3389.61</v>
      </c>
      <c r="BL244" s="494">
        <v>5995.76</v>
      </c>
      <c r="BM244" s="494">
        <v>548.62</v>
      </c>
      <c r="BN244" s="495" t="e">
        <f t="shared" si="174"/>
        <v>#DIV/0!</v>
      </c>
      <c r="BO244" s="495" t="e">
        <f t="shared" si="175"/>
        <v>#DIV/0!</v>
      </c>
      <c r="BP244" s="495" t="e">
        <f t="shared" si="176"/>
        <v>#DIV/0!</v>
      </c>
      <c r="BQ244" s="495" t="e">
        <f t="shared" si="177"/>
        <v>#DIV/0!</v>
      </c>
      <c r="BR244" s="495" t="e">
        <f t="shared" si="178"/>
        <v>#DIV/0!</v>
      </c>
      <c r="BS244" s="495" t="e">
        <f t="shared" si="179"/>
        <v>#DIV/0!</v>
      </c>
      <c r="BT244" s="495" t="e">
        <f t="shared" si="180"/>
        <v>#DIV/0!</v>
      </c>
      <c r="BU244" s="495" t="str">
        <f t="shared" si="181"/>
        <v xml:space="preserve"> </v>
      </c>
      <c r="BV244" s="495" t="e">
        <f t="shared" si="182"/>
        <v>#DIV/0!</v>
      </c>
      <c r="BW244" s="495" t="e">
        <f t="shared" si="183"/>
        <v>#DIV/0!</v>
      </c>
      <c r="BX244" s="495" t="e">
        <f t="shared" si="184"/>
        <v>#DIV/0!</v>
      </c>
      <c r="BY244" s="495" t="str">
        <f t="shared" si="185"/>
        <v xml:space="preserve"> </v>
      </c>
    </row>
    <row r="245" spans="1:77" s="28" customFormat="1" ht="36" customHeight="1">
      <c r="A245" s="954" t="s">
        <v>410</v>
      </c>
      <c r="B245" s="954"/>
      <c r="C245" s="368">
        <f>SUM(C244)</f>
        <v>1137.9000000000001</v>
      </c>
      <c r="D245" s="396"/>
      <c r="E245" s="368" t="s">
        <v>391</v>
      </c>
      <c r="F245" s="249"/>
      <c r="G245" s="249"/>
      <c r="H245" s="368">
        <f>SUM(H244)</f>
        <v>1667000</v>
      </c>
      <c r="I245" s="368">
        <f t="shared" ref="I245:AL245" si="218">SUM(I244)</f>
        <v>0</v>
      </c>
      <c r="J245" s="368">
        <f t="shared" si="218"/>
        <v>0</v>
      </c>
      <c r="K245" s="368">
        <f t="shared" si="218"/>
        <v>0</v>
      </c>
      <c r="L245" s="368">
        <f t="shared" si="218"/>
        <v>0</v>
      </c>
      <c r="M245" s="368">
        <f t="shared" si="218"/>
        <v>0</v>
      </c>
      <c r="N245" s="368">
        <f t="shared" si="218"/>
        <v>0</v>
      </c>
      <c r="O245" s="368">
        <f t="shared" si="218"/>
        <v>0</v>
      </c>
      <c r="P245" s="368">
        <f t="shared" si="218"/>
        <v>0</v>
      </c>
      <c r="Q245" s="368">
        <f t="shared" si="218"/>
        <v>0</v>
      </c>
      <c r="R245" s="368">
        <f t="shared" si="218"/>
        <v>0</v>
      </c>
      <c r="S245" s="368">
        <f t="shared" si="218"/>
        <v>0</v>
      </c>
      <c r="T245" s="368">
        <f t="shared" si="218"/>
        <v>0</v>
      </c>
      <c r="U245" s="130">
        <f t="shared" si="218"/>
        <v>0</v>
      </c>
      <c r="V245" s="368">
        <f t="shared" si="218"/>
        <v>0</v>
      </c>
      <c r="W245" s="368">
        <f t="shared" si="218"/>
        <v>500</v>
      </c>
      <c r="X245" s="368">
        <f t="shared" si="218"/>
        <v>1591985</v>
      </c>
      <c r="Y245" s="368">
        <f t="shared" si="218"/>
        <v>0</v>
      </c>
      <c r="Z245" s="368">
        <f t="shared" si="218"/>
        <v>0</v>
      </c>
      <c r="AA245" s="368">
        <f t="shared" si="218"/>
        <v>0</v>
      </c>
      <c r="AB245" s="368">
        <f t="shared" si="218"/>
        <v>0</v>
      </c>
      <c r="AC245" s="368">
        <f t="shared" si="218"/>
        <v>0</v>
      </c>
      <c r="AD245" s="368">
        <f t="shared" si="218"/>
        <v>0</v>
      </c>
      <c r="AE245" s="368">
        <f t="shared" si="218"/>
        <v>0</v>
      </c>
      <c r="AF245" s="368">
        <f t="shared" si="218"/>
        <v>0</v>
      </c>
      <c r="AG245" s="368">
        <f t="shared" si="218"/>
        <v>0</v>
      </c>
      <c r="AH245" s="368">
        <f t="shared" si="218"/>
        <v>0</v>
      </c>
      <c r="AI245" s="368">
        <f t="shared" si="218"/>
        <v>0</v>
      </c>
      <c r="AJ245" s="368">
        <f t="shared" si="218"/>
        <v>50010</v>
      </c>
      <c r="AK245" s="368">
        <f t="shared" si="218"/>
        <v>25005</v>
      </c>
      <c r="AL245" s="368">
        <f t="shared" si="218"/>
        <v>0</v>
      </c>
      <c r="AM245" s="280"/>
      <c r="AN245" s="280"/>
      <c r="AP245" s="486" t="e">
        <f t="shared" si="158"/>
        <v>#DIV/0!</v>
      </c>
      <c r="AQ245" s="486" t="e">
        <f t="shared" si="164"/>
        <v>#DIV/0!</v>
      </c>
      <c r="AR245" s="497" t="e">
        <f t="shared" si="165"/>
        <v>#DIV/0!</v>
      </c>
      <c r="AS245" s="497" t="e">
        <f t="shared" si="166"/>
        <v>#DIV/0!</v>
      </c>
      <c r="AT245" s="497" t="e">
        <f t="shared" si="167"/>
        <v>#DIV/0!</v>
      </c>
      <c r="AU245" s="497" t="e">
        <f t="shared" si="168"/>
        <v>#DIV/0!</v>
      </c>
      <c r="AV245" s="497" t="e">
        <f t="shared" si="169"/>
        <v>#DIV/0!</v>
      </c>
      <c r="AW245" s="497">
        <f t="shared" si="170"/>
        <v>3183.97</v>
      </c>
      <c r="AX245" s="497" t="e">
        <f t="shared" si="171"/>
        <v>#DIV/0!</v>
      </c>
      <c r="AY245" s="486" t="e">
        <f t="shared" si="172"/>
        <v>#DIV/0!</v>
      </c>
      <c r="AZ245" s="497" t="e">
        <f t="shared" si="173"/>
        <v>#DIV/0!</v>
      </c>
      <c r="BA245" s="486">
        <f t="shared" si="159"/>
        <v>0</v>
      </c>
      <c r="BB245" s="494">
        <v>5155.41</v>
      </c>
      <c r="BC245" s="494">
        <v>2070.12</v>
      </c>
      <c r="BD245" s="494">
        <v>848.92</v>
      </c>
      <c r="BE245" s="494">
        <v>819.73</v>
      </c>
      <c r="BF245" s="494">
        <v>611.5</v>
      </c>
      <c r="BG245" s="494">
        <v>1080.04</v>
      </c>
      <c r="BH245" s="494">
        <v>2671800.0099999998</v>
      </c>
      <c r="BI245" s="494">
        <f t="shared" si="192"/>
        <v>4422.8500000000004</v>
      </c>
      <c r="BJ245" s="494">
        <v>14289.54</v>
      </c>
      <c r="BK245" s="494">
        <v>3389.61</v>
      </c>
      <c r="BL245" s="494">
        <v>5995.76</v>
      </c>
      <c r="BM245" s="494">
        <v>548.62</v>
      </c>
      <c r="BN245" s="493" t="e">
        <f t="shared" si="174"/>
        <v>#DIV/0!</v>
      </c>
      <c r="BO245" s="493" t="e">
        <f t="shared" si="175"/>
        <v>#DIV/0!</v>
      </c>
      <c r="BP245" s="493" t="e">
        <f t="shared" si="176"/>
        <v>#DIV/0!</v>
      </c>
      <c r="BQ245" s="493" t="e">
        <f t="shared" si="177"/>
        <v>#DIV/0!</v>
      </c>
      <c r="BR245" s="493" t="e">
        <f t="shared" si="178"/>
        <v>#DIV/0!</v>
      </c>
      <c r="BS245" s="493" t="e">
        <f t="shared" si="179"/>
        <v>#DIV/0!</v>
      </c>
      <c r="BT245" s="493" t="e">
        <f t="shared" si="180"/>
        <v>#DIV/0!</v>
      </c>
      <c r="BU245" s="493" t="str">
        <f t="shared" si="181"/>
        <v xml:space="preserve"> </v>
      </c>
      <c r="BV245" s="493" t="e">
        <f t="shared" si="182"/>
        <v>#DIV/0!</v>
      </c>
      <c r="BW245" s="493" t="e">
        <f t="shared" si="183"/>
        <v>#DIV/0!</v>
      </c>
      <c r="BX245" s="493" t="e">
        <f t="shared" si="184"/>
        <v>#DIV/0!</v>
      </c>
      <c r="BY245" s="493" t="str">
        <f t="shared" si="185"/>
        <v xml:space="preserve"> </v>
      </c>
    </row>
    <row r="246" spans="1:77" s="28" customFormat="1" ht="12.75" customHeight="1">
      <c r="A246" s="837" t="s">
        <v>295</v>
      </c>
      <c r="B246" s="838"/>
      <c r="C246" s="838"/>
      <c r="D246" s="838"/>
      <c r="E246" s="838"/>
      <c r="F246" s="838"/>
      <c r="G246" s="838"/>
      <c r="H246" s="838"/>
      <c r="I246" s="838"/>
      <c r="J246" s="838"/>
      <c r="K246" s="838"/>
      <c r="L246" s="838"/>
      <c r="M246" s="838"/>
      <c r="N246" s="838"/>
      <c r="O246" s="838"/>
      <c r="P246" s="838"/>
      <c r="Q246" s="838"/>
      <c r="R246" s="838"/>
      <c r="S246" s="838"/>
      <c r="T246" s="838"/>
      <c r="U246" s="838"/>
      <c r="V246" s="838"/>
      <c r="W246" s="838"/>
      <c r="X246" s="838"/>
      <c r="Y246" s="838"/>
      <c r="Z246" s="838"/>
      <c r="AA246" s="838"/>
      <c r="AB246" s="838"/>
      <c r="AC246" s="838"/>
      <c r="AD246" s="838"/>
      <c r="AE246" s="838"/>
      <c r="AF246" s="838"/>
      <c r="AG246" s="838"/>
      <c r="AH246" s="838"/>
      <c r="AI246" s="838"/>
      <c r="AJ246" s="838"/>
      <c r="AK246" s="838"/>
      <c r="AL246" s="839"/>
      <c r="AM246" s="280"/>
      <c r="AN246" s="280"/>
      <c r="AP246" s="486" t="e">
        <f t="shared" si="158"/>
        <v>#DIV/0!</v>
      </c>
      <c r="AQ246" s="486" t="e">
        <f t="shared" si="164"/>
        <v>#DIV/0!</v>
      </c>
      <c r="AR246" s="497" t="e">
        <f t="shared" si="165"/>
        <v>#DIV/0!</v>
      </c>
      <c r="AS246" s="497" t="e">
        <f t="shared" si="166"/>
        <v>#DIV/0!</v>
      </c>
      <c r="AT246" s="497" t="e">
        <f t="shared" si="167"/>
        <v>#DIV/0!</v>
      </c>
      <c r="AU246" s="497" t="e">
        <f t="shared" si="168"/>
        <v>#DIV/0!</v>
      </c>
      <c r="AV246" s="497" t="e">
        <f t="shared" si="169"/>
        <v>#DIV/0!</v>
      </c>
      <c r="AW246" s="497" t="e">
        <f t="shared" si="170"/>
        <v>#DIV/0!</v>
      </c>
      <c r="AX246" s="497" t="e">
        <f t="shared" si="171"/>
        <v>#DIV/0!</v>
      </c>
      <c r="AY246" s="486" t="e">
        <f t="shared" si="172"/>
        <v>#DIV/0!</v>
      </c>
      <c r="AZ246" s="497" t="e">
        <f t="shared" si="173"/>
        <v>#DIV/0!</v>
      </c>
      <c r="BA246" s="486" t="e">
        <f t="shared" si="159"/>
        <v>#DIV/0!</v>
      </c>
      <c r="BB246" s="494">
        <v>5155.41</v>
      </c>
      <c r="BC246" s="494">
        <v>2070.12</v>
      </c>
      <c r="BD246" s="494">
        <v>848.92</v>
      </c>
      <c r="BE246" s="494">
        <v>819.73</v>
      </c>
      <c r="BF246" s="494">
        <v>611.5</v>
      </c>
      <c r="BG246" s="494">
        <v>1080.04</v>
      </c>
      <c r="BH246" s="494">
        <v>2671800.0099999998</v>
      </c>
      <c r="BI246" s="494">
        <f t="shared" si="192"/>
        <v>4422.8500000000004</v>
      </c>
      <c r="BJ246" s="494">
        <v>14289.54</v>
      </c>
      <c r="BK246" s="494">
        <v>3389.61</v>
      </c>
      <c r="BL246" s="494">
        <v>5995.76</v>
      </c>
      <c r="BM246" s="494">
        <v>548.62</v>
      </c>
      <c r="BN246" s="493" t="e">
        <f t="shared" si="174"/>
        <v>#DIV/0!</v>
      </c>
      <c r="BO246" s="493" t="e">
        <f t="shared" si="175"/>
        <v>#DIV/0!</v>
      </c>
      <c r="BP246" s="493" t="e">
        <f t="shared" si="176"/>
        <v>#DIV/0!</v>
      </c>
      <c r="BQ246" s="493" t="e">
        <f t="shared" si="177"/>
        <v>#DIV/0!</v>
      </c>
      <c r="BR246" s="493" t="e">
        <f t="shared" si="178"/>
        <v>#DIV/0!</v>
      </c>
      <c r="BS246" s="493" t="e">
        <f t="shared" si="179"/>
        <v>#DIV/0!</v>
      </c>
      <c r="BT246" s="493" t="e">
        <f t="shared" si="180"/>
        <v>#DIV/0!</v>
      </c>
      <c r="BU246" s="493" t="e">
        <f t="shared" si="181"/>
        <v>#DIV/0!</v>
      </c>
      <c r="BV246" s="493" t="e">
        <f t="shared" si="182"/>
        <v>#DIV/0!</v>
      </c>
      <c r="BW246" s="493" t="e">
        <f t="shared" si="183"/>
        <v>#DIV/0!</v>
      </c>
      <c r="BX246" s="493" t="e">
        <f t="shared" si="184"/>
        <v>#DIV/0!</v>
      </c>
      <c r="BY246" s="493" t="e">
        <f t="shared" si="185"/>
        <v>#DIV/0!</v>
      </c>
    </row>
    <row r="247" spans="1:77" s="28" customFormat="1" ht="9" customHeight="1">
      <c r="A247" s="278">
        <v>203</v>
      </c>
      <c r="B247" s="276" t="s">
        <v>862</v>
      </c>
      <c r="C247" s="249">
        <v>5744.2</v>
      </c>
      <c r="D247" s="376"/>
      <c r="E247" s="368" t="s">
        <v>1005</v>
      </c>
      <c r="F247" s="249"/>
      <c r="G247" s="249"/>
      <c r="H247" s="368">
        <v>5166033</v>
      </c>
      <c r="I247" s="368">
        <f t="shared" ref="I247" si="219">J247+L247+N247+P247+R247+T247</f>
        <v>0</v>
      </c>
      <c r="J247" s="217">
        <v>0</v>
      </c>
      <c r="K247" s="469">
        <v>0</v>
      </c>
      <c r="L247" s="217">
        <v>0</v>
      </c>
      <c r="M247" s="469">
        <v>0</v>
      </c>
      <c r="N247" s="217">
        <v>0</v>
      </c>
      <c r="O247" s="249">
        <v>0</v>
      </c>
      <c r="P247" s="368">
        <v>0</v>
      </c>
      <c r="Q247" s="249">
        <v>0</v>
      </c>
      <c r="R247" s="368">
        <v>0</v>
      </c>
      <c r="S247" s="249">
        <v>0</v>
      </c>
      <c r="T247" s="368">
        <v>0</v>
      </c>
      <c r="U247" s="130">
        <v>0</v>
      </c>
      <c r="V247" s="368">
        <v>0</v>
      </c>
      <c r="W247" s="368">
        <v>1549.5</v>
      </c>
      <c r="X247" s="368">
        <f>ROUND(H247/100*95.5-0.01,2)</f>
        <v>4933561.51</v>
      </c>
      <c r="Y247" s="370">
        <v>0</v>
      </c>
      <c r="Z247" s="370">
        <v>0</v>
      </c>
      <c r="AA247" s="370">
        <v>0</v>
      </c>
      <c r="AB247" s="370">
        <v>0</v>
      </c>
      <c r="AC247" s="370">
        <v>0</v>
      </c>
      <c r="AD247" s="370">
        <v>0</v>
      </c>
      <c r="AE247" s="370">
        <v>0</v>
      </c>
      <c r="AF247" s="370">
        <v>0</v>
      </c>
      <c r="AG247" s="370">
        <v>0</v>
      </c>
      <c r="AH247" s="370">
        <v>0</v>
      </c>
      <c r="AI247" s="370">
        <v>0</v>
      </c>
      <c r="AJ247" s="370">
        <f t="shared" ref="AJ247" si="220">ROUND(H247/100*3,2)</f>
        <v>154980.99</v>
      </c>
      <c r="AK247" s="370">
        <f t="shared" ref="AK247" si="221">ROUND(H247/100*1.5,2)</f>
        <v>77490.5</v>
      </c>
      <c r="AL247" s="370">
        <v>0</v>
      </c>
      <c r="AM247" s="480"/>
      <c r="AN247" s="480"/>
      <c r="AP247" s="486" t="e">
        <f t="shared" si="158"/>
        <v>#DIV/0!</v>
      </c>
      <c r="AQ247" s="486" t="e">
        <f t="shared" si="164"/>
        <v>#DIV/0!</v>
      </c>
      <c r="AR247" s="486" t="e">
        <f t="shared" si="165"/>
        <v>#DIV/0!</v>
      </c>
      <c r="AS247" s="486" t="e">
        <f t="shared" si="166"/>
        <v>#DIV/0!</v>
      </c>
      <c r="AT247" s="486" t="e">
        <f t="shared" si="167"/>
        <v>#DIV/0!</v>
      </c>
      <c r="AU247" s="486" t="e">
        <f t="shared" si="168"/>
        <v>#DIV/0!</v>
      </c>
      <c r="AV247" s="486" t="e">
        <f t="shared" si="169"/>
        <v>#DIV/0!</v>
      </c>
      <c r="AW247" s="486">
        <f t="shared" si="170"/>
        <v>3183.9699967731526</v>
      </c>
      <c r="AX247" s="486" t="e">
        <f t="shared" si="171"/>
        <v>#DIV/0!</v>
      </c>
      <c r="AY247" s="486" t="e">
        <f t="shared" si="172"/>
        <v>#DIV/0!</v>
      </c>
      <c r="AZ247" s="486" t="e">
        <f t="shared" si="173"/>
        <v>#DIV/0!</v>
      </c>
      <c r="BA247" s="486">
        <f t="shared" si="159"/>
        <v>0</v>
      </c>
      <c r="BB247" s="494">
        <v>5155.41</v>
      </c>
      <c r="BC247" s="494">
        <v>2070.12</v>
      </c>
      <c r="BD247" s="494">
        <v>848.92</v>
      </c>
      <c r="BE247" s="494">
        <v>819.73</v>
      </c>
      <c r="BF247" s="494">
        <v>611.5</v>
      </c>
      <c r="BG247" s="494">
        <v>1080.04</v>
      </c>
      <c r="BH247" s="494">
        <v>2671800.0099999998</v>
      </c>
      <c r="BI247" s="494">
        <f t="shared" si="192"/>
        <v>4607.6000000000004</v>
      </c>
      <c r="BJ247" s="494">
        <v>14289.54</v>
      </c>
      <c r="BK247" s="494">
        <v>3389.61</v>
      </c>
      <c r="BL247" s="494">
        <v>5995.76</v>
      </c>
      <c r="BM247" s="494">
        <v>548.62</v>
      </c>
      <c r="BN247" s="495" t="e">
        <f t="shared" si="174"/>
        <v>#DIV/0!</v>
      </c>
      <c r="BO247" s="495" t="e">
        <f t="shared" si="175"/>
        <v>#DIV/0!</v>
      </c>
      <c r="BP247" s="495" t="e">
        <f t="shared" si="176"/>
        <v>#DIV/0!</v>
      </c>
      <c r="BQ247" s="495" t="e">
        <f t="shared" si="177"/>
        <v>#DIV/0!</v>
      </c>
      <c r="BR247" s="495" t="e">
        <f t="shared" si="178"/>
        <v>#DIV/0!</v>
      </c>
      <c r="BS247" s="495" t="e">
        <f t="shared" si="179"/>
        <v>#DIV/0!</v>
      </c>
      <c r="BT247" s="495" t="e">
        <f t="shared" si="180"/>
        <v>#DIV/0!</v>
      </c>
      <c r="BU247" s="495" t="str">
        <f t="shared" si="181"/>
        <v xml:space="preserve"> </v>
      </c>
      <c r="BV247" s="495" t="e">
        <f t="shared" si="182"/>
        <v>#DIV/0!</v>
      </c>
      <c r="BW247" s="495" t="e">
        <f t="shared" si="183"/>
        <v>#DIV/0!</v>
      </c>
      <c r="BX247" s="495" t="e">
        <f t="shared" si="184"/>
        <v>#DIV/0!</v>
      </c>
      <c r="BY247" s="495" t="str">
        <f t="shared" si="185"/>
        <v xml:space="preserve"> </v>
      </c>
    </row>
    <row r="248" spans="1:77" s="28" customFormat="1" ht="9" customHeight="1">
      <c r="A248" s="278">
        <v>204</v>
      </c>
      <c r="B248" s="276" t="s">
        <v>863</v>
      </c>
      <c r="C248" s="249">
        <v>6094.5</v>
      </c>
      <c r="D248" s="376"/>
      <c r="E248" s="368" t="s">
        <v>1005</v>
      </c>
      <c r="F248" s="249"/>
      <c r="G248" s="249"/>
      <c r="H248" s="368">
        <v>5652130.2000000002</v>
      </c>
      <c r="I248" s="368">
        <f t="shared" ref="I248:I257" si="222">J248+L248+N248+P248+R248+T248</f>
        <v>0</v>
      </c>
      <c r="J248" s="217">
        <v>0</v>
      </c>
      <c r="K248" s="469">
        <v>0</v>
      </c>
      <c r="L248" s="217">
        <v>0</v>
      </c>
      <c r="M248" s="469">
        <v>0</v>
      </c>
      <c r="N248" s="217">
        <v>0</v>
      </c>
      <c r="O248" s="249">
        <v>0</v>
      </c>
      <c r="P248" s="368">
        <v>0</v>
      </c>
      <c r="Q248" s="249">
        <v>0</v>
      </c>
      <c r="R248" s="368">
        <v>0</v>
      </c>
      <c r="S248" s="249">
        <v>0</v>
      </c>
      <c r="T248" s="368">
        <v>0</v>
      </c>
      <c r="U248" s="130">
        <v>0</v>
      </c>
      <c r="V248" s="368">
        <v>0</v>
      </c>
      <c r="W248" s="368">
        <v>1695.3</v>
      </c>
      <c r="X248" s="368">
        <f>ROUND(H248/100*95.5,2)</f>
        <v>5397784.3399999999</v>
      </c>
      <c r="Y248" s="370">
        <v>0</v>
      </c>
      <c r="Z248" s="370">
        <v>0</v>
      </c>
      <c r="AA248" s="370">
        <v>0</v>
      </c>
      <c r="AB248" s="370">
        <v>0</v>
      </c>
      <c r="AC248" s="370">
        <v>0</v>
      </c>
      <c r="AD248" s="370">
        <v>0</v>
      </c>
      <c r="AE248" s="370">
        <v>0</v>
      </c>
      <c r="AF248" s="370">
        <v>0</v>
      </c>
      <c r="AG248" s="370">
        <v>0</v>
      </c>
      <c r="AH248" s="370">
        <v>0</v>
      </c>
      <c r="AI248" s="370">
        <v>0</v>
      </c>
      <c r="AJ248" s="370">
        <f t="shared" ref="AJ248:AJ257" si="223">ROUND(H248/100*3,2)</f>
        <v>169563.91</v>
      </c>
      <c r="AK248" s="370">
        <f t="shared" ref="AK248:AK257" si="224">ROUND(H248/100*1.5,2)</f>
        <v>84781.95</v>
      </c>
      <c r="AL248" s="370">
        <v>0</v>
      </c>
      <c r="AM248" s="480"/>
      <c r="AN248" s="480"/>
      <c r="AP248" s="486" t="e">
        <f t="shared" si="158"/>
        <v>#DIV/0!</v>
      </c>
      <c r="AQ248" s="486" t="e">
        <f t="shared" si="164"/>
        <v>#DIV/0!</v>
      </c>
      <c r="AR248" s="486" t="e">
        <f t="shared" si="165"/>
        <v>#DIV/0!</v>
      </c>
      <c r="AS248" s="486" t="e">
        <f t="shared" si="166"/>
        <v>#DIV/0!</v>
      </c>
      <c r="AT248" s="486" t="e">
        <f t="shared" si="167"/>
        <v>#DIV/0!</v>
      </c>
      <c r="AU248" s="486" t="e">
        <f t="shared" si="168"/>
        <v>#DIV/0!</v>
      </c>
      <c r="AV248" s="486" t="e">
        <f t="shared" si="169"/>
        <v>#DIV/0!</v>
      </c>
      <c r="AW248" s="486">
        <f t="shared" si="170"/>
        <v>3183.9699994101338</v>
      </c>
      <c r="AX248" s="486" t="e">
        <f t="shared" si="171"/>
        <v>#DIV/0!</v>
      </c>
      <c r="AY248" s="486" t="e">
        <f t="shared" si="172"/>
        <v>#DIV/0!</v>
      </c>
      <c r="AZ248" s="486" t="e">
        <f t="shared" si="173"/>
        <v>#DIV/0!</v>
      </c>
      <c r="BA248" s="486">
        <f t="shared" si="159"/>
        <v>0</v>
      </c>
      <c r="BB248" s="494">
        <v>5155.41</v>
      </c>
      <c r="BC248" s="494">
        <v>2070.12</v>
      </c>
      <c r="BD248" s="494">
        <v>848.92</v>
      </c>
      <c r="BE248" s="494">
        <v>819.73</v>
      </c>
      <c r="BF248" s="494">
        <v>611.5</v>
      </c>
      <c r="BG248" s="494">
        <v>1080.04</v>
      </c>
      <c r="BH248" s="494">
        <v>2671800.0099999998</v>
      </c>
      <c r="BI248" s="494">
        <f t="shared" si="192"/>
        <v>4607.6000000000004</v>
      </c>
      <c r="BJ248" s="494">
        <v>14289.54</v>
      </c>
      <c r="BK248" s="494">
        <v>3389.61</v>
      </c>
      <c r="BL248" s="494">
        <v>5995.76</v>
      </c>
      <c r="BM248" s="494">
        <v>548.62</v>
      </c>
      <c r="BN248" s="495" t="e">
        <f t="shared" si="174"/>
        <v>#DIV/0!</v>
      </c>
      <c r="BO248" s="495" t="e">
        <f t="shared" si="175"/>
        <v>#DIV/0!</v>
      </c>
      <c r="BP248" s="495" t="e">
        <f t="shared" si="176"/>
        <v>#DIV/0!</v>
      </c>
      <c r="BQ248" s="495" t="e">
        <f t="shared" si="177"/>
        <v>#DIV/0!</v>
      </c>
      <c r="BR248" s="495" t="e">
        <f t="shared" si="178"/>
        <v>#DIV/0!</v>
      </c>
      <c r="BS248" s="495" t="e">
        <f t="shared" si="179"/>
        <v>#DIV/0!</v>
      </c>
      <c r="BT248" s="495" t="e">
        <f t="shared" si="180"/>
        <v>#DIV/0!</v>
      </c>
      <c r="BU248" s="495" t="str">
        <f t="shared" si="181"/>
        <v xml:space="preserve"> </v>
      </c>
      <c r="BV248" s="495" t="e">
        <f t="shared" si="182"/>
        <v>#DIV/0!</v>
      </c>
      <c r="BW248" s="495" t="e">
        <f t="shared" si="183"/>
        <v>#DIV/0!</v>
      </c>
      <c r="BX248" s="495" t="e">
        <f t="shared" si="184"/>
        <v>#DIV/0!</v>
      </c>
      <c r="BY248" s="495" t="str">
        <f t="shared" si="185"/>
        <v xml:space="preserve"> </v>
      </c>
    </row>
    <row r="249" spans="1:77" s="28" customFormat="1" ht="9" customHeight="1">
      <c r="A249" s="366">
        <v>205</v>
      </c>
      <c r="B249" s="276" t="s">
        <v>864</v>
      </c>
      <c r="C249" s="249">
        <v>922.2</v>
      </c>
      <c r="D249" s="376"/>
      <c r="E249" s="368" t="s">
        <v>1006</v>
      </c>
      <c r="F249" s="249"/>
      <c r="G249" s="249"/>
      <c r="H249" s="368">
        <v>3084589.2</v>
      </c>
      <c r="I249" s="368">
        <f t="shared" si="222"/>
        <v>0</v>
      </c>
      <c r="J249" s="217">
        <v>0</v>
      </c>
      <c r="K249" s="469">
        <v>0</v>
      </c>
      <c r="L249" s="217">
        <v>0</v>
      </c>
      <c r="M249" s="469">
        <v>0</v>
      </c>
      <c r="N249" s="217">
        <v>0</v>
      </c>
      <c r="O249" s="249">
        <v>0</v>
      </c>
      <c r="P249" s="368">
        <v>0</v>
      </c>
      <c r="Q249" s="249">
        <v>0</v>
      </c>
      <c r="R249" s="368">
        <v>0</v>
      </c>
      <c r="S249" s="249">
        <v>0</v>
      </c>
      <c r="T249" s="368">
        <v>0</v>
      </c>
      <c r="U249" s="130">
        <v>0</v>
      </c>
      <c r="V249" s="368">
        <v>0</v>
      </c>
      <c r="W249" s="368">
        <v>953.8</v>
      </c>
      <c r="X249" s="368">
        <f>ROUND(H249/100*95.5-0.01,2)</f>
        <v>2945782.68</v>
      </c>
      <c r="Y249" s="370">
        <v>0</v>
      </c>
      <c r="Z249" s="370">
        <v>0</v>
      </c>
      <c r="AA249" s="370">
        <v>0</v>
      </c>
      <c r="AB249" s="370">
        <v>0</v>
      </c>
      <c r="AC249" s="370">
        <v>0</v>
      </c>
      <c r="AD249" s="370">
        <v>0</v>
      </c>
      <c r="AE249" s="370">
        <v>0</v>
      </c>
      <c r="AF249" s="370">
        <v>0</v>
      </c>
      <c r="AG249" s="370">
        <v>0</v>
      </c>
      <c r="AH249" s="370">
        <v>0</v>
      </c>
      <c r="AI249" s="370">
        <v>0</v>
      </c>
      <c r="AJ249" s="370">
        <f t="shared" si="223"/>
        <v>92537.68</v>
      </c>
      <c r="AK249" s="370">
        <f t="shared" si="224"/>
        <v>46268.84</v>
      </c>
      <c r="AL249" s="370">
        <v>0</v>
      </c>
      <c r="AM249" s="480"/>
      <c r="AN249" s="480"/>
      <c r="AP249" s="486" t="e">
        <f t="shared" si="158"/>
        <v>#DIV/0!</v>
      </c>
      <c r="AQ249" s="486" t="e">
        <f t="shared" si="164"/>
        <v>#DIV/0!</v>
      </c>
      <c r="AR249" s="486" t="e">
        <f t="shared" si="165"/>
        <v>#DIV/0!</v>
      </c>
      <c r="AS249" s="486" t="e">
        <f t="shared" si="166"/>
        <v>#DIV/0!</v>
      </c>
      <c r="AT249" s="486" t="e">
        <f t="shared" si="167"/>
        <v>#DIV/0!</v>
      </c>
      <c r="AU249" s="486" t="e">
        <f t="shared" si="168"/>
        <v>#DIV/0!</v>
      </c>
      <c r="AV249" s="486" t="e">
        <f t="shared" si="169"/>
        <v>#DIV/0!</v>
      </c>
      <c r="AW249" s="486">
        <f t="shared" si="170"/>
        <v>3088.4699937093733</v>
      </c>
      <c r="AX249" s="486" t="e">
        <f t="shared" si="171"/>
        <v>#DIV/0!</v>
      </c>
      <c r="AY249" s="486" t="e">
        <f t="shared" si="172"/>
        <v>#DIV/0!</v>
      </c>
      <c r="AZ249" s="486" t="e">
        <f t="shared" si="173"/>
        <v>#DIV/0!</v>
      </c>
      <c r="BA249" s="486">
        <f t="shared" si="159"/>
        <v>0</v>
      </c>
      <c r="BB249" s="494">
        <v>5155.41</v>
      </c>
      <c r="BC249" s="494">
        <v>2070.12</v>
      </c>
      <c r="BD249" s="494">
        <v>848.92</v>
      </c>
      <c r="BE249" s="494">
        <v>819.73</v>
      </c>
      <c r="BF249" s="494">
        <v>611.5</v>
      </c>
      <c r="BG249" s="494">
        <v>1080.04</v>
      </c>
      <c r="BH249" s="494">
        <v>2671800.0099999998</v>
      </c>
      <c r="BI249" s="494">
        <f t="shared" si="192"/>
        <v>4422.8500000000004</v>
      </c>
      <c r="BJ249" s="494">
        <v>14289.54</v>
      </c>
      <c r="BK249" s="494">
        <v>3389.61</v>
      </c>
      <c r="BL249" s="494">
        <v>5995.76</v>
      </c>
      <c r="BM249" s="494">
        <v>548.62</v>
      </c>
      <c r="BN249" s="495" t="e">
        <f t="shared" si="174"/>
        <v>#DIV/0!</v>
      </c>
      <c r="BO249" s="495" t="e">
        <f t="shared" si="175"/>
        <v>#DIV/0!</v>
      </c>
      <c r="BP249" s="495" t="e">
        <f t="shared" si="176"/>
        <v>#DIV/0!</v>
      </c>
      <c r="BQ249" s="495" t="e">
        <f t="shared" si="177"/>
        <v>#DIV/0!</v>
      </c>
      <c r="BR249" s="495" t="e">
        <f t="shared" si="178"/>
        <v>#DIV/0!</v>
      </c>
      <c r="BS249" s="495" t="e">
        <f t="shared" si="179"/>
        <v>#DIV/0!</v>
      </c>
      <c r="BT249" s="495" t="e">
        <f t="shared" si="180"/>
        <v>#DIV/0!</v>
      </c>
      <c r="BU249" s="495" t="str">
        <f t="shared" si="181"/>
        <v xml:space="preserve"> </v>
      </c>
      <c r="BV249" s="495" t="e">
        <f t="shared" si="182"/>
        <v>#DIV/0!</v>
      </c>
      <c r="BW249" s="495" t="e">
        <f t="shared" si="183"/>
        <v>#DIV/0!</v>
      </c>
      <c r="BX249" s="495" t="e">
        <f t="shared" si="184"/>
        <v>#DIV/0!</v>
      </c>
      <c r="BY249" s="495" t="str">
        <f t="shared" si="185"/>
        <v xml:space="preserve"> </v>
      </c>
    </row>
    <row r="250" spans="1:77" s="28" customFormat="1" ht="9" customHeight="1">
      <c r="A250" s="366">
        <v>206</v>
      </c>
      <c r="B250" s="276" t="s">
        <v>865</v>
      </c>
      <c r="C250" s="249">
        <v>1816.3</v>
      </c>
      <c r="D250" s="376"/>
      <c r="E250" s="368" t="s">
        <v>1006</v>
      </c>
      <c r="F250" s="249"/>
      <c r="G250" s="249"/>
      <c r="H250" s="368">
        <v>2120210.4</v>
      </c>
      <c r="I250" s="368">
        <f t="shared" si="222"/>
        <v>0</v>
      </c>
      <c r="J250" s="217">
        <v>0</v>
      </c>
      <c r="K250" s="469">
        <v>0</v>
      </c>
      <c r="L250" s="217">
        <v>0</v>
      </c>
      <c r="M250" s="469">
        <v>0</v>
      </c>
      <c r="N250" s="217">
        <v>0</v>
      </c>
      <c r="O250" s="249">
        <v>0</v>
      </c>
      <c r="P250" s="368">
        <v>0</v>
      </c>
      <c r="Q250" s="249">
        <v>0</v>
      </c>
      <c r="R250" s="368">
        <v>0</v>
      </c>
      <c r="S250" s="249">
        <v>0</v>
      </c>
      <c r="T250" s="368">
        <v>0</v>
      </c>
      <c r="U250" s="130">
        <v>0</v>
      </c>
      <c r="V250" s="368">
        <v>0</v>
      </c>
      <c r="W250" s="368">
        <v>655.6</v>
      </c>
      <c r="X250" s="368">
        <f>ROUND(H250/100*95.5,2)</f>
        <v>2024800.93</v>
      </c>
      <c r="Y250" s="370">
        <v>0</v>
      </c>
      <c r="Z250" s="370">
        <v>0</v>
      </c>
      <c r="AA250" s="370">
        <v>0</v>
      </c>
      <c r="AB250" s="370">
        <v>0</v>
      </c>
      <c r="AC250" s="370">
        <v>0</v>
      </c>
      <c r="AD250" s="370">
        <v>0</v>
      </c>
      <c r="AE250" s="370">
        <v>0</v>
      </c>
      <c r="AF250" s="370">
        <v>0</v>
      </c>
      <c r="AG250" s="370">
        <v>0</v>
      </c>
      <c r="AH250" s="370">
        <v>0</v>
      </c>
      <c r="AI250" s="370">
        <v>0</v>
      </c>
      <c r="AJ250" s="370">
        <f t="shared" si="223"/>
        <v>63606.31</v>
      </c>
      <c r="AK250" s="370">
        <f t="shared" si="224"/>
        <v>31803.16</v>
      </c>
      <c r="AL250" s="370">
        <v>0</v>
      </c>
      <c r="AM250" s="480"/>
      <c r="AN250" s="480"/>
      <c r="AP250" s="486" t="e">
        <f t="shared" si="158"/>
        <v>#DIV/0!</v>
      </c>
      <c r="AQ250" s="486" t="e">
        <f t="shared" si="164"/>
        <v>#DIV/0!</v>
      </c>
      <c r="AR250" s="486" t="e">
        <f t="shared" si="165"/>
        <v>#DIV/0!</v>
      </c>
      <c r="AS250" s="486" t="e">
        <f t="shared" si="166"/>
        <v>#DIV/0!</v>
      </c>
      <c r="AT250" s="486" t="e">
        <f t="shared" si="167"/>
        <v>#DIV/0!</v>
      </c>
      <c r="AU250" s="486" t="e">
        <f t="shared" si="168"/>
        <v>#DIV/0!</v>
      </c>
      <c r="AV250" s="486" t="e">
        <f t="shared" si="169"/>
        <v>#DIV/0!</v>
      </c>
      <c r="AW250" s="486">
        <f t="shared" si="170"/>
        <v>3088.469996949359</v>
      </c>
      <c r="AX250" s="486" t="e">
        <f t="shared" si="171"/>
        <v>#DIV/0!</v>
      </c>
      <c r="AY250" s="486" t="e">
        <f t="shared" si="172"/>
        <v>#DIV/0!</v>
      </c>
      <c r="AZ250" s="486" t="e">
        <f t="shared" si="173"/>
        <v>#DIV/0!</v>
      </c>
      <c r="BA250" s="486">
        <f t="shared" si="159"/>
        <v>0</v>
      </c>
      <c r="BB250" s="494">
        <v>5155.41</v>
      </c>
      <c r="BC250" s="494">
        <v>2070.12</v>
      </c>
      <c r="BD250" s="494">
        <v>848.92</v>
      </c>
      <c r="BE250" s="494">
        <v>819.73</v>
      </c>
      <c r="BF250" s="494">
        <v>611.5</v>
      </c>
      <c r="BG250" s="494">
        <v>1080.04</v>
      </c>
      <c r="BH250" s="494">
        <v>2671800.0099999998</v>
      </c>
      <c r="BI250" s="494">
        <f t="shared" si="192"/>
        <v>4422.8500000000004</v>
      </c>
      <c r="BJ250" s="494">
        <v>14289.54</v>
      </c>
      <c r="BK250" s="494">
        <v>3389.61</v>
      </c>
      <c r="BL250" s="494">
        <v>5995.76</v>
      </c>
      <c r="BM250" s="494">
        <v>548.62</v>
      </c>
      <c r="BN250" s="495" t="e">
        <f t="shared" si="174"/>
        <v>#DIV/0!</v>
      </c>
      <c r="BO250" s="495" t="e">
        <f t="shared" si="175"/>
        <v>#DIV/0!</v>
      </c>
      <c r="BP250" s="495" t="e">
        <f t="shared" si="176"/>
        <v>#DIV/0!</v>
      </c>
      <c r="BQ250" s="495" t="e">
        <f t="shared" si="177"/>
        <v>#DIV/0!</v>
      </c>
      <c r="BR250" s="495" t="e">
        <f t="shared" si="178"/>
        <v>#DIV/0!</v>
      </c>
      <c r="BS250" s="495" t="e">
        <f t="shared" si="179"/>
        <v>#DIV/0!</v>
      </c>
      <c r="BT250" s="495" t="e">
        <f t="shared" si="180"/>
        <v>#DIV/0!</v>
      </c>
      <c r="BU250" s="495" t="str">
        <f t="shared" si="181"/>
        <v xml:space="preserve"> </v>
      </c>
      <c r="BV250" s="495" t="e">
        <f t="shared" si="182"/>
        <v>#DIV/0!</v>
      </c>
      <c r="BW250" s="495" t="e">
        <f t="shared" si="183"/>
        <v>#DIV/0!</v>
      </c>
      <c r="BX250" s="495" t="e">
        <f t="shared" si="184"/>
        <v>#DIV/0!</v>
      </c>
      <c r="BY250" s="495" t="str">
        <f t="shared" si="185"/>
        <v xml:space="preserve"> </v>
      </c>
    </row>
    <row r="251" spans="1:77" s="28" customFormat="1" ht="9" customHeight="1">
      <c r="A251" s="366">
        <v>207</v>
      </c>
      <c r="B251" s="276" t="s">
        <v>866</v>
      </c>
      <c r="C251" s="249">
        <v>640.4</v>
      </c>
      <c r="D251" s="376"/>
      <c r="E251" s="368" t="s">
        <v>1006</v>
      </c>
      <c r="F251" s="249"/>
      <c r="G251" s="249"/>
      <c r="H251" s="368">
        <v>1963038</v>
      </c>
      <c r="I251" s="368">
        <f t="shared" si="222"/>
        <v>0</v>
      </c>
      <c r="J251" s="217">
        <v>0</v>
      </c>
      <c r="K251" s="469">
        <v>0</v>
      </c>
      <c r="L251" s="217">
        <v>0</v>
      </c>
      <c r="M251" s="469">
        <v>0</v>
      </c>
      <c r="N251" s="217">
        <v>0</v>
      </c>
      <c r="O251" s="249">
        <v>0</v>
      </c>
      <c r="P251" s="368">
        <v>0</v>
      </c>
      <c r="Q251" s="249">
        <v>0</v>
      </c>
      <c r="R251" s="368">
        <v>0</v>
      </c>
      <c r="S251" s="249">
        <v>0</v>
      </c>
      <c r="T251" s="368">
        <v>0</v>
      </c>
      <c r="U251" s="130">
        <v>0</v>
      </c>
      <c r="V251" s="368">
        <v>0</v>
      </c>
      <c r="W251" s="368">
        <v>607</v>
      </c>
      <c r="X251" s="368">
        <f>ROUND(H251/100*95.5,2)</f>
        <v>1874701.29</v>
      </c>
      <c r="Y251" s="370">
        <v>0</v>
      </c>
      <c r="Z251" s="370">
        <v>0</v>
      </c>
      <c r="AA251" s="370">
        <v>0</v>
      </c>
      <c r="AB251" s="370">
        <v>0</v>
      </c>
      <c r="AC251" s="370">
        <v>0</v>
      </c>
      <c r="AD251" s="370">
        <v>0</v>
      </c>
      <c r="AE251" s="370">
        <v>0</v>
      </c>
      <c r="AF251" s="370">
        <v>0</v>
      </c>
      <c r="AG251" s="370">
        <v>0</v>
      </c>
      <c r="AH251" s="370">
        <v>0</v>
      </c>
      <c r="AI251" s="370">
        <v>0</v>
      </c>
      <c r="AJ251" s="370">
        <f t="shared" si="223"/>
        <v>58891.14</v>
      </c>
      <c r="AK251" s="370">
        <f t="shared" si="224"/>
        <v>29445.57</v>
      </c>
      <c r="AL251" s="370">
        <v>0</v>
      </c>
      <c r="AM251" s="480"/>
      <c r="AN251" s="480"/>
      <c r="AP251" s="486" t="e">
        <f t="shared" si="158"/>
        <v>#DIV/0!</v>
      </c>
      <c r="AQ251" s="486" t="e">
        <f t="shared" si="164"/>
        <v>#DIV/0!</v>
      </c>
      <c r="AR251" s="486" t="e">
        <f t="shared" si="165"/>
        <v>#DIV/0!</v>
      </c>
      <c r="AS251" s="486" t="e">
        <f t="shared" si="166"/>
        <v>#DIV/0!</v>
      </c>
      <c r="AT251" s="486" t="e">
        <f t="shared" si="167"/>
        <v>#DIV/0!</v>
      </c>
      <c r="AU251" s="486" t="e">
        <f t="shared" si="168"/>
        <v>#DIV/0!</v>
      </c>
      <c r="AV251" s="486" t="e">
        <f t="shared" si="169"/>
        <v>#DIV/0!</v>
      </c>
      <c r="AW251" s="486">
        <f t="shared" si="170"/>
        <v>3088.4700000000003</v>
      </c>
      <c r="AX251" s="486" t="e">
        <f t="shared" si="171"/>
        <v>#DIV/0!</v>
      </c>
      <c r="AY251" s="486" t="e">
        <f t="shared" si="172"/>
        <v>#DIV/0!</v>
      </c>
      <c r="AZ251" s="486" t="e">
        <f t="shared" si="173"/>
        <v>#DIV/0!</v>
      </c>
      <c r="BA251" s="486">
        <f t="shared" si="159"/>
        <v>0</v>
      </c>
      <c r="BB251" s="494">
        <v>5155.41</v>
      </c>
      <c r="BC251" s="494">
        <v>2070.12</v>
      </c>
      <c r="BD251" s="494">
        <v>848.92</v>
      </c>
      <c r="BE251" s="494">
        <v>819.73</v>
      </c>
      <c r="BF251" s="494">
        <v>611.5</v>
      </c>
      <c r="BG251" s="494">
        <v>1080.04</v>
      </c>
      <c r="BH251" s="494">
        <v>2671800.0099999998</v>
      </c>
      <c r="BI251" s="494">
        <f t="shared" si="192"/>
        <v>4422.8500000000004</v>
      </c>
      <c r="BJ251" s="494">
        <v>14289.54</v>
      </c>
      <c r="BK251" s="494">
        <v>3389.61</v>
      </c>
      <c r="BL251" s="494">
        <v>5995.76</v>
      </c>
      <c r="BM251" s="494">
        <v>548.62</v>
      </c>
      <c r="BN251" s="495" t="e">
        <f t="shared" si="174"/>
        <v>#DIV/0!</v>
      </c>
      <c r="BO251" s="495" t="e">
        <f t="shared" si="175"/>
        <v>#DIV/0!</v>
      </c>
      <c r="BP251" s="495" t="e">
        <f t="shared" si="176"/>
        <v>#DIV/0!</v>
      </c>
      <c r="BQ251" s="495" t="e">
        <f t="shared" si="177"/>
        <v>#DIV/0!</v>
      </c>
      <c r="BR251" s="495" t="e">
        <f t="shared" si="178"/>
        <v>#DIV/0!</v>
      </c>
      <c r="BS251" s="495" t="e">
        <f t="shared" si="179"/>
        <v>#DIV/0!</v>
      </c>
      <c r="BT251" s="495" t="e">
        <f t="shared" si="180"/>
        <v>#DIV/0!</v>
      </c>
      <c r="BU251" s="495" t="str">
        <f t="shared" si="181"/>
        <v xml:space="preserve"> </v>
      </c>
      <c r="BV251" s="495" t="e">
        <f t="shared" si="182"/>
        <v>#DIV/0!</v>
      </c>
      <c r="BW251" s="495" t="e">
        <f t="shared" si="183"/>
        <v>#DIV/0!</v>
      </c>
      <c r="BX251" s="495" t="e">
        <f t="shared" si="184"/>
        <v>#DIV/0!</v>
      </c>
      <c r="BY251" s="495" t="str">
        <f t="shared" si="185"/>
        <v xml:space="preserve"> </v>
      </c>
    </row>
    <row r="252" spans="1:77" s="28" customFormat="1" ht="9" customHeight="1">
      <c r="A252" s="366">
        <v>208</v>
      </c>
      <c r="B252" s="276" t="s">
        <v>867</v>
      </c>
      <c r="C252" s="249">
        <v>3115</v>
      </c>
      <c r="D252" s="376"/>
      <c r="E252" s="368" t="s">
        <v>1006</v>
      </c>
      <c r="F252" s="249"/>
      <c r="G252" s="249"/>
      <c r="H252" s="368">
        <v>4482970.8</v>
      </c>
      <c r="I252" s="368">
        <f t="shared" si="222"/>
        <v>0</v>
      </c>
      <c r="J252" s="217">
        <v>0</v>
      </c>
      <c r="K252" s="469">
        <v>0</v>
      </c>
      <c r="L252" s="217">
        <v>0</v>
      </c>
      <c r="M252" s="469">
        <v>0</v>
      </c>
      <c r="N252" s="217">
        <v>0</v>
      </c>
      <c r="O252" s="249">
        <v>0</v>
      </c>
      <c r="P252" s="368">
        <v>0</v>
      </c>
      <c r="Q252" s="249">
        <v>0</v>
      </c>
      <c r="R252" s="368">
        <v>0</v>
      </c>
      <c r="S252" s="249">
        <v>0</v>
      </c>
      <c r="T252" s="368">
        <v>0</v>
      </c>
      <c r="U252" s="130">
        <v>0</v>
      </c>
      <c r="V252" s="368">
        <v>0</v>
      </c>
      <c r="W252" s="368">
        <v>1386.2</v>
      </c>
      <c r="X252" s="368">
        <f>ROUND(H252/100*95.5+0.01,2)</f>
        <v>4281237.12</v>
      </c>
      <c r="Y252" s="370">
        <v>0</v>
      </c>
      <c r="Z252" s="370">
        <v>0</v>
      </c>
      <c r="AA252" s="370">
        <v>0</v>
      </c>
      <c r="AB252" s="370">
        <v>0</v>
      </c>
      <c r="AC252" s="370">
        <v>0</v>
      </c>
      <c r="AD252" s="370">
        <v>0</v>
      </c>
      <c r="AE252" s="370">
        <v>0</v>
      </c>
      <c r="AF252" s="370">
        <v>0</v>
      </c>
      <c r="AG252" s="370">
        <v>0</v>
      </c>
      <c r="AH252" s="370">
        <v>0</v>
      </c>
      <c r="AI252" s="370">
        <v>0</v>
      </c>
      <c r="AJ252" s="370">
        <f t="shared" si="223"/>
        <v>134489.12</v>
      </c>
      <c r="AK252" s="370">
        <f t="shared" si="224"/>
        <v>67244.56</v>
      </c>
      <c r="AL252" s="370">
        <v>0</v>
      </c>
      <c r="AM252" s="480"/>
      <c r="AN252" s="480"/>
      <c r="AP252" s="486" t="e">
        <f t="shared" si="158"/>
        <v>#DIV/0!</v>
      </c>
      <c r="AQ252" s="486" t="e">
        <f t="shared" si="164"/>
        <v>#DIV/0!</v>
      </c>
      <c r="AR252" s="486" t="e">
        <f t="shared" si="165"/>
        <v>#DIV/0!</v>
      </c>
      <c r="AS252" s="486" t="e">
        <f t="shared" si="166"/>
        <v>#DIV/0!</v>
      </c>
      <c r="AT252" s="486" t="e">
        <f t="shared" si="167"/>
        <v>#DIV/0!</v>
      </c>
      <c r="AU252" s="486" t="e">
        <f t="shared" si="168"/>
        <v>#DIV/0!</v>
      </c>
      <c r="AV252" s="486" t="e">
        <f t="shared" si="169"/>
        <v>#DIV/0!</v>
      </c>
      <c r="AW252" s="486">
        <f t="shared" si="170"/>
        <v>3088.4700043283797</v>
      </c>
      <c r="AX252" s="486" t="e">
        <f t="shared" si="171"/>
        <v>#DIV/0!</v>
      </c>
      <c r="AY252" s="486" t="e">
        <f t="shared" si="172"/>
        <v>#DIV/0!</v>
      </c>
      <c r="AZ252" s="486" t="e">
        <f t="shared" si="173"/>
        <v>#DIV/0!</v>
      </c>
      <c r="BA252" s="486">
        <f t="shared" si="159"/>
        <v>0</v>
      </c>
      <c r="BB252" s="494">
        <v>5155.41</v>
      </c>
      <c r="BC252" s="494">
        <v>2070.12</v>
      </c>
      <c r="BD252" s="494">
        <v>848.92</v>
      </c>
      <c r="BE252" s="494">
        <v>819.73</v>
      </c>
      <c r="BF252" s="494">
        <v>611.5</v>
      </c>
      <c r="BG252" s="494">
        <v>1080.04</v>
      </c>
      <c r="BH252" s="494">
        <v>2671800.0099999998</v>
      </c>
      <c r="BI252" s="494">
        <f t="shared" si="192"/>
        <v>4422.8500000000004</v>
      </c>
      <c r="BJ252" s="494">
        <v>14289.54</v>
      </c>
      <c r="BK252" s="494">
        <v>3389.61</v>
      </c>
      <c r="BL252" s="494">
        <v>5995.76</v>
      </c>
      <c r="BM252" s="494">
        <v>548.62</v>
      </c>
      <c r="BN252" s="495" t="e">
        <f t="shared" si="174"/>
        <v>#DIV/0!</v>
      </c>
      <c r="BO252" s="495" t="e">
        <f t="shared" si="175"/>
        <v>#DIV/0!</v>
      </c>
      <c r="BP252" s="495" t="e">
        <f t="shared" si="176"/>
        <v>#DIV/0!</v>
      </c>
      <c r="BQ252" s="495" t="e">
        <f t="shared" si="177"/>
        <v>#DIV/0!</v>
      </c>
      <c r="BR252" s="495" t="e">
        <f t="shared" si="178"/>
        <v>#DIV/0!</v>
      </c>
      <c r="BS252" s="495" t="e">
        <f t="shared" si="179"/>
        <v>#DIV/0!</v>
      </c>
      <c r="BT252" s="495" t="e">
        <f t="shared" si="180"/>
        <v>#DIV/0!</v>
      </c>
      <c r="BU252" s="495" t="str">
        <f t="shared" si="181"/>
        <v xml:space="preserve"> </v>
      </c>
      <c r="BV252" s="495" t="e">
        <f t="shared" si="182"/>
        <v>#DIV/0!</v>
      </c>
      <c r="BW252" s="495" t="e">
        <f t="shared" si="183"/>
        <v>#DIV/0!</v>
      </c>
      <c r="BX252" s="495" t="e">
        <f t="shared" si="184"/>
        <v>#DIV/0!</v>
      </c>
      <c r="BY252" s="495" t="str">
        <f t="shared" si="185"/>
        <v xml:space="preserve"> </v>
      </c>
    </row>
    <row r="253" spans="1:77" s="28" customFormat="1" ht="9" customHeight="1">
      <c r="A253" s="366">
        <v>209</v>
      </c>
      <c r="B253" s="365" t="s">
        <v>868</v>
      </c>
      <c r="C253" s="249">
        <v>2545.1999999999998</v>
      </c>
      <c r="D253" s="376">
        <v>1361.2</v>
      </c>
      <c r="E253" s="368"/>
      <c r="F253" s="368"/>
      <c r="G253" s="368"/>
      <c r="H253" s="368">
        <v>7370797.3900000006</v>
      </c>
      <c r="I253" s="368">
        <f t="shared" si="222"/>
        <v>6254225.1500000004</v>
      </c>
      <c r="J253" s="205">
        <f>ROUND(0.955*(C253*370),2)</f>
        <v>899346.42</v>
      </c>
      <c r="K253" s="479">
        <v>1150</v>
      </c>
      <c r="L253" s="205">
        <f>ROUND(0.955*(C253*1200),2)</f>
        <v>2916799.2</v>
      </c>
      <c r="M253" s="465">
        <v>0</v>
      </c>
      <c r="N253" s="205">
        <f>ROUND(0.955*(C253*303.05),2)</f>
        <v>736613.33</v>
      </c>
      <c r="O253" s="249">
        <v>410</v>
      </c>
      <c r="P253" s="368">
        <f>ROUND(0.955*(C253*210),2)</f>
        <v>510439.86</v>
      </c>
      <c r="Q253" s="249">
        <v>310</v>
      </c>
      <c r="R253" s="368">
        <f>ROUND(0.955*(C253*270),2)</f>
        <v>656279.81999999995</v>
      </c>
      <c r="S253" s="249">
        <v>295</v>
      </c>
      <c r="T253" s="368">
        <f>ROUND(0.955*(C253*220),2)</f>
        <v>534746.52</v>
      </c>
      <c r="U253" s="130">
        <v>0</v>
      </c>
      <c r="V253" s="368">
        <v>0</v>
      </c>
      <c r="W253" s="368">
        <v>0</v>
      </c>
      <c r="X253" s="368">
        <v>0</v>
      </c>
      <c r="Y253" s="370">
        <v>0</v>
      </c>
      <c r="Z253" s="370">
        <v>0</v>
      </c>
      <c r="AA253" s="370">
        <v>0</v>
      </c>
      <c r="AB253" s="370">
        <v>0</v>
      </c>
      <c r="AC253" s="370">
        <v>0</v>
      </c>
      <c r="AD253" s="370">
        <v>0</v>
      </c>
      <c r="AE253" s="370">
        <v>0</v>
      </c>
      <c r="AF253" s="370">
        <v>0</v>
      </c>
      <c r="AG253" s="370">
        <v>0</v>
      </c>
      <c r="AH253" s="370">
        <v>0</v>
      </c>
      <c r="AI253" s="368">
        <f>ROUND(0.955*C253*322.91,2)</f>
        <v>784886.36</v>
      </c>
      <c r="AJ253" s="370">
        <f>ROUND(0.03*(210+220+1200+370+270+303.05+322.91)*C253,2)</f>
        <v>221123.92</v>
      </c>
      <c r="AK253" s="370">
        <f>ROUND(0.015*(210+220+1200+370+270+303.05+322.91)*C253,2)</f>
        <v>110561.96</v>
      </c>
      <c r="AL253" s="370">
        <v>0</v>
      </c>
      <c r="AM253" s="480"/>
      <c r="AN253" s="480"/>
      <c r="AP253" s="486">
        <f t="shared" si="158"/>
        <v>660.70116074052305</v>
      </c>
      <c r="AQ253" s="486">
        <f t="shared" si="164"/>
        <v>2536.3471304347827</v>
      </c>
      <c r="AR253" s="486" t="e">
        <f t="shared" si="165"/>
        <v>#DIV/0!</v>
      </c>
      <c r="AS253" s="486">
        <f t="shared" si="166"/>
        <v>1244.9752682926828</v>
      </c>
      <c r="AT253" s="486">
        <f t="shared" si="167"/>
        <v>2117.0316774193548</v>
      </c>
      <c r="AU253" s="486">
        <f t="shared" si="168"/>
        <v>1812.7000677966103</v>
      </c>
      <c r="AV253" s="486" t="e">
        <f t="shared" si="169"/>
        <v>#DIV/0!</v>
      </c>
      <c r="AW253" s="486" t="e">
        <f t="shared" si="170"/>
        <v>#DIV/0!</v>
      </c>
      <c r="AX253" s="486" t="e">
        <f t="shared" si="171"/>
        <v>#DIV/0!</v>
      </c>
      <c r="AY253" s="486" t="e">
        <f t="shared" si="172"/>
        <v>#DIV/0!</v>
      </c>
      <c r="AZ253" s="486" t="e">
        <f t="shared" si="173"/>
        <v>#DIV/0!</v>
      </c>
      <c r="BA253" s="486">
        <f t="shared" si="159"/>
        <v>308.37905076221909</v>
      </c>
      <c r="BB253" s="494">
        <v>5155.41</v>
      </c>
      <c r="BC253" s="494">
        <v>2070.12</v>
      </c>
      <c r="BD253" s="494">
        <v>848.92</v>
      </c>
      <c r="BE253" s="494">
        <v>819.73</v>
      </c>
      <c r="BF253" s="494">
        <v>611.5</v>
      </c>
      <c r="BG253" s="494">
        <v>1080.04</v>
      </c>
      <c r="BH253" s="494">
        <v>2671800.0099999998</v>
      </c>
      <c r="BI253" s="494">
        <f t="shared" si="192"/>
        <v>4422.8500000000004</v>
      </c>
      <c r="BJ253" s="494">
        <v>14289.54</v>
      </c>
      <c r="BK253" s="494">
        <v>3389.61</v>
      </c>
      <c r="BL253" s="494">
        <v>5995.76</v>
      </c>
      <c r="BM253" s="494">
        <v>548.62</v>
      </c>
      <c r="BN253" s="495" t="str">
        <f t="shared" si="174"/>
        <v xml:space="preserve"> </v>
      </c>
      <c r="BO253" s="495" t="str">
        <f t="shared" si="175"/>
        <v>+</v>
      </c>
      <c r="BP253" s="495" t="e">
        <f t="shared" si="176"/>
        <v>#DIV/0!</v>
      </c>
      <c r="BQ253" s="495" t="str">
        <f t="shared" si="177"/>
        <v>+</v>
      </c>
      <c r="BR253" s="495" t="str">
        <f t="shared" si="178"/>
        <v>+</v>
      </c>
      <c r="BS253" s="495" t="str">
        <f t="shared" si="179"/>
        <v>+</v>
      </c>
      <c r="BT253" s="495" t="e">
        <f t="shared" si="180"/>
        <v>#DIV/0!</v>
      </c>
      <c r="BU253" s="495" t="e">
        <f t="shared" si="181"/>
        <v>#DIV/0!</v>
      </c>
      <c r="BV253" s="495" t="e">
        <f t="shared" si="182"/>
        <v>#DIV/0!</v>
      </c>
      <c r="BW253" s="495" t="e">
        <f t="shared" si="183"/>
        <v>#DIV/0!</v>
      </c>
      <c r="BX253" s="495" t="e">
        <f t="shared" si="184"/>
        <v>#DIV/0!</v>
      </c>
      <c r="BY253" s="495" t="str">
        <f t="shared" si="185"/>
        <v xml:space="preserve"> </v>
      </c>
    </row>
    <row r="254" spans="1:77" s="28" customFormat="1" ht="9" customHeight="1">
      <c r="A254" s="366">
        <v>210</v>
      </c>
      <c r="B254" s="276" t="s">
        <v>869</v>
      </c>
      <c r="C254" s="249">
        <v>372.7</v>
      </c>
      <c r="D254" s="376"/>
      <c r="E254" s="368" t="s">
        <v>1005</v>
      </c>
      <c r="F254" s="249"/>
      <c r="G254" s="249"/>
      <c r="H254" s="368">
        <v>980196</v>
      </c>
      <c r="I254" s="368">
        <f t="shared" si="222"/>
        <v>0</v>
      </c>
      <c r="J254" s="217">
        <v>0</v>
      </c>
      <c r="K254" s="469">
        <v>0</v>
      </c>
      <c r="L254" s="217">
        <v>0</v>
      </c>
      <c r="M254" s="469">
        <v>0</v>
      </c>
      <c r="N254" s="217">
        <v>0</v>
      </c>
      <c r="O254" s="249">
        <v>0</v>
      </c>
      <c r="P254" s="368">
        <v>0</v>
      </c>
      <c r="Q254" s="249">
        <v>0</v>
      </c>
      <c r="R254" s="368">
        <v>0</v>
      </c>
      <c r="S254" s="249">
        <v>0</v>
      </c>
      <c r="T254" s="368">
        <v>0</v>
      </c>
      <c r="U254" s="130">
        <v>0</v>
      </c>
      <c r="V254" s="368">
        <v>0</v>
      </c>
      <c r="W254" s="368">
        <v>294</v>
      </c>
      <c r="X254" s="368">
        <f>ROUND(H254/100*95.5,2)</f>
        <v>936087.18</v>
      </c>
      <c r="Y254" s="370">
        <v>0</v>
      </c>
      <c r="Z254" s="370">
        <v>0</v>
      </c>
      <c r="AA254" s="370">
        <v>0</v>
      </c>
      <c r="AB254" s="370">
        <v>0</v>
      </c>
      <c r="AC254" s="370">
        <v>0</v>
      </c>
      <c r="AD254" s="370">
        <v>0</v>
      </c>
      <c r="AE254" s="370">
        <v>0</v>
      </c>
      <c r="AF254" s="370">
        <v>0</v>
      </c>
      <c r="AG254" s="370">
        <v>0</v>
      </c>
      <c r="AH254" s="370">
        <v>0</v>
      </c>
      <c r="AI254" s="370">
        <v>0</v>
      </c>
      <c r="AJ254" s="370">
        <f t="shared" si="223"/>
        <v>29405.88</v>
      </c>
      <c r="AK254" s="370">
        <f t="shared" si="224"/>
        <v>14702.94</v>
      </c>
      <c r="AL254" s="370">
        <v>0</v>
      </c>
      <c r="AM254" s="480"/>
      <c r="AN254" s="480"/>
      <c r="AP254" s="486" t="e">
        <f t="shared" si="158"/>
        <v>#DIV/0!</v>
      </c>
      <c r="AQ254" s="486" t="e">
        <f t="shared" si="164"/>
        <v>#DIV/0!</v>
      </c>
      <c r="AR254" s="486" t="e">
        <f t="shared" si="165"/>
        <v>#DIV/0!</v>
      </c>
      <c r="AS254" s="486" t="e">
        <f t="shared" si="166"/>
        <v>#DIV/0!</v>
      </c>
      <c r="AT254" s="486" t="e">
        <f t="shared" si="167"/>
        <v>#DIV/0!</v>
      </c>
      <c r="AU254" s="486" t="e">
        <f t="shared" si="168"/>
        <v>#DIV/0!</v>
      </c>
      <c r="AV254" s="486" t="e">
        <f t="shared" si="169"/>
        <v>#DIV/0!</v>
      </c>
      <c r="AW254" s="486">
        <f t="shared" si="170"/>
        <v>3183.9700000000003</v>
      </c>
      <c r="AX254" s="486" t="e">
        <f t="shared" si="171"/>
        <v>#DIV/0!</v>
      </c>
      <c r="AY254" s="486" t="e">
        <f t="shared" si="172"/>
        <v>#DIV/0!</v>
      </c>
      <c r="AZ254" s="486" t="e">
        <f t="shared" si="173"/>
        <v>#DIV/0!</v>
      </c>
      <c r="BA254" s="486">
        <f t="shared" si="159"/>
        <v>0</v>
      </c>
      <c r="BB254" s="494">
        <v>5155.41</v>
      </c>
      <c r="BC254" s="494">
        <v>2070.12</v>
      </c>
      <c r="BD254" s="494">
        <v>848.92</v>
      </c>
      <c r="BE254" s="494">
        <v>819.73</v>
      </c>
      <c r="BF254" s="494">
        <v>611.5</v>
      </c>
      <c r="BG254" s="494">
        <v>1080.04</v>
      </c>
      <c r="BH254" s="494">
        <v>2671800.0099999998</v>
      </c>
      <c r="BI254" s="494">
        <f t="shared" si="192"/>
        <v>4607.6000000000004</v>
      </c>
      <c r="BJ254" s="494">
        <v>14289.54</v>
      </c>
      <c r="BK254" s="494">
        <v>3389.61</v>
      </c>
      <c r="BL254" s="494">
        <v>5995.76</v>
      </c>
      <c r="BM254" s="494">
        <v>548.62</v>
      </c>
      <c r="BN254" s="495" t="e">
        <f t="shared" si="174"/>
        <v>#DIV/0!</v>
      </c>
      <c r="BO254" s="495" t="e">
        <f t="shared" si="175"/>
        <v>#DIV/0!</v>
      </c>
      <c r="BP254" s="495" t="e">
        <f t="shared" si="176"/>
        <v>#DIV/0!</v>
      </c>
      <c r="BQ254" s="495" t="e">
        <f t="shared" si="177"/>
        <v>#DIV/0!</v>
      </c>
      <c r="BR254" s="495" t="e">
        <f t="shared" si="178"/>
        <v>#DIV/0!</v>
      </c>
      <c r="BS254" s="495" t="e">
        <f t="shared" si="179"/>
        <v>#DIV/0!</v>
      </c>
      <c r="BT254" s="495" t="e">
        <f t="shared" si="180"/>
        <v>#DIV/0!</v>
      </c>
      <c r="BU254" s="495" t="str">
        <f t="shared" si="181"/>
        <v xml:space="preserve"> </v>
      </c>
      <c r="BV254" s="495" t="e">
        <f t="shared" si="182"/>
        <v>#DIV/0!</v>
      </c>
      <c r="BW254" s="495" t="e">
        <f t="shared" si="183"/>
        <v>#DIV/0!</v>
      </c>
      <c r="BX254" s="495" t="e">
        <f t="shared" si="184"/>
        <v>#DIV/0!</v>
      </c>
      <c r="BY254" s="495" t="str">
        <f t="shared" si="185"/>
        <v xml:space="preserve"> </v>
      </c>
    </row>
    <row r="255" spans="1:77" s="28" customFormat="1" ht="9" customHeight="1">
      <c r="A255" s="366">
        <v>211</v>
      </c>
      <c r="B255" s="276" t="s">
        <v>870</v>
      </c>
      <c r="C255" s="249">
        <v>972.4</v>
      </c>
      <c r="D255" s="376"/>
      <c r="E255" s="368" t="s">
        <v>1006</v>
      </c>
      <c r="F255" s="249"/>
      <c r="G255" s="249"/>
      <c r="H255" s="368">
        <v>2164432.7999999998</v>
      </c>
      <c r="I255" s="368">
        <f t="shared" si="222"/>
        <v>0</v>
      </c>
      <c r="J255" s="217">
        <v>0</v>
      </c>
      <c r="K255" s="469">
        <v>0</v>
      </c>
      <c r="L255" s="217">
        <v>0</v>
      </c>
      <c r="M255" s="469">
        <v>0</v>
      </c>
      <c r="N255" s="217">
        <v>0</v>
      </c>
      <c r="O255" s="249">
        <v>0</v>
      </c>
      <c r="P255" s="368">
        <v>0</v>
      </c>
      <c r="Q255" s="249">
        <v>0</v>
      </c>
      <c r="R255" s="368">
        <v>0</v>
      </c>
      <c r="S255" s="249">
        <v>0</v>
      </c>
      <c r="T255" s="368">
        <v>0</v>
      </c>
      <c r="U255" s="130">
        <v>0</v>
      </c>
      <c r="V255" s="368">
        <v>0</v>
      </c>
      <c r="W255" s="368">
        <v>649.20000000000005</v>
      </c>
      <c r="X255" s="368">
        <f>ROUND(H255/100*95.5+0.01,2)</f>
        <v>2067033.33</v>
      </c>
      <c r="Y255" s="370">
        <v>0</v>
      </c>
      <c r="Z255" s="370">
        <v>0</v>
      </c>
      <c r="AA255" s="370">
        <v>0</v>
      </c>
      <c r="AB255" s="370">
        <v>0</v>
      </c>
      <c r="AC255" s="370">
        <v>0</v>
      </c>
      <c r="AD255" s="370">
        <v>0</v>
      </c>
      <c r="AE255" s="370">
        <v>0</v>
      </c>
      <c r="AF255" s="370">
        <v>0</v>
      </c>
      <c r="AG255" s="370">
        <v>0</v>
      </c>
      <c r="AH255" s="370">
        <v>0</v>
      </c>
      <c r="AI255" s="370">
        <v>0</v>
      </c>
      <c r="AJ255" s="370">
        <f t="shared" si="223"/>
        <v>64932.98</v>
      </c>
      <c r="AK255" s="370">
        <f t="shared" si="224"/>
        <v>32466.49</v>
      </c>
      <c r="AL255" s="370">
        <v>0</v>
      </c>
      <c r="AM255" s="480"/>
      <c r="AN255" s="480"/>
      <c r="AP255" s="486" t="e">
        <f t="shared" si="158"/>
        <v>#DIV/0!</v>
      </c>
      <c r="AQ255" s="486" t="e">
        <f t="shared" si="164"/>
        <v>#DIV/0!</v>
      </c>
      <c r="AR255" s="486" t="e">
        <f t="shared" si="165"/>
        <v>#DIV/0!</v>
      </c>
      <c r="AS255" s="486" t="e">
        <f t="shared" si="166"/>
        <v>#DIV/0!</v>
      </c>
      <c r="AT255" s="486" t="e">
        <f t="shared" si="167"/>
        <v>#DIV/0!</v>
      </c>
      <c r="AU255" s="486" t="e">
        <f t="shared" si="168"/>
        <v>#DIV/0!</v>
      </c>
      <c r="AV255" s="486" t="e">
        <f t="shared" si="169"/>
        <v>#DIV/0!</v>
      </c>
      <c r="AW255" s="486">
        <f t="shared" si="170"/>
        <v>3183.970009242144</v>
      </c>
      <c r="AX255" s="486" t="e">
        <f t="shared" si="171"/>
        <v>#DIV/0!</v>
      </c>
      <c r="AY255" s="486" t="e">
        <f t="shared" si="172"/>
        <v>#DIV/0!</v>
      </c>
      <c r="AZ255" s="486" t="e">
        <f t="shared" si="173"/>
        <v>#DIV/0!</v>
      </c>
      <c r="BA255" s="486">
        <f t="shared" si="159"/>
        <v>0</v>
      </c>
      <c r="BB255" s="494">
        <v>5155.41</v>
      </c>
      <c r="BC255" s="494">
        <v>2070.12</v>
      </c>
      <c r="BD255" s="494">
        <v>848.92</v>
      </c>
      <c r="BE255" s="494">
        <v>819.73</v>
      </c>
      <c r="BF255" s="494">
        <v>611.5</v>
      </c>
      <c r="BG255" s="494">
        <v>1080.04</v>
      </c>
      <c r="BH255" s="494">
        <v>2671800.0099999998</v>
      </c>
      <c r="BI255" s="494">
        <f t="shared" si="192"/>
        <v>4422.8500000000004</v>
      </c>
      <c r="BJ255" s="494">
        <v>14289.54</v>
      </c>
      <c r="BK255" s="494">
        <v>3389.61</v>
      </c>
      <c r="BL255" s="494">
        <v>5995.76</v>
      </c>
      <c r="BM255" s="494">
        <v>548.62</v>
      </c>
      <c r="BN255" s="495" t="e">
        <f t="shared" si="174"/>
        <v>#DIV/0!</v>
      </c>
      <c r="BO255" s="495" t="e">
        <f t="shared" si="175"/>
        <v>#DIV/0!</v>
      </c>
      <c r="BP255" s="495" t="e">
        <f t="shared" si="176"/>
        <v>#DIV/0!</v>
      </c>
      <c r="BQ255" s="495" t="e">
        <f t="shared" si="177"/>
        <v>#DIV/0!</v>
      </c>
      <c r="BR255" s="495" t="e">
        <f t="shared" si="178"/>
        <v>#DIV/0!</v>
      </c>
      <c r="BS255" s="495" t="e">
        <f t="shared" si="179"/>
        <v>#DIV/0!</v>
      </c>
      <c r="BT255" s="495" t="e">
        <f t="shared" si="180"/>
        <v>#DIV/0!</v>
      </c>
      <c r="BU255" s="495" t="str">
        <f t="shared" si="181"/>
        <v xml:space="preserve"> </v>
      </c>
      <c r="BV255" s="495" t="e">
        <f t="shared" si="182"/>
        <v>#DIV/0!</v>
      </c>
      <c r="BW255" s="495" t="e">
        <f t="shared" si="183"/>
        <v>#DIV/0!</v>
      </c>
      <c r="BX255" s="495" t="e">
        <f t="shared" si="184"/>
        <v>#DIV/0!</v>
      </c>
      <c r="BY255" s="495" t="str">
        <f t="shared" si="185"/>
        <v xml:space="preserve"> </v>
      </c>
    </row>
    <row r="256" spans="1:77" s="28" customFormat="1" ht="9" customHeight="1">
      <c r="A256" s="366">
        <v>212</v>
      </c>
      <c r="B256" s="276" t="s">
        <v>871</v>
      </c>
      <c r="C256" s="249">
        <v>594.6</v>
      </c>
      <c r="D256" s="376"/>
      <c r="E256" s="368" t="s">
        <v>1006</v>
      </c>
      <c r="F256" s="249"/>
      <c r="G256" s="249"/>
      <c r="H256" s="368">
        <v>1269345</v>
      </c>
      <c r="I256" s="368">
        <f t="shared" si="222"/>
        <v>0</v>
      </c>
      <c r="J256" s="217">
        <v>0</v>
      </c>
      <c r="K256" s="469">
        <v>0</v>
      </c>
      <c r="L256" s="217">
        <v>0</v>
      </c>
      <c r="M256" s="469">
        <v>0</v>
      </c>
      <c r="N256" s="217">
        <v>0</v>
      </c>
      <c r="O256" s="249">
        <v>0</v>
      </c>
      <c r="P256" s="368">
        <v>0</v>
      </c>
      <c r="Q256" s="249">
        <v>0</v>
      </c>
      <c r="R256" s="368">
        <v>0</v>
      </c>
      <c r="S256" s="249">
        <v>0</v>
      </c>
      <c r="T256" s="368">
        <v>0</v>
      </c>
      <c r="U256" s="130">
        <v>0</v>
      </c>
      <c r="V256" s="368">
        <v>0</v>
      </c>
      <c r="W256" s="368">
        <v>392.5</v>
      </c>
      <c r="X256" s="368">
        <f>ROUND(H256/100*95.5-0.01,2)</f>
        <v>1212224.47</v>
      </c>
      <c r="Y256" s="370">
        <v>0</v>
      </c>
      <c r="Z256" s="370">
        <v>0</v>
      </c>
      <c r="AA256" s="370">
        <v>0</v>
      </c>
      <c r="AB256" s="370">
        <v>0</v>
      </c>
      <c r="AC256" s="370">
        <v>0</v>
      </c>
      <c r="AD256" s="370">
        <v>0</v>
      </c>
      <c r="AE256" s="370">
        <v>0</v>
      </c>
      <c r="AF256" s="370">
        <v>0</v>
      </c>
      <c r="AG256" s="370">
        <v>0</v>
      </c>
      <c r="AH256" s="370">
        <v>0</v>
      </c>
      <c r="AI256" s="370">
        <v>0</v>
      </c>
      <c r="AJ256" s="370">
        <f t="shared" si="223"/>
        <v>38080.35</v>
      </c>
      <c r="AK256" s="370">
        <f t="shared" si="224"/>
        <v>19040.18</v>
      </c>
      <c r="AL256" s="370">
        <v>0</v>
      </c>
      <c r="AM256" s="480"/>
      <c r="AN256" s="480"/>
      <c r="AP256" s="486" t="e">
        <f t="shared" si="158"/>
        <v>#DIV/0!</v>
      </c>
      <c r="AQ256" s="486" t="e">
        <f t="shared" si="164"/>
        <v>#DIV/0!</v>
      </c>
      <c r="AR256" s="486" t="e">
        <f t="shared" si="165"/>
        <v>#DIV/0!</v>
      </c>
      <c r="AS256" s="486" t="e">
        <f t="shared" si="166"/>
        <v>#DIV/0!</v>
      </c>
      <c r="AT256" s="486" t="e">
        <f t="shared" si="167"/>
        <v>#DIV/0!</v>
      </c>
      <c r="AU256" s="486" t="e">
        <f t="shared" si="168"/>
        <v>#DIV/0!</v>
      </c>
      <c r="AV256" s="486" t="e">
        <f t="shared" si="169"/>
        <v>#DIV/0!</v>
      </c>
      <c r="AW256" s="486">
        <f t="shared" si="170"/>
        <v>3088.4699872611463</v>
      </c>
      <c r="AX256" s="486" t="e">
        <f t="shared" si="171"/>
        <v>#DIV/0!</v>
      </c>
      <c r="AY256" s="486" t="e">
        <f t="shared" si="172"/>
        <v>#DIV/0!</v>
      </c>
      <c r="AZ256" s="486" t="e">
        <f t="shared" si="173"/>
        <v>#DIV/0!</v>
      </c>
      <c r="BA256" s="486">
        <f t="shared" si="159"/>
        <v>0</v>
      </c>
      <c r="BB256" s="494">
        <v>5155.41</v>
      </c>
      <c r="BC256" s="494">
        <v>2070.12</v>
      </c>
      <c r="BD256" s="494">
        <v>848.92</v>
      </c>
      <c r="BE256" s="494">
        <v>819.73</v>
      </c>
      <c r="BF256" s="494">
        <v>611.5</v>
      </c>
      <c r="BG256" s="494">
        <v>1080.04</v>
      </c>
      <c r="BH256" s="494">
        <v>2671800.0099999998</v>
      </c>
      <c r="BI256" s="494">
        <f t="shared" si="192"/>
        <v>4422.8500000000004</v>
      </c>
      <c r="BJ256" s="494">
        <v>14289.54</v>
      </c>
      <c r="BK256" s="494">
        <v>3389.61</v>
      </c>
      <c r="BL256" s="494">
        <v>5995.76</v>
      </c>
      <c r="BM256" s="494">
        <v>548.62</v>
      </c>
      <c r="BN256" s="495" t="e">
        <f t="shared" si="174"/>
        <v>#DIV/0!</v>
      </c>
      <c r="BO256" s="495" t="e">
        <f t="shared" si="175"/>
        <v>#DIV/0!</v>
      </c>
      <c r="BP256" s="495" t="e">
        <f t="shared" si="176"/>
        <v>#DIV/0!</v>
      </c>
      <c r="BQ256" s="495" t="e">
        <f t="shared" si="177"/>
        <v>#DIV/0!</v>
      </c>
      <c r="BR256" s="495" t="e">
        <f t="shared" si="178"/>
        <v>#DIV/0!</v>
      </c>
      <c r="BS256" s="495" t="e">
        <f t="shared" si="179"/>
        <v>#DIV/0!</v>
      </c>
      <c r="BT256" s="495" t="e">
        <f t="shared" si="180"/>
        <v>#DIV/0!</v>
      </c>
      <c r="BU256" s="495" t="str">
        <f t="shared" si="181"/>
        <v xml:space="preserve"> </v>
      </c>
      <c r="BV256" s="495" t="e">
        <f t="shared" si="182"/>
        <v>#DIV/0!</v>
      </c>
      <c r="BW256" s="495" t="e">
        <f t="shared" si="183"/>
        <v>#DIV/0!</v>
      </c>
      <c r="BX256" s="495" t="e">
        <f t="shared" si="184"/>
        <v>#DIV/0!</v>
      </c>
      <c r="BY256" s="495" t="str">
        <f t="shared" si="185"/>
        <v xml:space="preserve"> </v>
      </c>
    </row>
    <row r="257" spans="1:77" s="28" customFormat="1" ht="9" customHeight="1">
      <c r="A257" s="366">
        <v>213</v>
      </c>
      <c r="B257" s="276" t="s">
        <v>1081</v>
      </c>
      <c r="C257" s="249">
        <v>3837.7999999999997</v>
      </c>
      <c r="D257" s="376"/>
      <c r="E257" s="368"/>
      <c r="F257" s="249"/>
      <c r="G257" s="249"/>
      <c r="H257" s="368">
        <v>3927193.6000000001</v>
      </c>
      <c r="I257" s="368">
        <f t="shared" si="222"/>
        <v>0</v>
      </c>
      <c r="J257" s="217">
        <v>0</v>
      </c>
      <c r="K257" s="469">
        <v>0</v>
      </c>
      <c r="L257" s="217">
        <v>0</v>
      </c>
      <c r="M257" s="469">
        <v>0</v>
      </c>
      <c r="N257" s="217">
        <v>0</v>
      </c>
      <c r="O257" s="249">
        <v>0</v>
      </c>
      <c r="P257" s="368">
        <v>0</v>
      </c>
      <c r="Q257" s="249">
        <v>0</v>
      </c>
      <c r="R257" s="368">
        <v>0</v>
      </c>
      <c r="S257" s="249">
        <v>0</v>
      </c>
      <c r="T257" s="368">
        <v>0</v>
      </c>
      <c r="U257" s="130">
        <v>2</v>
      </c>
      <c r="V257" s="368">
        <f>ROUND(0.955*U257*1963596.8,2)</f>
        <v>3750469.89</v>
      </c>
      <c r="W257" s="368">
        <v>0</v>
      </c>
      <c r="X257" s="368">
        <v>0</v>
      </c>
      <c r="Y257" s="370">
        <v>0</v>
      </c>
      <c r="Z257" s="370">
        <v>0</v>
      </c>
      <c r="AA257" s="370">
        <v>0</v>
      </c>
      <c r="AB257" s="370">
        <v>0</v>
      </c>
      <c r="AC257" s="370">
        <v>0</v>
      </c>
      <c r="AD257" s="370">
        <v>0</v>
      </c>
      <c r="AE257" s="370">
        <v>0</v>
      </c>
      <c r="AF257" s="370">
        <v>0</v>
      </c>
      <c r="AG257" s="370">
        <v>0</v>
      </c>
      <c r="AH257" s="370">
        <v>0</v>
      </c>
      <c r="AI257" s="370">
        <v>0</v>
      </c>
      <c r="AJ257" s="370">
        <f t="shared" si="223"/>
        <v>117815.81</v>
      </c>
      <c r="AK257" s="370">
        <f t="shared" si="224"/>
        <v>58907.9</v>
      </c>
      <c r="AL257" s="370">
        <v>0</v>
      </c>
      <c r="AM257" s="480"/>
      <c r="AN257" s="480"/>
      <c r="AP257" s="486" t="e">
        <f t="shared" si="158"/>
        <v>#DIV/0!</v>
      </c>
      <c r="AQ257" s="486" t="e">
        <f t="shared" si="164"/>
        <v>#DIV/0!</v>
      </c>
      <c r="AR257" s="486" t="e">
        <f t="shared" si="165"/>
        <v>#DIV/0!</v>
      </c>
      <c r="AS257" s="486" t="e">
        <f t="shared" si="166"/>
        <v>#DIV/0!</v>
      </c>
      <c r="AT257" s="486" t="e">
        <f t="shared" si="167"/>
        <v>#DIV/0!</v>
      </c>
      <c r="AU257" s="486" t="e">
        <f t="shared" si="168"/>
        <v>#DIV/0!</v>
      </c>
      <c r="AV257" s="486">
        <f t="shared" si="169"/>
        <v>1875234.9450000001</v>
      </c>
      <c r="AW257" s="486" t="e">
        <f t="shared" si="170"/>
        <v>#DIV/0!</v>
      </c>
      <c r="AX257" s="486" t="e">
        <f t="shared" si="171"/>
        <v>#DIV/0!</v>
      </c>
      <c r="AY257" s="486" t="e">
        <f t="shared" si="172"/>
        <v>#DIV/0!</v>
      </c>
      <c r="AZ257" s="486" t="e">
        <f t="shared" si="173"/>
        <v>#DIV/0!</v>
      </c>
      <c r="BA257" s="486">
        <f t="shared" si="159"/>
        <v>0</v>
      </c>
      <c r="BB257" s="494">
        <v>5155.41</v>
      </c>
      <c r="BC257" s="494">
        <v>2070.12</v>
      </c>
      <c r="BD257" s="494">
        <v>848.92</v>
      </c>
      <c r="BE257" s="494">
        <v>819.73</v>
      </c>
      <c r="BF257" s="494">
        <v>611.5</v>
      </c>
      <c r="BG257" s="494">
        <v>1080.04</v>
      </c>
      <c r="BH257" s="494">
        <v>2671800.0099999998</v>
      </c>
      <c r="BI257" s="494">
        <f t="shared" si="192"/>
        <v>4422.8500000000004</v>
      </c>
      <c r="BJ257" s="494">
        <v>14289.54</v>
      </c>
      <c r="BK257" s="494">
        <v>3389.61</v>
      </c>
      <c r="BL257" s="494">
        <v>5995.76</v>
      </c>
      <c r="BM257" s="494">
        <v>548.62</v>
      </c>
      <c r="BN257" s="495" t="e">
        <f t="shared" si="174"/>
        <v>#DIV/0!</v>
      </c>
      <c r="BO257" s="495" t="e">
        <f t="shared" si="175"/>
        <v>#DIV/0!</v>
      </c>
      <c r="BP257" s="495" t="e">
        <f t="shared" si="176"/>
        <v>#DIV/0!</v>
      </c>
      <c r="BQ257" s="495" t="e">
        <f t="shared" si="177"/>
        <v>#DIV/0!</v>
      </c>
      <c r="BR257" s="495" t="e">
        <f t="shared" si="178"/>
        <v>#DIV/0!</v>
      </c>
      <c r="BS257" s="495" t="e">
        <f t="shared" si="179"/>
        <v>#DIV/0!</v>
      </c>
      <c r="BT257" s="495" t="str">
        <f t="shared" si="180"/>
        <v xml:space="preserve"> </v>
      </c>
      <c r="BU257" s="495" t="e">
        <f t="shared" si="181"/>
        <v>#DIV/0!</v>
      </c>
      <c r="BV257" s="495" t="e">
        <f t="shared" si="182"/>
        <v>#DIV/0!</v>
      </c>
      <c r="BW257" s="495" t="e">
        <f t="shared" si="183"/>
        <v>#DIV/0!</v>
      </c>
      <c r="BX257" s="495" t="e">
        <f t="shared" si="184"/>
        <v>#DIV/0!</v>
      </c>
      <c r="BY257" s="495" t="str">
        <f t="shared" si="185"/>
        <v xml:space="preserve"> </v>
      </c>
    </row>
    <row r="258" spans="1:77" s="28" customFormat="1" ht="35.25" customHeight="1">
      <c r="A258" s="954" t="s">
        <v>301</v>
      </c>
      <c r="B258" s="954"/>
      <c r="C258" s="368">
        <f>SUM(C247:C257)</f>
        <v>26655.3</v>
      </c>
      <c r="D258" s="368"/>
      <c r="E258" s="368" t="s">
        <v>391</v>
      </c>
      <c r="F258" s="249"/>
      <c r="G258" s="249"/>
      <c r="H258" s="368">
        <f>SUM(H247:H257)</f>
        <v>38180936.390000001</v>
      </c>
      <c r="I258" s="368">
        <f t="shared" ref="I258:AL258" si="225">SUM(I247:I257)</f>
        <v>6254225.1500000004</v>
      </c>
      <c r="J258" s="368">
        <f t="shared" si="225"/>
        <v>899346.42</v>
      </c>
      <c r="K258" s="368">
        <f t="shared" si="225"/>
        <v>1150</v>
      </c>
      <c r="L258" s="368">
        <f t="shared" si="225"/>
        <v>2916799.2</v>
      </c>
      <c r="M258" s="368">
        <f t="shared" si="225"/>
        <v>0</v>
      </c>
      <c r="N258" s="368">
        <f t="shared" si="225"/>
        <v>736613.33</v>
      </c>
      <c r="O258" s="368">
        <f t="shared" si="225"/>
        <v>410</v>
      </c>
      <c r="P258" s="368">
        <f t="shared" si="225"/>
        <v>510439.86</v>
      </c>
      <c r="Q258" s="368">
        <f t="shared" si="225"/>
        <v>310</v>
      </c>
      <c r="R258" s="368">
        <f t="shared" si="225"/>
        <v>656279.81999999995</v>
      </c>
      <c r="S258" s="368">
        <f t="shared" si="225"/>
        <v>295</v>
      </c>
      <c r="T258" s="368">
        <f t="shared" si="225"/>
        <v>534746.52</v>
      </c>
      <c r="U258" s="130">
        <f t="shared" si="225"/>
        <v>2</v>
      </c>
      <c r="V258" s="368">
        <f t="shared" si="225"/>
        <v>3750469.89</v>
      </c>
      <c r="W258" s="368">
        <f t="shared" si="225"/>
        <v>8183.1</v>
      </c>
      <c r="X258" s="368">
        <f t="shared" si="225"/>
        <v>25673212.850000001</v>
      </c>
      <c r="Y258" s="368">
        <f t="shared" si="225"/>
        <v>0</v>
      </c>
      <c r="Z258" s="368">
        <f t="shared" si="225"/>
        <v>0</v>
      </c>
      <c r="AA258" s="368">
        <f t="shared" si="225"/>
        <v>0</v>
      </c>
      <c r="AB258" s="368">
        <f t="shared" si="225"/>
        <v>0</v>
      </c>
      <c r="AC258" s="368">
        <f t="shared" si="225"/>
        <v>0</v>
      </c>
      <c r="AD258" s="368">
        <f t="shared" si="225"/>
        <v>0</v>
      </c>
      <c r="AE258" s="368">
        <f t="shared" si="225"/>
        <v>0</v>
      </c>
      <c r="AF258" s="368">
        <f t="shared" si="225"/>
        <v>0</v>
      </c>
      <c r="AG258" s="368">
        <f t="shared" si="225"/>
        <v>0</v>
      </c>
      <c r="AH258" s="368">
        <f t="shared" si="225"/>
        <v>0</v>
      </c>
      <c r="AI258" s="368">
        <f t="shared" si="225"/>
        <v>784886.36</v>
      </c>
      <c r="AJ258" s="368">
        <f t="shared" si="225"/>
        <v>1145428.0900000001</v>
      </c>
      <c r="AK258" s="368">
        <f t="shared" si="225"/>
        <v>572714.05000000005</v>
      </c>
      <c r="AL258" s="368">
        <f t="shared" si="225"/>
        <v>0</v>
      </c>
      <c r="AM258" s="360"/>
      <c r="AN258" s="360"/>
      <c r="AP258" s="486" t="e">
        <f t="shared" si="158"/>
        <v>#DIV/0!</v>
      </c>
      <c r="AQ258" s="486">
        <f t="shared" si="164"/>
        <v>2536.3471304347827</v>
      </c>
      <c r="AR258" s="497" t="e">
        <f t="shared" si="165"/>
        <v>#DIV/0!</v>
      </c>
      <c r="AS258" s="497">
        <f t="shared" si="166"/>
        <v>1244.9752682926828</v>
      </c>
      <c r="AT258" s="497">
        <f t="shared" si="167"/>
        <v>2117.0316774193548</v>
      </c>
      <c r="AU258" s="497">
        <f t="shared" si="168"/>
        <v>1812.7000677966103</v>
      </c>
      <c r="AV258" s="497">
        <f t="shared" si="169"/>
        <v>1875234.9450000001</v>
      </c>
      <c r="AW258" s="497">
        <f t="shared" si="170"/>
        <v>3137.3456086324254</v>
      </c>
      <c r="AX258" s="497" t="e">
        <f t="shared" si="171"/>
        <v>#DIV/0!</v>
      </c>
      <c r="AY258" s="486" t="e">
        <f t="shared" si="172"/>
        <v>#DIV/0!</v>
      </c>
      <c r="AZ258" s="497" t="e">
        <f t="shared" si="173"/>
        <v>#DIV/0!</v>
      </c>
      <c r="BA258" s="486">
        <f t="shared" si="159"/>
        <v>29.445789767888563</v>
      </c>
      <c r="BB258" s="494">
        <v>5155.41</v>
      </c>
      <c r="BC258" s="494">
        <v>2070.12</v>
      </c>
      <c r="BD258" s="494">
        <v>848.92</v>
      </c>
      <c r="BE258" s="494">
        <v>819.73</v>
      </c>
      <c r="BF258" s="494">
        <v>611.5</v>
      </c>
      <c r="BG258" s="494">
        <v>1080.04</v>
      </c>
      <c r="BH258" s="494">
        <v>2671800.0099999998</v>
      </c>
      <c r="BI258" s="494">
        <f t="shared" si="192"/>
        <v>4422.8500000000004</v>
      </c>
      <c r="BJ258" s="494">
        <v>14289.54</v>
      </c>
      <c r="BK258" s="494">
        <v>3389.61</v>
      </c>
      <c r="BL258" s="494">
        <v>5995.76</v>
      </c>
      <c r="BM258" s="494">
        <v>548.62</v>
      </c>
      <c r="BN258" s="493" t="e">
        <f t="shared" si="174"/>
        <v>#DIV/0!</v>
      </c>
      <c r="BO258" s="493" t="str">
        <f t="shared" si="175"/>
        <v>+</v>
      </c>
      <c r="BP258" s="493" t="e">
        <f t="shared" si="176"/>
        <v>#DIV/0!</v>
      </c>
      <c r="BQ258" s="493" t="str">
        <f t="shared" si="177"/>
        <v>+</v>
      </c>
      <c r="BR258" s="493" t="str">
        <f t="shared" si="178"/>
        <v>+</v>
      </c>
      <c r="BS258" s="493" t="str">
        <f t="shared" si="179"/>
        <v>+</v>
      </c>
      <c r="BT258" s="493" t="str">
        <f t="shared" si="180"/>
        <v xml:space="preserve"> </v>
      </c>
      <c r="BU258" s="493" t="str">
        <f t="shared" si="181"/>
        <v xml:space="preserve"> </v>
      </c>
      <c r="BV258" s="493" t="e">
        <f t="shared" si="182"/>
        <v>#DIV/0!</v>
      </c>
      <c r="BW258" s="493" t="e">
        <f t="shared" si="183"/>
        <v>#DIV/0!</v>
      </c>
      <c r="BX258" s="493" t="e">
        <f t="shared" si="184"/>
        <v>#DIV/0!</v>
      </c>
      <c r="BY258" s="493" t="str">
        <f t="shared" si="185"/>
        <v xml:space="preserve"> </v>
      </c>
    </row>
    <row r="259" spans="1:77" s="28" customFormat="1" ht="12.75" customHeight="1">
      <c r="A259" s="837" t="s">
        <v>296</v>
      </c>
      <c r="B259" s="838"/>
      <c r="C259" s="838"/>
      <c r="D259" s="838"/>
      <c r="E259" s="838"/>
      <c r="F259" s="838"/>
      <c r="G259" s="838"/>
      <c r="H259" s="838"/>
      <c r="I259" s="838"/>
      <c r="J259" s="838"/>
      <c r="K259" s="838"/>
      <c r="L259" s="838"/>
      <c r="M259" s="838"/>
      <c r="N259" s="838"/>
      <c r="O259" s="838"/>
      <c r="P259" s="838"/>
      <c r="Q259" s="838"/>
      <c r="R259" s="838"/>
      <c r="S259" s="838"/>
      <c r="T259" s="838"/>
      <c r="U259" s="838"/>
      <c r="V259" s="838"/>
      <c r="W259" s="838"/>
      <c r="X259" s="838"/>
      <c r="Y259" s="838"/>
      <c r="Z259" s="838"/>
      <c r="AA259" s="838"/>
      <c r="AB259" s="838"/>
      <c r="AC259" s="838"/>
      <c r="AD259" s="838"/>
      <c r="AE259" s="838"/>
      <c r="AF259" s="838"/>
      <c r="AG259" s="838"/>
      <c r="AH259" s="838"/>
      <c r="AI259" s="838"/>
      <c r="AJ259" s="838"/>
      <c r="AK259" s="838"/>
      <c r="AL259" s="839"/>
      <c r="AM259" s="280"/>
      <c r="AN259" s="280"/>
      <c r="AP259" s="486" t="e">
        <f t="shared" si="158"/>
        <v>#DIV/0!</v>
      </c>
      <c r="AQ259" s="486" t="e">
        <f t="shared" si="164"/>
        <v>#DIV/0!</v>
      </c>
      <c r="AR259" s="497" t="e">
        <f t="shared" si="165"/>
        <v>#DIV/0!</v>
      </c>
      <c r="AS259" s="497" t="e">
        <f t="shared" si="166"/>
        <v>#DIV/0!</v>
      </c>
      <c r="AT259" s="497" t="e">
        <f t="shared" si="167"/>
        <v>#DIV/0!</v>
      </c>
      <c r="AU259" s="497" t="e">
        <f t="shared" si="168"/>
        <v>#DIV/0!</v>
      </c>
      <c r="AV259" s="497" t="e">
        <f t="shared" si="169"/>
        <v>#DIV/0!</v>
      </c>
      <c r="AW259" s="497" t="e">
        <f t="shared" si="170"/>
        <v>#DIV/0!</v>
      </c>
      <c r="AX259" s="497" t="e">
        <f t="shared" si="171"/>
        <v>#DIV/0!</v>
      </c>
      <c r="AY259" s="486" t="e">
        <f t="shared" si="172"/>
        <v>#DIV/0!</v>
      </c>
      <c r="AZ259" s="497" t="e">
        <f t="shared" si="173"/>
        <v>#DIV/0!</v>
      </c>
      <c r="BA259" s="486" t="e">
        <f t="shared" si="159"/>
        <v>#DIV/0!</v>
      </c>
      <c r="BB259" s="494">
        <v>5155.41</v>
      </c>
      <c r="BC259" s="494">
        <v>2070.12</v>
      </c>
      <c r="BD259" s="494">
        <v>848.92</v>
      </c>
      <c r="BE259" s="494">
        <v>819.73</v>
      </c>
      <c r="BF259" s="494">
        <v>611.5</v>
      </c>
      <c r="BG259" s="494">
        <v>1080.04</v>
      </c>
      <c r="BH259" s="494">
        <v>2671800.0099999998</v>
      </c>
      <c r="BI259" s="494">
        <f t="shared" si="192"/>
        <v>4422.8500000000004</v>
      </c>
      <c r="BJ259" s="494">
        <v>14289.54</v>
      </c>
      <c r="BK259" s="494">
        <v>3389.61</v>
      </c>
      <c r="BL259" s="494">
        <v>5995.76</v>
      </c>
      <c r="BM259" s="494">
        <v>548.62</v>
      </c>
      <c r="BN259" s="493" t="e">
        <f t="shared" si="174"/>
        <v>#DIV/0!</v>
      </c>
      <c r="BO259" s="493" t="e">
        <f t="shared" si="175"/>
        <v>#DIV/0!</v>
      </c>
      <c r="BP259" s="493" t="e">
        <f t="shared" si="176"/>
        <v>#DIV/0!</v>
      </c>
      <c r="BQ259" s="493" t="e">
        <f t="shared" si="177"/>
        <v>#DIV/0!</v>
      </c>
      <c r="BR259" s="493" t="e">
        <f t="shared" si="178"/>
        <v>#DIV/0!</v>
      </c>
      <c r="BS259" s="493" t="e">
        <f t="shared" si="179"/>
        <v>#DIV/0!</v>
      </c>
      <c r="BT259" s="493" t="e">
        <f t="shared" si="180"/>
        <v>#DIV/0!</v>
      </c>
      <c r="BU259" s="493" t="e">
        <f t="shared" si="181"/>
        <v>#DIV/0!</v>
      </c>
      <c r="BV259" s="493" t="e">
        <f t="shared" si="182"/>
        <v>#DIV/0!</v>
      </c>
      <c r="BW259" s="493" t="e">
        <f t="shared" si="183"/>
        <v>#DIV/0!</v>
      </c>
      <c r="BX259" s="493" t="e">
        <f t="shared" si="184"/>
        <v>#DIV/0!</v>
      </c>
      <c r="BY259" s="493" t="e">
        <f t="shared" si="185"/>
        <v>#DIV/0!</v>
      </c>
    </row>
    <row r="260" spans="1:77" s="28" customFormat="1" ht="9" customHeight="1">
      <c r="A260" s="366">
        <v>214</v>
      </c>
      <c r="B260" s="156" t="s">
        <v>884</v>
      </c>
      <c r="C260" s="249">
        <v>3144</v>
      </c>
      <c r="D260" s="376"/>
      <c r="E260" s="368" t="s">
        <v>1005</v>
      </c>
      <c r="F260" s="249"/>
      <c r="G260" s="249"/>
      <c r="H260" s="368">
        <v>3113956</v>
      </c>
      <c r="I260" s="368">
        <f t="shared" ref="I260" si="226">J260+L260+N260+P260+R260+T260</f>
        <v>0</v>
      </c>
      <c r="J260" s="217">
        <v>0</v>
      </c>
      <c r="K260" s="469">
        <v>0</v>
      </c>
      <c r="L260" s="217">
        <v>0</v>
      </c>
      <c r="M260" s="469">
        <v>0</v>
      </c>
      <c r="N260" s="217">
        <v>0</v>
      </c>
      <c r="O260" s="249">
        <v>0</v>
      </c>
      <c r="P260" s="368">
        <v>0</v>
      </c>
      <c r="Q260" s="249">
        <v>0</v>
      </c>
      <c r="R260" s="368">
        <v>0</v>
      </c>
      <c r="S260" s="249">
        <v>0</v>
      </c>
      <c r="T260" s="368">
        <v>0</v>
      </c>
      <c r="U260" s="130">
        <v>0</v>
      </c>
      <c r="V260" s="368">
        <v>0</v>
      </c>
      <c r="W260" s="368">
        <v>934</v>
      </c>
      <c r="X260" s="368">
        <f>ROUND(H260/100*95.5,2)</f>
        <v>2973827.98</v>
      </c>
      <c r="Y260" s="370">
        <v>0</v>
      </c>
      <c r="Z260" s="370">
        <v>0</v>
      </c>
      <c r="AA260" s="370">
        <v>0</v>
      </c>
      <c r="AB260" s="370">
        <v>0</v>
      </c>
      <c r="AC260" s="370">
        <v>0</v>
      </c>
      <c r="AD260" s="370">
        <v>0</v>
      </c>
      <c r="AE260" s="370">
        <v>0</v>
      </c>
      <c r="AF260" s="370">
        <v>0</v>
      </c>
      <c r="AG260" s="370">
        <v>0</v>
      </c>
      <c r="AH260" s="370">
        <v>0</v>
      </c>
      <c r="AI260" s="370">
        <v>0</v>
      </c>
      <c r="AJ260" s="370">
        <f t="shared" ref="AJ260" si="227">ROUND(H260/100*3,2)</f>
        <v>93418.68</v>
      </c>
      <c r="AK260" s="370">
        <f t="shared" ref="AK260" si="228">ROUND(H260/100*1.5,2)</f>
        <v>46709.34</v>
      </c>
      <c r="AL260" s="370">
        <v>0</v>
      </c>
      <c r="AM260" s="446"/>
      <c r="AN260" s="446"/>
      <c r="AP260" s="486" t="e">
        <f t="shared" si="158"/>
        <v>#DIV/0!</v>
      </c>
      <c r="AQ260" s="486" t="e">
        <f t="shared" si="164"/>
        <v>#DIV/0!</v>
      </c>
      <c r="AR260" s="486" t="e">
        <f t="shared" si="165"/>
        <v>#DIV/0!</v>
      </c>
      <c r="AS260" s="486" t="e">
        <f t="shared" si="166"/>
        <v>#DIV/0!</v>
      </c>
      <c r="AT260" s="486" t="e">
        <f t="shared" si="167"/>
        <v>#DIV/0!</v>
      </c>
      <c r="AU260" s="486" t="e">
        <f t="shared" si="168"/>
        <v>#DIV/0!</v>
      </c>
      <c r="AV260" s="486" t="e">
        <f t="shared" si="169"/>
        <v>#DIV/0!</v>
      </c>
      <c r="AW260" s="486">
        <f t="shared" si="170"/>
        <v>3183.97</v>
      </c>
      <c r="AX260" s="486" t="e">
        <f t="shared" si="171"/>
        <v>#DIV/0!</v>
      </c>
      <c r="AY260" s="486" t="e">
        <f t="shared" si="172"/>
        <v>#DIV/0!</v>
      </c>
      <c r="AZ260" s="486" t="e">
        <f t="shared" si="173"/>
        <v>#DIV/0!</v>
      </c>
      <c r="BA260" s="486">
        <f t="shared" si="159"/>
        <v>0</v>
      </c>
      <c r="BB260" s="494">
        <v>5155.41</v>
      </c>
      <c r="BC260" s="494">
        <v>2070.12</v>
      </c>
      <c r="BD260" s="494">
        <v>848.92</v>
      </c>
      <c r="BE260" s="494">
        <v>819.73</v>
      </c>
      <c r="BF260" s="494">
        <v>611.5</v>
      </c>
      <c r="BG260" s="494">
        <v>1080.04</v>
      </c>
      <c r="BH260" s="494">
        <v>2671800.0099999998</v>
      </c>
      <c r="BI260" s="494">
        <f t="shared" si="192"/>
        <v>4607.6000000000004</v>
      </c>
      <c r="BJ260" s="494">
        <v>14289.54</v>
      </c>
      <c r="BK260" s="494">
        <v>3389.61</v>
      </c>
      <c r="BL260" s="494">
        <v>5995.76</v>
      </c>
      <c r="BM260" s="494">
        <v>548.62</v>
      </c>
      <c r="BN260" s="495" t="e">
        <f t="shared" si="174"/>
        <v>#DIV/0!</v>
      </c>
      <c r="BO260" s="495" t="e">
        <f t="shared" si="175"/>
        <v>#DIV/0!</v>
      </c>
      <c r="BP260" s="495" t="e">
        <f t="shared" si="176"/>
        <v>#DIV/0!</v>
      </c>
      <c r="BQ260" s="495" t="e">
        <f t="shared" si="177"/>
        <v>#DIV/0!</v>
      </c>
      <c r="BR260" s="495" t="e">
        <f t="shared" si="178"/>
        <v>#DIV/0!</v>
      </c>
      <c r="BS260" s="495" t="e">
        <f t="shared" si="179"/>
        <v>#DIV/0!</v>
      </c>
      <c r="BT260" s="495" t="e">
        <f t="shared" si="180"/>
        <v>#DIV/0!</v>
      </c>
      <c r="BU260" s="495" t="str">
        <f t="shared" si="181"/>
        <v xml:space="preserve"> </v>
      </c>
      <c r="BV260" s="495" t="e">
        <f t="shared" si="182"/>
        <v>#DIV/0!</v>
      </c>
      <c r="BW260" s="495" t="e">
        <f t="shared" si="183"/>
        <v>#DIV/0!</v>
      </c>
      <c r="BX260" s="495" t="e">
        <f t="shared" si="184"/>
        <v>#DIV/0!</v>
      </c>
      <c r="BY260" s="495" t="str">
        <f t="shared" si="185"/>
        <v xml:space="preserve"> </v>
      </c>
    </row>
    <row r="261" spans="1:77" s="28" customFormat="1" ht="35.25" customHeight="1">
      <c r="A261" s="954" t="s">
        <v>302</v>
      </c>
      <c r="B261" s="954"/>
      <c r="C261" s="368">
        <f>SUM(C260)</f>
        <v>3144</v>
      </c>
      <c r="D261" s="368"/>
      <c r="E261" s="368" t="s">
        <v>391</v>
      </c>
      <c r="F261" s="249"/>
      <c r="G261" s="249"/>
      <c r="H261" s="368">
        <f>SUM(H260)</f>
        <v>3113956</v>
      </c>
      <c r="I261" s="368">
        <f t="shared" ref="I261:AL261" si="229">SUM(I260)</f>
        <v>0</v>
      </c>
      <c r="J261" s="368">
        <f t="shared" si="229"/>
        <v>0</v>
      </c>
      <c r="K261" s="368">
        <f t="shared" si="229"/>
        <v>0</v>
      </c>
      <c r="L261" s="368">
        <f t="shared" si="229"/>
        <v>0</v>
      </c>
      <c r="M261" s="368">
        <f t="shared" si="229"/>
        <v>0</v>
      </c>
      <c r="N261" s="368">
        <f t="shared" si="229"/>
        <v>0</v>
      </c>
      <c r="O261" s="368">
        <f t="shared" si="229"/>
        <v>0</v>
      </c>
      <c r="P261" s="368">
        <f t="shared" si="229"/>
        <v>0</v>
      </c>
      <c r="Q261" s="368">
        <f t="shared" si="229"/>
        <v>0</v>
      </c>
      <c r="R261" s="368">
        <f t="shared" si="229"/>
        <v>0</v>
      </c>
      <c r="S261" s="368">
        <f t="shared" si="229"/>
        <v>0</v>
      </c>
      <c r="T261" s="368">
        <f t="shared" si="229"/>
        <v>0</v>
      </c>
      <c r="U261" s="130">
        <f t="shared" si="229"/>
        <v>0</v>
      </c>
      <c r="V261" s="368">
        <f t="shared" si="229"/>
        <v>0</v>
      </c>
      <c r="W261" s="368">
        <f t="shared" si="229"/>
        <v>934</v>
      </c>
      <c r="X261" s="368">
        <f t="shared" si="229"/>
        <v>2973827.98</v>
      </c>
      <c r="Y261" s="368">
        <f t="shared" si="229"/>
        <v>0</v>
      </c>
      <c r="Z261" s="368">
        <f t="shared" si="229"/>
        <v>0</v>
      </c>
      <c r="AA261" s="368">
        <f t="shared" si="229"/>
        <v>0</v>
      </c>
      <c r="AB261" s="368">
        <f t="shared" si="229"/>
        <v>0</v>
      </c>
      <c r="AC261" s="368">
        <f t="shared" si="229"/>
        <v>0</v>
      </c>
      <c r="AD261" s="368">
        <f t="shared" si="229"/>
        <v>0</v>
      </c>
      <c r="AE261" s="368">
        <f t="shared" si="229"/>
        <v>0</v>
      </c>
      <c r="AF261" s="368">
        <f t="shared" si="229"/>
        <v>0</v>
      </c>
      <c r="AG261" s="368">
        <f t="shared" si="229"/>
        <v>0</v>
      </c>
      <c r="AH261" s="368">
        <f t="shared" si="229"/>
        <v>0</v>
      </c>
      <c r="AI261" s="368">
        <f t="shared" si="229"/>
        <v>0</v>
      </c>
      <c r="AJ261" s="368">
        <f t="shared" si="229"/>
        <v>93418.68</v>
      </c>
      <c r="AK261" s="368">
        <f t="shared" si="229"/>
        <v>46709.34</v>
      </c>
      <c r="AL261" s="368">
        <f t="shared" si="229"/>
        <v>0</v>
      </c>
      <c r="AM261" s="280"/>
      <c r="AN261" s="280"/>
      <c r="AP261" s="486" t="e">
        <f t="shared" si="158"/>
        <v>#DIV/0!</v>
      </c>
      <c r="AQ261" s="486" t="e">
        <f t="shared" si="164"/>
        <v>#DIV/0!</v>
      </c>
      <c r="AR261" s="497" t="e">
        <f t="shared" si="165"/>
        <v>#DIV/0!</v>
      </c>
      <c r="AS261" s="497" t="e">
        <f t="shared" si="166"/>
        <v>#DIV/0!</v>
      </c>
      <c r="AT261" s="497" t="e">
        <f t="shared" si="167"/>
        <v>#DIV/0!</v>
      </c>
      <c r="AU261" s="497" t="e">
        <f t="shared" si="168"/>
        <v>#DIV/0!</v>
      </c>
      <c r="AV261" s="497" t="e">
        <f t="shared" si="169"/>
        <v>#DIV/0!</v>
      </c>
      <c r="AW261" s="497">
        <f t="shared" si="170"/>
        <v>3183.97</v>
      </c>
      <c r="AX261" s="497" t="e">
        <f t="shared" si="171"/>
        <v>#DIV/0!</v>
      </c>
      <c r="AY261" s="486" t="e">
        <f t="shared" si="172"/>
        <v>#DIV/0!</v>
      </c>
      <c r="AZ261" s="497" t="e">
        <f t="shared" si="173"/>
        <v>#DIV/0!</v>
      </c>
      <c r="BA261" s="486">
        <f t="shared" si="159"/>
        <v>0</v>
      </c>
      <c r="BB261" s="494">
        <v>5155.41</v>
      </c>
      <c r="BC261" s="494">
        <v>2070.12</v>
      </c>
      <c r="BD261" s="494">
        <v>848.92</v>
      </c>
      <c r="BE261" s="494">
        <v>819.73</v>
      </c>
      <c r="BF261" s="494">
        <v>611.5</v>
      </c>
      <c r="BG261" s="494">
        <v>1080.04</v>
      </c>
      <c r="BH261" s="494">
        <v>2671800.0099999998</v>
      </c>
      <c r="BI261" s="494">
        <f t="shared" si="192"/>
        <v>4422.8500000000004</v>
      </c>
      <c r="BJ261" s="494">
        <v>14289.54</v>
      </c>
      <c r="BK261" s="494">
        <v>3389.61</v>
      </c>
      <c r="BL261" s="494">
        <v>5995.76</v>
      </c>
      <c r="BM261" s="494">
        <v>548.62</v>
      </c>
      <c r="BN261" s="493" t="e">
        <f t="shared" si="174"/>
        <v>#DIV/0!</v>
      </c>
      <c r="BO261" s="493" t="e">
        <f t="shared" si="175"/>
        <v>#DIV/0!</v>
      </c>
      <c r="BP261" s="493" t="e">
        <f t="shared" si="176"/>
        <v>#DIV/0!</v>
      </c>
      <c r="BQ261" s="493" t="e">
        <f t="shared" si="177"/>
        <v>#DIV/0!</v>
      </c>
      <c r="BR261" s="493" t="e">
        <f t="shared" si="178"/>
        <v>#DIV/0!</v>
      </c>
      <c r="BS261" s="493" t="e">
        <f t="shared" si="179"/>
        <v>#DIV/0!</v>
      </c>
      <c r="BT261" s="493" t="e">
        <f t="shared" si="180"/>
        <v>#DIV/0!</v>
      </c>
      <c r="BU261" s="493" t="str">
        <f t="shared" si="181"/>
        <v xml:space="preserve"> </v>
      </c>
      <c r="BV261" s="493" t="e">
        <f t="shared" si="182"/>
        <v>#DIV/0!</v>
      </c>
      <c r="BW261" s="493" t="e">
        <f t="shared" si="183"/>
        <v>#DIV/0!</v>
      </c>
      <c r="BX261" s="493" t="e">
        <f t="shared" si="184"/>
        <v>#DIV/0!</v>
      </c>
      <c r="BY261" s="493" t="str">
        <f t="shared" si="185"/>
        <v xml:space="preserve"> </v>
      </c>
    </row>
    <row r="262" spans="1:77" s="28" customFormat="1" ht="12" customHeight="1">
      <c r="A262" s="837" t="s">
        <v>298</v>
      </c>
      <c r="B262" s="838"/>
      <c r="C262" s="838"/>
      <c r="D262" s="838"/>
      <c r="E262" s="838"/>
      <c r="F262" s="838"/>
      <c r="G262" s="838"/>
      <c r="H262" s="838"/>
      <c r="I262" s="838"/>
      <c r="J262" s="838"/>
      <c r="K262" s="838"/>
      <c r="L262" s="838"/>
      <c r="M262" s="838"/>
      <c r="N262" s="838"/>
      <c r="O262" s="838"/>
      <c r="P262" s="838"/>
      <c r="Q262" s="838"/>
      <c r="R262" s="838"/>
      <c r="S262" s="838"/>
      <c r="T262" s="838"/>
      <c r="U262" s="838"/>
      <c r="V262" s="838"/>
      <c r="W262" s="838"/>
      <c r="X262" s="838"/>
      <c r="Y262" s="838"/>
      <c r="Z262" s="838"/>
      <c r="AA262" s="838"/>
      <c r="AB262" s="838"/>
      <c r="AC262" s="838"/>
      <c r="AD262" s="838"/>
      <c r="AE262" s="838"/>
      <c r="AF262" s="838"/>
      <c r="AG262" s="838"/>
      <c r="AH262" s="838"/>
      <c r="AI262" s="838"/>
      <c r="AJ262" s="838"/>
      <c r="AK262" s="838"/>
      <c r="AL262" s="839"/>
      <c r="AM262" s="280"/>
      <c r="AN262" s="280"/>
      <c r="AP262" s="486" t="e">
        <f t="shared" si="158"/>
        <v>#DIV/0!</v>
      </c>
      <c r="AQ262" s="486" t="e">
        <f t="shared" si="164"/>
        <v>#DIV/0!</v>
      </c>
      <c r="AR262" s="497" t="e">
        <f t="shared" si="165"/>
        <v>#DIV/0!</v>
      </c>
      <c r="AS262" s="497" t="e">
        <f t="shared" si="166"/>
        <v>#DIV/0!</v>
      </c>
      <c r="AT262" s="497" t="e">
        <f t="shared" si="167"/>
        <v>#DIV/0!</v>
      </c>
      <c r="AU262" s="497" t="e">
        <f t="shared" si="168"/>
        <v>#DIV/0!</v>
      </c>
      <c r="AV262" s="497" t="e">
        <f t="shared" si="169"/>
        <v>#DIV/0!</v>
      </c>
      <c r="AW262" s="497" t="e">
        <f t="shared" si="170"/>
        <v>#DIV/0!</v>
      </c>
      <c r="AX262" s="497" t="e">
        <f t="shared" si="171"/>
        <v>#DIV/0!</v>
      </c>
      <c r="AY262" s="486" t="e">
        <f t="shared" si="172"/>
        <v>#DIV/0!</v>
      </c>
      <c r="AZ262" s="497" t="e">
        <f t="shared" si="173"/>
        <v>#DIV/0!</v>
      </c>
      <c r="BA262" s="486" t="e">
        <f t="shared" si="159"/>
        <v>#DIV/0!</v>
      </c>
      <c r="BB262" s="494">
        <v>5155.41</v>
      </c>
      <c r="BC262" s="494">
        <v>2070.12</v>
      </c>
      <c r="BD262" s="494">
        <v>848.92</v>
      </c>
      <c r="BE262" s="494">
        <v>819.73</v>
      </c>
      <c r="BF262" s="494">
        <v>611.5</v>
      </c>
      <c r="BG262" s="494">
        <v>1080.04</v>
      </c>
      <c r="BH262" s="494">
        <v>2671800.0099999998</v>
      </c>
      <c r="BI262" s="494">
        <f t="shared" si="192"/>
        <v>4422.8500000000004</v>
      </c>
      <c r="BJ262" s="494">
        <v>14289.54</v>
      </c>
      <c r="BK262" s="494">
        <v>3389.61</v>
      </c>
      <c r="BL262" s="494">
        <v>5995.76</v>
      </c>
      <c r="BM262" s="494">
        <v>548.62</v>
      </c>
      <c r="BN262" s="493" t="e">
        <f t="shared" si="174"/>
        <v>#DIV/0!</v>
      </c>
      <c r="BO262" s="493" t="e">
        <f t="shared" si="175"/>
        <v>#DIV/0!</v>
      </c>
      <c r="BP262" s="493" t="e">
        <f t="shared" si="176"/>
        <v>#DIV/0!</v>
      </c>
      <c r="BQ262" s="493" t="e">
        <f t="shared" si="177"/>
        <v>#DIV/0!</v>
      </c>
      <c r="BR262" s="493" t="e">
        <f t="shared" si="178"/>
        <v>#DIV/0!</v>
      </c>
      <c r="BS262" s="493" t="e">
        <f t="shared" si="179"/>
        <v>#DIV/0!</v>
      </c>
      <c r="BT262" s="493" t="e">
        <f t="shared" si="180"/>
        <v>#DIV/0!</v>
      </c>
      <c r="BU262" s="493" t="e">
        <f t="shared" si="181"/>
        <v>#DIV/0!</v>
      </c>
      <c r="BV262" s="493" t="e">
        <f t="shared" si="182"/>
        <v>#DIV/0!</v>
      </c>
      <c r="BW262" s="493" t="e">
        <f t="shared" si="183"/>
        <v>#DIV/0!</v>
      </c>
      <c r="BX262" s="493" t="e">
        <f t="shared" si="184"/>
        <v>#DIV/0!</v>
      </c>
      <c r="BY262" s="493" t="e">
        <f t="shared" si="185"/>
        <v>#DIV/0!</v>
      </c>
    </row>
    <row r="263" spans="1:77" s="28" customFormat="1" ht="9" customHeight="1">
      <c r="A263" s="278">
        <v>215</v>
      </c>
      <c r="B263" s="276" t="s">
        <v>882</v>
      </c>
      <c r="C263" s="249">
        <v>3118.3</v>
      </c>
      <c r="D263" s="376"/>
      <c r="E263" s="368" t="s">
        <v>1005</v>
      </c>
      <c r="F263" s="249"/>
      <c r="G263" s="249"/>
      <c r="H263" s="368">
        <v>2757884.8</v>
      </c>
      <c r="I263" s="368">
        <f t="shared" ref="I263" si="230">J263+L263+N263+P263+R263+T263</f>
        <v>0</v>
      </c>
      <c r="J263" s="217">
        <v>0</v>
      </c>
      <c r="K263" s="469">
        <v>0</v>
      </c>
      <c r="L263" s="217">
        <v>0</v>
      </c>
      <c r="M263" s="469">
        <v>0</v>
      </c>
      <c r="N263" s="217">
        <v>0</v>
      </c>
      <c r="O263" s="249">
        <v>0</v>
      </c>
      <c r="P263" s="368">
        <v>0</v>
      </c>
      <c r="Q263" s="249">
        <v>0</v>
      </c>
      <c r="R263" s="368">
        <v>0</v>
      </c>
      <c r="S263" s="249">
        <v>0</v>
      </c>
      <c r="T263" s="368">
        <v>0</v>
      </c>
      <c r="U263" s="130">
        <v>0</v>
      </c>
      <c r="V263" s="368">
        <v>0</v>
      </c>
      <c r="W263" s="370">
        <v>827.2</v>
      </c>
      <c r="X263" s="368">
        <f>ROUND(H263/100*95.5+0.01,2)</f>
        <v>2633779.9900000002</v>
      </c>
      <c r="Y263" s="370">
        <v>0</v>
      </c>
      <c r="Z263" s="370">
        <v>0</v>
      </c>
      <c r="AA263" s="370">
        <v>0</v>
      </c>
      <c r="AB263" s="370">
        <v>0</v>
      </c>
      <c r="AC263" s="370">
        <v>0</v>
      </c>
      <c r="AD263" s="370">
        <v>0</v>
      </c>
      <c r="AE263" s="370">
        <v>0</v>
      </c>
      <c r="AF263" s="370">
        <v>0</v>
      </c>
      <c r="AG263" s="370">
        <v>0</v>
      </c>
      <c r="AH263" s="370">
        <v>0</v>
      </c>
      <c r="AI263" s="370">
        <v>0</v>
      </c>
      <c r="AJ263" s="370">
        <f t="shared" ref="AJ263" si="231">ROUND(H263/100*3,2)</f>
        <v>82736.539999999994</v>
      </c>
      <c r="AK263" s="370">
        <f t="shared" ref="AK263" si="232">ROUND(H263/100*1.5,2)</f>
        <v>41368.269999999997</v>
      </c>
      <c r="AL263" s="370">
        <v>0</v>
      </c>
      <c r="AM263" s="446"/>
      <c r="AN263" s="446"/>
      <c r="AP263" s="486" t="e">
        <f t="shared" si="158"/>
        <v>#DIV/0!</v>
      </c>
      <c r="AQ263" s="486" t="e">
        <f t="shared" si="164"/>
        <v>#DIV/0!</v>
      </c>
      <c r="AR263" s="486" t="e">
        <f t="shared" si="165"/>
        <v>#DIV/0!</v>
      </c>
      <c r="AS263" s="486" t="e">
        <f t="shared" si="166"/>
        <v>#DIV/0!</v>
      </c>
      <c r="AT263" s="486" t="e">
        <f t="shared" si="167"/>
        <v>#DIV/0!</v>
      </c>
      <c r="AU263" s="486" t="e">
        <f t="shared" si="168"/>
        <v>#DIV/0!</v>
      </c>
      <c r="AV263" s="486" t="e">
        <f t="shared" si="169"/>
        <v>#DIV/0!</v>
      </c>
      <c r="AW263" s="486">
        <f t="shared" si="170"/>
        <v>3183.9700072533851</v>
      </c>
      <c r="AX263" s="486" t="e">
        <f t="shared" si="171"/>
        <v>#DIV/0!</v>
      </c>
      <c r="AY263" s="486" t="e">
        <f t="shared" si="172"/>
        <v>#DIV/0!</v>
      </c>
      <c r="AZ263" s="486" t="e">
        <f t="shared" si="173"/>
        <v>#DIV/0!</v>
      </c>
      <c r="BA263" s="486">
        <f t="shared" si="159"/>
        <v>0</v>
      </c>
      <c r="BB263" s="494">
        <v>5155.41</v>
      </c>
      <c r="BC263" s="494">
        <v>2070.12</v>
      </c>
      <c r="BD263" s="494">
        <v>848.92</v>
      </c>
      <c r="BE263" s="494">
        <v>819.73</v>
      </c>
      <c r="BF263" s="494">
        <v>611.5</v>
      </c>
      <c r="BG263" s="494">
        <v>1080.04</v>
      </c>
      <c r="BH263" s="494">
        <v>2671800.0099999998</v>
      </c>
      <c r="BI263" s="494">
        <f t="shared" si="192"/>
        <v>4607.6000000000004</v>
      </c>
      <c r="BJ263" s="494">
        <v>14289.54</v>
      </c>
      <c r="BK263" s="494">
        <v>3389.61</v>
      </c>
      <c r="BL263" s="494">
        <v>5995.76</v>
      </c>
      <c r="BM263" s="494">
        <v>548.62</v>
      </c>
      <c r="BN263" s="495" t="e">
        <f t="shared" si="174"/>
        <v>#DIV/0!</v>
      </c>
      <c r="BO263" s="495" t="e">
        <f t="shared" si="175"/>
        <v>#DIV/0!</v>
      </c>
      <c r="BP263" s="495" t="e">
        <f t="shared" si="176"/>
        <v>#DIV/0!</v>
      </c>
      <c r="BQ263" s="495" t="e">
        <f t="shared" si="177"/>
        <v>#DIV/0!</v>
      </c>
      <c r="BR263" s="495" t="e">
        <f t="shared" si="178"/>
        <v>#DIV/0!</v>
      </c>
      <c r="BS263" s="495" t="e">
        <f t="shared" si="179"/>
        <v>#DIV/0!</v>
      </c>
      <c r="BT263" s="495" t="e">
        <f t="shared" si="180"/>
        <v>#DIV/0!</v>
      </c>
      <c r="BU263" s="495" t="str">
        <f t="shared" si="181"/>
        <v xml:space="preserve"> </v>
      </c>
      <c r="BV263" s="495" t="e">
        <f t="shared" si="182"/>
        <v>#DIV/0!</v>
      </c>
      <c r="BW263" s="495" t="e">
        <f t="shared" si="183"/>
        <v>#DIV/0!</v>
      </c>
      <c r="BX263" s="495" t="e">
        <f t="shared" si="184"/>
        <v>#DIV/0!</v>
      </c>
      <c r="BY263" s="495" t="str">
        <f t="shared" si="185"/>
        <v xml:space="preserve"> </v>
      </c>
    </row>
    <row r="264" spans="1:77" s="28" customFormat="1" ht="34.5" customHeight="1">
      <c r="A264" s="954" t="s">
        <v>304</v>
      </c>
      <c r="B264" s="954"/>
      <c r="C264" s="368">
        <f>SUM(C263)</f>
        <v>3118.3</v>
      </c>
      <c r="D264" s="396"/>
      <c r="E264" s="368" t="s">
        <v>391</v>
      </c>
      <c r="F264" s="249"/>
      <c r="G264" s="249"/>
      <c r="H264" s="368">
        <f>SUM(H263)</f>
        <v>2757884.8</v>
      </c>
      <c r="I264" s="368">
        <f t="shared" ref="I264:AL264" si="233">SUM(I263)</f>
        <v>0</v>
      </c>
      <c r="J264" s="368">
        <f t="shared" si="233"/>
        <v>0</v>
      </c>
      <c r="K264" s="368">
        <f t="shared" si="233"/>
        <v>0</v>
      </c>
      <c r="L264" s="368">
        <f t="shared" si="233"/>
        <v>0</v>
      </c>
      <c r="M264" s="368">
        <f t="shared" si="233"/>
        <v>0</v>
      </c>
      <c r="N264" s="368">
        <f t="shared" si="233"/>
        <v>0</v>
      </c>
      <c r="O264" s="368">
        <f t="shared" si="233"/>
        <v>0</v>
      </c>
      <c r="P264" s="368">
        <f t="shared" si="233"/>
        <v>0</v>
      </c>
      <c r="Q264" s="368">
        <f t="shared" si="233"/>
        <v>0</v>
      </c>
      <c r="R264" s="368">
        <f t="shared" si="233"/>
        <v>0</v>
      </c>
      <c r="S264" s="368">
        <f t="shared" si="233"/>
        <v>0</v>
      </c>
      <c r="T264" s="368">
        <f t="shared" si="233"/>
        <v>0</v>
      </c>
      <c r="U264" s="130">
        <f t="shared" si="233"/>
        <v>0</v>
      </c>
      <c r="V264" s="368">
        <f t="shared" si="233"/>
        <v>0</v>
      </c>
      <c r="W264" s="368">
        <f t="shared" si="233"/>
        <v>827.2</v>
      </c>
      <c r="X264" s="368">
        <f t="shared" si="233"/>
        <v>2633779.9900000002</v>
      </c>
      <c r="Y264" s="368">
        <f t="shared" si="233"/>
        <v>0</v>
      </c>
      <c r="Z264" s="368">
        <f t="shared" si="233"/>
        <v>0</v>
      </c>
      <c r="AA264" s="368">
        <f t="shared" si="233"/>
        <v>0</v>
      </c>
      <c r="AB264" s="368">
        <f t="shared" si="233"/>
        <v>0</v>
      </c>
      <c r="AC264" s="368">
        <f t="shared" si="233"/>
        <v>0</v>
      </c>
      <c r="AD264" s="368">
        <f t="shared" si="233"/>
        <v>0</v>
      </c>
      <c r="AE264" s="368">
        <f t="shared" si="233"/>
        <v>0</v>
      </c>
      <c r="AF264" s="368">
        <f t="shared" si="233"/>
        <v>0</v>
      </c>
      <c r="AG264" s="368">
        <f t="shared" si="233"/>
        <v>0</v>
      </c>
      <c r="AH264" s="368">
        <f t="shared" si="233"/>
        <v>0</v>
      </c>
      <c r="AI264" s="368">
        <f t="shared" si="233"/>
        <v>0</v>
      </c>
      <c r="AJ264" s="368">
        <f t="shared" si="233"/>
        <v>82736.539999999994</v>
      </c>
      <c r="AK264" s="368">
        <f t="shared" si="233"/>
        <v>41368.269999999997</v>
      </c>
      <c r="AL264" s="368">
        <f t="shared" si="233"/>
        <v>0</v>
      </c>
      <c r="AM264" s="280"/>
      <c r="AN264" s="280"/>
      <c r="AP264" s="486" t="e">
        <f t="shared" si="158"/>
        <v>#DIV/0!</v>
      </c>
      <c r="AQ264" s="486" t="e">
        <f t="shared" si="164"/>
        <v>#DIV/0!</v>
      </c>
      <c r="AR264" s="497" t="e">
        <f t="shared" si="165"/>
        <v>#DIV/0!</v>
      </c>
      <c r="AS264" s="497" t="e">
        <f t="shared" si="166"/>
        <v>#DIV/0!</v>
      </c>
      <c r="AT264" s="497" t="e">
        <f t="shared" si="167"/>
        <v>#DIV/0!</v>
      </c>
      <c r="AU264" s="497" t="e">
        <f t="shared" si="168"/>
        <v>#DIV/0!</v>
      </c>
      <c r="AV264" s="497" t="e">
        <f t="shared" si="169"/>
        <v>#DIV/0!</v>
      </c>
      <c r="AW264" s="497">
        <f t="shared" si="170"/>
        <v>3183.9700072533851</v>
      </c>
      <c r="AX264" s="497" t="e">
        <f t="shared" si="171"/>
        <v>#DIV/0!</v>
      </c>
      <c r="AY264" s="486" t="e">
        <f t="shared" si="172"/>
        <v>#DIV/0!</v>
      </c>
      <c r="AZ264" s="497" t="e">
        <f t="shared" si="173"/>
        <v>#DIV/0!</v>
      </c>
      <c r="BA264" s="486">
        <f t="shared" si="159"/>
        <v>0</v>
      </c>
      <c r="BB264" s="494">
        <v>5155.41</v>
      </c>
      <c r="BC264" s="494">
        <v>2070.12</v>
      </c>
      <c r="BD264" s="494">
        <v>848.92</v>
      </c>
      <c r="BE264" s="494">
        <v>819.73</v>
      </c>
      <c r="BF264" s="494">
        <v>611.5</v>
      </c>
      <c r="BG264" s="494">
        <v>1080.04</v>
      </c>
      <c r="BH264" s="494">
        <v>2671800.0099999998</v>
      </c>
      <c r="BI264" s="494">
        <f t="shared" si="192"/>
        <v>4422.8500000000004</v>
      </c>
      <c r="BJ264" s="494">
        <v>14289.54</v>
      </c>
      <c r="BK264" s="494">
        <v>3389.61</v>
      </c>
      <c r="BL264" s="494">
        <v>5995.76</v>
      </c>
      <c r="BM264" s="494">
        <v>548.62</v>
      </c>
      <c r="BN264" s="493" t="e">
        <f t="shared" si="174"/>
        <v>#DIV/0!</v>
      </c>
      <c r="BO264" s="493" t="e">
        <f t="shared" si="175"/>
        <v>#DIV/0!</v>
      </c>
      <c r="BP264" s="493" t="e">
        <f t="shared" si="176"/>
        <v>#DIV/0!</v>
      </c>
      <c r="BQ264" s="493" t="e">
        <f t="shared" si="177"/>
        <v>#DIV/0!</v>
      </c>
      <c r="BR264" s="493" t="e">
        <f t="shared" si="178"/>
        <v>#DIV/0!</v>
      </c>
      <c r="BS264" s="493" t="e">
        <f t="shared" si="179"/>
        <v>#DIV/0!</v>
      </c>
      <c r="BT264" s="493" t="e">
        <f t="shared" si="180"/>
        <v>#DIV/0!</v>
      </c>
      <c r="BU264" s="493" t="str">
        <f t="shared" si="181"/>
        <v xml:space="preserve"> </v>
      </c>
      <c r="BV264" s="493" t="e">
        <f t="shared" si="182"/>
        <v>#DIV/0!</v>
      </c>
      <c r="BW264" s="493" t="e">
        <f t="shared" si="183"/>
        <v>#DIV/0!</v>
      </c>
      <c r="BX264" s="493" t="e">
        <f t="shared" si="184"/>
        <v>#DIV/0!</v>
      </c>
      <c r="BY264" s="493" t="str">
        <f t="shared" si="185"/>
        <v xml:space="preserve"> </v>
      </c>
    </row>
    <row r="265" spans="1:77" s="28" customFormat="1" ht="12" customHeight="1">
      <c r="A265" s="871" t="s">
        <v>330</v>
      </c>
      <c r="B265" s="872"/>
      <c r="C265" s="872"/>
      <c r="D265" s="872"/>
      <c r="E265" s="872"/>
      <c r="F265" s="872"/>
      <c r="G265" s="872"/>
      <c r="H265" s="872"/>
      <c r="I265" s="872"/>
      <c r="J265" s="872"/>
      <c r="K265" s="872"/>
      <c r="L265" s="872"/>
      <c r="M265" s="872"/>
      <c r="N265" s="872"/>
      <c r="O265" s="872"/>
      <c r="P265" s="872"/>
      <c r="Q265" s="872"/>
      <c r="R265" s="872"/>
      <c r="S265" s="872"/>
      <c r="T265" s="872"/>
      <c r="U265" s="872"/>
      <c r="V265" s="872"/>
      <c r="W265" s="872"/>
      <c r="X265" s="872"/>
      <c r="Y265" s="872"/>
      <c r="Z265" s="872"/>
      <c r="AA265" s="872"/>
      <c r="AB265" s="872"/>
      <c r="AC265" s="872"/>
      <c r="AD265" s="872"/>
      <c r="AE265" s="872"/>
      <c r="AF265" s="872"/>
      <c r="AG265" s="872"/>
      <c r="AH265" s="872"/>
      <c r="AI265" s="872"/>
      <c r="AJ265" s="872"/>
      <c r="AK265" s="872"/>
      <c r="AL265" s="873"/>
      <c r="AM265" s="280"/>
      <c r="AN265" s="280"/>
      <c r="AP265" s="486" t="e">
        <f t="shared" si="158"/>
        <v>#DIV/0!</v>
      </c>
      <c r="AQ265" s="486" t="e">
        <f t="shared" si="164"/>
        <v>#DIV/0!</v>
      </c>
      <c r="AR265" s="497" t="e">
        <f t="shared" si="165"/>
        <v>#DIV/0!</v>
      </c>
      <c r="AS265" s="497" t="e">
        <f t="shared" si="166"/>
        <v>#DIV/0!</v>
      </c>
      <c r="AT265" s="497" t="e">
        <f t="shared" si="167"/>
        <v>#DIV/0!</v>
      </c>
      <c r="AU265" s="497" t="e">
        <f t="shared" si="168"/>
        <v>#DIV/0!</v>
      </c>
      <c r="AV265" s="497" t="e">
        <f t="shared" si="169"/>
        <v>#DIV/0!</v>
      </c>
      <c r="AW265" s="497" t="e">
        <f t="shared" si="170"/>
        <v>#DIV/0!</v>
      </c>
      <c r="AX265" s="497" t="e">
        <f t="shared" si="171"/>
        <v>#DIV/0!</v>
      </c>
      <c r="AY265" s="486" t="e">
        <f t="shared" si="172"/>
        <v>#DIV/0!</v>
      </c>
      <c r="AZ265" s="497" t="e">
        <f t="shared" si="173"/>
        <v>#DIV/0!</v>
      </c>
      <c r="BA265" s="486" t="e">
        <f t="shared" si="159"/>
        <v>#DIV/0!</v>
      </c>
      <c r="BB265" s="494">
        <v>5155.41</v>
      </c>
      <c r="BC265" s="494">
        <v>2070.12</v>
      </c>
      <c r="BD265" s="494">
        <v>848.92</v>
      </c>
      <c r="BE265" s="494">
        <v>819.73</v>
      </c>
      <c r="BF265" s="494">
        <v>611.5</v>
      </c>
      <c r="BG265" s="494">
        <v>1080.04</v>
      </c>
      <c r="BH265" s="494">
        <v>2671800.0099999998</v>
      </c>
      <c r="BI265" s="494">
        <f t="shared" si="192"/>
        <v>4422.8500000000004</v>
      </c>
      <c r="BJ265" s="494">
        <v>14289.54</v>
      </c>
      <c r="BK265" s="494">
        <v>3389.61</v>
      </c>
      <c r="BL265" s="494">
        <v>5995.76</v>
      </c>
      <c r="BM265" s="494">
        <v>548.62</v>
      </c>
      <c r="BN265" s="493" t="e">
        <f t="shared" si="174"/>
        <v>#DIV/0!</v>
      </c>
      <c r="BO265" s="493" t="e">
        <f t="shared" si="175"/>
        <v>#DIV/0!</v>
      </c>
      <c r="BP265" s="493" t="e">
        <f t="shared" si="176"/>
        <v>#DIV/0!</v>
      </c>
      <c r="BQ265" s="493" t="e">
        <f t="shared" si="177"/>
        <v>#DIV/0!</v>
      </c>
      <c r="BR265" s="493" t="e">
        <f t="shared" si="178"/>
        <v>#DIV/0!</v>
      </c>
      <c r="BS265" s="493" t="e">
        <f t="shared" si="179"/>
        <v>#DIV/0!</v>
      </c>
      <c r="BT265" s="493" t="e">
        <f t="shared" si="180"/>
        <v>#DIV/0!</v>
      </c>
      <c r="BU265" s="493" t="e">
        <f t="shared" si="181"/>
        <v>#DIV/0!</v>
      </c>
      <c r="BV265" s="493" t="e">
        <f t="shared" si="182"/>
        <v>#DIV/0!</v>
      </c>
      <c r="BW265" s="493" t="e">
        <f t="shared" si="183"/>
        <v>#DIV/0!</v>
      </c>
      <c r="BX265" s="493" t="e">
        <f t="shared" si="184"/>
        <v>#DIV/0!</v>
      </c>
      <c r="BY265" s="493" t="e">
        <f t="shared" si="185"/>
        <v>#DIV/0!</v>
      </c>
    </row>
    <row r="266" spans="1:77" s="28" customFormat="1" ht="9" customHeight="1">
      <c r="A266" s="178">
        <v>216</v>
      </c>
      <c r="B266" s="276" t="s">
        <v>889</v>
      </c>
      <c r="C266" s="249">
        <f>4576.57+103.1</f>
        <v>4679.67</v>
      </c>
      <c r="D266" s="376"/>
      <c r="E266" s="368" t="s">
        <v>1005</v>
      </c>
      <c r="F266" s="249"/>
      <c r="G266" s="249"/>
      <c r="H266" s="368">
        <v>3904114</v>
      </c>
      <c r="I266" s="368">
        <f t="shared" ref="I266:I269" si="234">J266+L266+N266+P266+R266+T266</f>
        <v>0</v>
      </c>
      <c r="J266" s="217">
        <v>0</v>
      </c>
      <c r="K266" s="469">
        <v>0</v>
      </c>
      <c r="L266" s="217">
        <v>0</v>
      </c>
      <c r="M266" s="469">
        <v>0</v>
      </c>
      <c r="N266" s="217">
        <v>0</v>
      </c>
      <c r="O266" s="249">
        <v>0</v>
      </c>
      <c r="P266" s="368">
        <v>0</v>
      </c>
      <c r="Q266" s="249">
        <v>0</v>
      </c>
      <c r="R266" s="368">
        <v>0</v>
      </c>
      <c r="S266" s="249">
        <v>0</v>
      </c>
      <c r="T266" s="368">
        <v>0</v>
      </c>
      <c r="U266" s="130">
        <v>0</v>
      </c>
      <c r="V266" s="368">
        <v>0</v>
      </c>
      <c r="W266" s="370">
        <v>1171</v>
      </c>
      <c r="X266" s="368">
        <f>ROUND(H266/100*95.5,2)</f>
        <v>3728428.87</v>
      </c>
      <c r="Y266" s="370">
        <v>0</v>
      </c>
      <c r="Z266" s="370">
        <v>0</v>
      </c>
      <c r="AA266" s="370">
        <v>0</v>
      </c>
      <c r="AB266" s="370">
        <v>0</v>
      </c>
      <c r="AC266" s="370">
        <v>0</v>
      </c>
      <c r="AD266" s="370">
        <v>0</v>
      </c>
      <c r="AE266" s="370">
        <v>0</v>
      </c>
      <c r="AF266" s="370">
        <v>0</v>
      </c>
      <c r="AG266" s="370">
        <v>0</v>
      </c>
      <c r="AH266" s="370">
        <v>0</v>
      </c>
      <c r="AI266" s="370">
        <v>0</v>
      </c>
      <c r="AJ266" s="370">
        <f t="shared" ref="AJ266:AJ269" si="235">ROUND(H266/100*3,2)</f>
        <v>117123.42</v>
      </c>
      <c r="AK266" s="370">
        <f t="shared" ref="AK266:AK269" si="236">ROUND(H266/100*1.5,2)</f>
        <v>58561.71</v>
      </c>
      <c r="AL266" s="370">
        <v>0</v>
      </c>
      <c r="AM266" s="446"/>
      <c r="AN266" s="446"/>
      <c r="AP266" s="486" t="e">
        <f t="shared" si="158"/>
        <v>#DIV/0!</v>
      </c>
      <c r="AQ266" s="486" t="e">
        <f t="shared" si="164"/>
        <v>#DIV/0!</v>
      </c>
      <c r="AR266" s="486" t="e">
        <f t="shared" si="165"/>
        <v>#DIV/0!</v>
      </c>
      <c r="AS266" s="486" t="e">
        <f t="shared" si="166"/>
        <v>#DIV/0!</v>
      </c>
      <c r="AT266" s="486" t="e">
        <f t="shared" si="167"/>
        <v>#DIV/0!</v>
      </c>
      <c r="AU266" s="486" t="e">
        <f t="shared" si="168"/>
        <v>#DIV/0!</v>
      </c>
      <c r="AV266" s="486" t="e">
        <f t="shared" si="169"/>
        <v>#DIV/0!</v>
      </c>
      <c r="AW266" s="486">
        <f t="shared" si="170"/>
        <v>3183.9700000000003</v>
      </c>
      <c r="AX266" s="486" t="e">
        <f t="shared" si="171"/>
        <v>#DIV/0!</v>
      </c>
      <c r="AY266" s="486" t="e">
        <f t="shared" si="172"/>
        <v>#DIV/0!</v>
      </c>
      <c r="AZ266" s="486" t="e">
        <f t="shared" si="173"/>
        <v>#DIV/0!</v>
      </c>
      <c r="BA266" s="486">
        <f t="shared" si="159"/>
        <v>0</v>
      </c>
      <c r="BB266" s="494">
        <v>5155.41</v>
      </c>
      <c r="BC266" s="494">
        <v>2070.12</v>
      </c>
      <c r="BD266" s="494">
        <v>848.92</v>
      </c>
      <c r="BE266" s="494">
        <v>819.73</v>
      </c>
      <c r="BF266" s="494">
        <v>611.5</v>
      </c>
      <c r="BG266" s="494">
        <v>1080.04</v>
      </c>
      <c r="BH266" s="494">
        <v>2671800.0099999998</v>
      </c>
      <c r="BI266" s="494">
        <f t="shared" si="192"/>
        <v>4607.6000000000004</v>
      </c>
      <c r="BJ266" s="494">
        <v>14289.54</v>
      </c>
      <c r="BK266" s="494">
        <v>3389.61</v>
      </c>
      <c r="BL266" s="494">
        <v>5995.76</v>
      </c>
      <c r="BM266" s="494">
        <v>548.62</v>
      </c>
      <c r="BN266" s="495" t="e">
        <f t="shared" si="174"/>
        <v>#DIV/0!</v>
      </c>
      <c r="BO266" s="495" t="e">
        <f t="shared" si="175"/>
        <v>#DIV/0!</v>
      </c>
      <c r="BP266" s="495" t="e">
        <f t="shared" si="176"/>
        <v>#DIV/0!</v>
      </c>
      <c r="BQ266" s="495" t="e">
        <f t="shared" si="177"/>
        <v>#DIV/0!</v>
      </c>
      <c r="BR266" s="495" t="e">
        <f t="shared" si="178"/>
        <v>#DIV/0!</v>
      </c>
      <c r="BS266" s="495" t="e">
        <f t="shared" si="179"/>
        <v>#DIV/0!</v>
      </c>
      <c r="BT266" s="495" t="e">
        <f t="shared" si="180"/>
        <v>#DIV/0!</v>
      </c>
      <c r="BU266" s="495" t="str">
        <f t="shared" si="181"/>
        <v xml:space="preserve"> </v>
      </c>
      <c r="BV266" s="495" t="e">
        <f t="shared" si="182"/>
        <v>#DIV/0!</v>
      </c>
      <c r="BW266" s="495" t="e">
        <f t="shared" si="183"/>
        <v>#DIV/0!</v>
      </c>
      <c r="BX266" s="495" t="e">
        <f t="shared" si="184"/>
        <v>#DIV/0!</v>
      </c>
      <c r="BY266" s="495" t="str">
        <f t="shared" si="185"/>
        <v xml:space="preserve"> </v>
      </c>
    </row>
    <row r="267" spans="1:77" s="28" customFormat="1" ht="9" customHeight="1">
      <c r="A267" s="178">
        <v>217</v>
      </c>
      <c r="B267" s="276" t="s">
        <v>890</v>
      </c>
      <c r="C267" s="249">
        <v>3784</v>
      </c>
      <c r="D267" s="376"/>
      <c r="E267" s="368" t="s">
        <v>1005</v>
      </c>
      <c r="F267" s="249"/>
      <c r="G267" s="249"/>
      <c r="H267" s="368">
        <v>3273988</v>
      </c>
      <c r="I267" s="368">
        <f t="shared" si="234"/>
        <v>0</v>
      </c>
      <c r="J267" s="217">
        <v>0</v>
      </c>
      <c r="K267" s="469">
        <v>0</v>
      </c>
      <c r="L267" s="217">
        <v>0</v>
      </c>
      <c r="M267" s="469">
        <v>0</v>
      </c>
      <c r="N267" s="217">
        <v>0</v>
      </c>
      <c r="O267" s="249">
        <v>0</v>
      </c>
      <c r="P267" s="368">
        <v>0</v>
      </c>
      <c r="Q267" s="249">
        <v>0</v>
      </c>
      <c r="R267" s="368">
        <v>0</v>
      </c>
      <c r="S267" s="249">
        <v>0</v>
      </c>
      <c r="T267" s="368">
        <v>0</v>
      </c>
      <c r="U267" s="130">
        <v>0</v>
      </c>
      <c r="V267" s="368">
        <v>0</v>
      </c>
      <c r="W267" s="370">
        <v>982</v>
      </c>
      <c r="X267" s="368">
        <f>ROUND(H267/100*95.5,2)</f>
        <v>3126658.54</v>
      </c>
      <c r="Y267" s="370">
        <v>0</v>
      </c>
      <c r="Z267" s="370">
        <v>0</v>
      </c>
      <c r="AA267" s="370">
        <v>0</v>
      </c>
      <c r="AB267" s="370">
        <v>0</v>
      </c>
      <c r="AC267" s="370">
        <v>0</v>
      </c>
      <c r="AD267" s="370">
        <v>0</v>
      </c>
      <c r="AE267" s="370">
        <v>0</v>
      </c>
      <c r="AF267" s="370">
        <v>0</v>
      </c>
      <c r="AG267" s="370">
        <v>0</v>
      </c>
      <c r="AH267" s="370">
        <v>0</v>
      </c>
      <c r="AI267" s="370">
        <v>0</v>
      </c>
      <c r="AJ267" s="370">
        <f t="shared" si="235"/>
        <v>98219.64</v>
      </c>
      <c r="AK267" s="370">
        <f t="shared" si="236"/>
        <v>49109.82</v>
      </c>
      <c r="AL267" s="370">
        <v>0</v>
      </c>
      <c r="AM267" s="446"/>
      <c r="AN267" s="446"/>
      <c r="AP267" s="486" t="e">
        <f t="shared" si="158"/>
        <v>#DIV/0!</v>
      </c>
      <c r="AQ267" s="486" t="e">
        <f t="shared" si="164"/>
        <v>#DIV/0!</v>
      </c>
      <c r="AR267" s="486" t="e">
        <f t="shared" si="165"/>
        <v>#DIV/0!</v>
      </c>
      <c r="AS267" s="486" t="e">
        <f t="shared" si="166"/>
        <v>#DIV/0!</v>
      </c>
      <c r="AT267" s="486" t="e">
        <f t="shared" si="167"/>
        <v>#DIV/0!</v>
      </c>
      <c r="AU267" s="486" t="e">
        <f t="shared" si="168"/>
        <v>#DIV/0!</v>
      </c>
      <c r="AV267" s="486" t="e">
        <f t="shared" si="169"/>
        <v>#DIV/0!</v>
      </c>
      <c r="AW267" s="486">
        <f t="shared" si="170"/>
        <v>3183.9700000000003</v>
      </c>
      <c r="AX267" s="486" t="e">
        <f t="shared" si="171"/>
        <v>#DIV/0!</v>
      </c>
      <c r="AY267" s="486" t="e">
        <f t="shared" si="172"/>
        <v>#DIV/0!</v>
      </c>
      <c r="AZ267" s="486" t="e">
        <f t="shared" si="173"/>
        <v>#DIV/0!</v>
      </c>
      <c r="BA267" s="486">
        <f t="shared" si="159"/>
        <v>0</v>
      </c>
      <c r="BB267" s="494">
        <v>5155.41</v>
      </c>
      <c r="BC267" s="494">
        <v>2070.12</v>
      </c>
      <c r="BD267" s="494">
        <v>848.92</v>
      </c>
      <c r="BE267" s="494">
        <v>819.73</v>
      </c>
      <c r="BF267" s="494">
        <v>611.5</v>
      </c>
      <c r="BG267" s="494">
        <v>1080.04</v>
      </c>
      <c r="BH267" s="494">
        <v>2671800.0099999998</v>
      </c>
      <c r="BI267" s="494">
        <f t="shared" si="192"/>
        <v>4607.6000000000004</v>
      </c>
      <c r="BJ267" s="494">
        <v>14289.54</v>
      </c>
      <c r="BK267" s="494">
        <v>3389.61</v>
      </c>
      <c r="BL267" s="494">
        <v>5995.76</v>
      </c>
      <c r="BM267" s="494">
        <v>548.62</v>
      </c>
      <c r="BN267" s="495" t="e">
        <f t="shared" si="174"/>
        <v>#DIV/0!</v>
      </c>
      <c r="BO267" s="495" t="e">
        <f t="shared" si="175"/>
        <v>#DIV/0!</v>
      </c>
      <c r="BP267" s="495" t="e">
        <f t="shared" si="176"/>
        <v>#DIV/0!</v>
      </c>
      <c r="BQ267" s="495" t="e">
        <f t="shared" si="177"/>
        <v>#DIV/0!</v>
      </c>
      <c r="BR267" s="495" t="e">
        <f t="shared" si="178"/>
        <v>#DIV/0!</v>
      </c>
      <c r="BS267" s="495" t="e">
        <f t="shared" si="179"/>
        <v>#DIV/0!</v>
      </c>
      <c r="BT267" s="495" t="e">
        <f t="shared" si="180"/>
        <v>#DIV/0!</v>
      </c>
      <c r="BU267" s="495" t="str">
        <f t="shared" si="181"/>
        <v xml:space="preserve"> </v>
      </c>
      <c r="BV267" s="495" t="e">
        <f t="shared" si="182"/>
        <v>#DIV/0!</v>
      </c>
      <c r="BW267" s="495" t="e">
        <f t="shared" si="183"/>
        <v>#DIV/0!</v>
      </c>
      <c r="BX267" s="495" t="e">
        <f t="shared" si="184"/>
        <v>#DIV/0!</v>
      </c>
      <c r="BY267" s="495" t="str">
        <f t="shared" si="185"/>
        <v xml:space="preserve"> </v>
      </c>
    </row>
    <row r="268" spans="1:77" s="28" customFormat="1" ht="9" customHeight="1">
      <c r="A268" s="178">
        <v>218</v>
      </c>
      <c r="B268" s="276" t="s">
        <v>891</v>
      </c>
      <c r="C268" s="249">
        <v>4220.7</v>
      </c>
      <c r="D268" s="376"/>
      <c r="E268" s="368" t="s">
        <v>1005</v>
      </c>
      <c r="F268" s="249"/>
      <c r="G268" s="249"/>
      <c r="H268" s="368">
        <v>3974128</v>
      </c>
      <c r="I268" s="368">
        <f t="shared" si="234"/>
        <v>0</v>
      </c>
      <c r="J268" s="217">
        <v>0</v>
      </c>
      <c r="K268" s="469">
        <v>0</v>
      </c>
      <c r="L268" s="217">
        <v>0</v>
      </c>
      <c r="M268" s="469">
        <v>0</v>
      </c>
      <c r="N268" s="217">
        <v>0</v>
      </c>
      <c r="O268" s="249">
        <v>0</v>
      </c>
      <c r="P268" s="368">
        <v>0</v>
      </c>
      <c r="Q268" s="249">
        <v>0</v>
      </c>
      <c r="R268" s="368">
        <v>0</v>
      </c>
      <c r="S268" s="249">
        <v>0</v>
      </c>
      <c r="T268" s="368">
        <v>0</v>
      </c>
      <c r="U268" s="130">
        <v>0</v>
      </c>
      <c r="V268" s="368">
        <v>0</v>
      </c>
      <c r="W268" s="370">
        <v>1192</v>
      </c>
      <c r="X268" s="368">
        <f>ROUND(H268/100*95.5,2)</f>
        <v>3795292.24</v>
      </c>
      <c r="Y268" s="370">
        <v>0</v>
      </c>
      <c r="Z268" s="370">
        <v>0</v>
      </c>
      <c r="AA268" s="370">
        <v>0</v>
      </c>
      <c r="AB268" s="370">
        <v>0</v>
      </c>
      <c r="AC268" s="370">
        <v>0</v>
      </c>
      <c r="AD268" s="370">
        <v>0</v>
      </c>
      <c r="AE268" s="370">
        <v>0</v>
      </c>
      <c r="AF268" s="370">
        <v>0</v>
      </c>
      <c r="AG268" s="370">
        <v>0</v>
      </c>
      <c r="AH268" s="370">
        <v>0</v>
      </c>
      <c r="AI268" s="370">
        <v>0</v>
      </c>
      <c r="AJ268" s="370">
        <f t="shared" si="235"/>
        <v>119223.84</v>
      </c>
      <c r="AK268" s="370">
        <f t="shared" si="236"/>
        <v>59611.92</v>
      </c>
      <c r="AL268" s="370">
        <v>0</v>
      </c>
      <c r="AM268" s="446"/>
      <c r="AN268" s="446"/>
      <c r="AP268" s="486" t="e">
        <f t="shared" si="158"/>
        <v>#DIV/0!</v>
      </c>
      <c r="AQ268" s="486" t="e">
        <f t="shared" si="164"/>
        <v>#DIV/0!</v>
      </c>
      <c r="AR268" s="486" t="e">
        <f t="shared" si="165"/>
        <v>#DIV/0!</v>
      </c>
      <c r="AS268" s="486" t="e">
        <f t="shared" si="166"/>
        <v>#DIV/0!</v>
      </c>
      <c r="AT268" s="486" t="e">
        <f t="shared" si="167"/>
        <v>#DIV/0!</v>
      </c>
      <c r="AU268" s="486" t="e">
        <f t="shared" si="168"/>
        <v>#DIV/0!</v>
      </c>
      <c r="AV268" s="486" t="e">
        <f t="shared" si="169"/>
        <v>#DIV/0!</v>
      </c>
      <c r="AW268" s="486">
        <f t="shared" si="170"/>
        <v>3183.9700000000003</v>
      </c>
      <c r="AX268" s="486" t="e">
        <f t="shared" si="171"/>
        <v>#DIV/0!</v>
      </c>
      <c r="AY268" s="486" t="e">
        <f t="shared" si="172"/>
        <v>#DIV/0!</v>
      </c>
      <c r="AZ268" s="486" t="e">
        <f t="shared" si="173"/>
        <v>#DIV/0!</v>
      </c>
      <c r="BA268" s="486">
        <f t="shared" si="159"/>
        <v>0</v>
      </c>
      <c r="BB268" s="494">
        <v>5155.41</v>
      </c>
      <c r="BC268" s="494">
        <v>2070.12</v>
      </c>
      <c r="BD268" s="494">
        <v>848.92</v>
      </c>
      <c r="BE268" s="494">
        <v>819.73</v>
      </c>
      <c r="BF268" s="494">
        <v>611.5</v>
      </c>
      <c r="BG268" s="494">
        <v>1080.04</v>
      </c>
      <c r="BH268" s="494">
        <v>2671800.0099999998</v>
      </c>
      <c r="BI268" s="494">
        <f t="shared" si="192"/>
        <v>4607.6000000000004</v>
      </c>
      <c r="BJ268" s="494">
        <v>14289.54</v>
      </c>
      <c r="BK268" s="494">
        <v>3389.61</v>
      </c>
      <c r="BL268" s="494">
        <v>5995.76</v>
      </c>
      <c r="BM268" s="494">
        <v>548.62</v>
      </c>
      <c r="BN268" s="495" t="e">
        <f t="shared" si="174"/>
        <v>#DIV/0!</v>
      </c>
      <c r="BO268" s="495" t="e">
        <f t="shared" si="175"/>
        <v>#DIV/0!</v>
      </c>
      <c r="BP268" s="495" t="e">
        <f t="shared" si="176"/>
        <v>#DIV/0!</v>
      </c>
      <c r="BQ268" s="495" t="e">
        <f t="shared" si="177"/>
        <v>#DIV/0!</v>
      </c>
      <c r="BR268" s="495" t="e">
        <f t="shared" si="178"/>
        <v>#DIV/0!</v>
      </c>
      <c r="BS268" s="495" t="e">
        <f t="shared" si="179"/>
        <v>#DIV/0!</v>
      </c>
      <c r="BT268" s="495" t="e">
        <f t="shared" si="180"/>
        <v>#DIV/0!</v>
      </c>
      <c r="BU268" s="495" t="str">
        <f t="shared" si="181"/>
        <v xml:space="preserve"> </v>
      </c>
      <c r="BV268" s="495" t="e">
        <f t="shared" si="182"/>
        <v>#DIV/0!</v>
      </c>
      <c r="BW268" s="495" t="e">
        <f t="shared" si="183"/>
        <v>#DIV/0!</v>
      </c>
      <c r="BX268" s="495" t="e">
        <f t="shared" si="184"/>
        <v>#DIV/0!</v>
      </c>
      <c r="BY268" s="495" t="str">
        <f t="shared" si="185"/>
        <v xml:space="preserve"> </v>
      </c>
    </row>
    <row r="269" spans="1:77" s="28" customFormat="1" ht="9" customHeight="1">
      <c r="A269" s="178">
        <v>219</v>
      </c>
      <c r="B269" s="276" t="s">
        <v>892</v>
      </c>
      <c r="C269" s="249">
        <f>4334.82+202.9</f>
        <v>4537.7199999999993</v>
      </c>
      <c r="D269" s="376"/>
      <c r="E269" s="368" t="s">
        <v>1005</v>
      </c>
      <c r="F269" s="249"/>
      <c r="G269" s="249"/>
      <c r="H269" s="368">
        <v>3767420</v>
      </c>
      <c r="I269" s="368">
        <f t="shared" si="234"/>
        <v>0</v>
      </c>
      <c r="J269" s="217">
        <v>0</v>
      </c>
      <c r="K269" s="469">
        <v>0</v>
      </c>
      <c r="L269" s="217">
        <v>0</v>
      </c>
      <c r="M269" s="469">
        <v>0</v>
      </c>
      <c r="N269" s="217">
        <v>0</v>
      </c>
      <c r="O269" s="249">
        <v>0</v>
      </c>
      <c r="P269" s="368">
        <v>0</v>
      </c>
      <c r="Q269" s="249">
        <v>0</v>
      </c>
      <c r="R269" s="368">
        <v>0</v>
      </c>
      <c r="S269" s="249">
        <v>0</v>
      </c>
      <c r="T269" s="368">
        <v>0</v>
      </c>
      <c r="U269" s="130">
        <v>0</v>
      </c>
      <c r="V269" s="368">
        <v>0</v>
      </c>
      <c r="W269" s="370">
        <v>1130</v>
      </c>
      <c r="X269" s="368">
        <f>ROUND(H269/100*95.5,2)</f>
        <v>3597886.1</v>
      </c>
      <c r="Y269" s="370">
        <v>0</v>
      </c>
      <c r="Z269" s="370">
        <v>0</v>
      </c>
      <c r="AA269" s="370">
        <v>0</v>
      </c>
      <c r="AB269" s="370">
        <v>0</v>
      </c>
      <c r="AC269" s="370">
        <v>0</v>
      </c>
      <c r="AD269" s="370">
        <v>0</v>
      </c>
      <c r="AE269" s="370">
        <v>0</v>
      </c>
      <c r="AF269" s="370">
        <v>0</v>
      </c>
      <c r="AG269" s="370">
        <v>0</v>
      </c>
      <c r="AH269" s="370">
        <v>0</v>
      </c>
      <c r="AI269" s="370">
        <v>0</v>
      </c>
      <c r="AJ269" s="370">
        <f t="shared" si="235"/>
        <v>113022.6</v>
      </c>
      <c r="AK269" s="370">
        <f t="shared" si="236"/>
        <v>56511.3</v>
      </c>
      <c r="AL269" s="370">
        <v>0</v>
      </c>
      <c r="AM269" s="446"/>
      <c r="AN269" s="446"/>
      <c r="AP269" s="486" t="e">
        <f t="shared" si="158"/>
        <v>#DIV/0!</v>
      </c>
      <c r="AQ269" s="486" t="e">
        <f t="shared" si="164"/>
        <v>#DIV/0!</v>
      </c>
      <c r="AR269" s="486" t="e">
        <f t="shared" si="165"/>
        <v>#DIV/0!</v>
      </c>
      <c r="AS269" s="486" t="e">
        <f t="shared" si="166"/>
        <v>#DIV/0!</v>
      </c>
      <c r="AT269" s="486" t="e">
        <f t="shared" si="167"/>
        <v>#DIV/0!</v>
      </c>
      <c r="AU269" s="486" t="e">
        <f t="shared" si="168"/>
        <v>#DIV/0!</v>
      </c>
      <c r="AV269" s="486" t="e">
        <f t="shared" si="169"/>
        <v>#DIV/0!</v>
      </c>
      <c r="AW269" s="486">
        <f t="shared" si="170"/>
        <v>3183.9700000000003</v>
      </c>
      <c r="AX269" s="486" t="e">
        <f t="shared" si="171"/>
        <v>#DIV/0!</v>
      </c>
      <c r="AY269" s="486" t="e">
        <f t="shared" si="172"/>
        <v>#DIV/0!</v>
      </c>
      <c r="AZ269" s="486" t="e">
        <f t="shared" si="173"/>
        <v>#DIV/0!</v>
      </c>
      <c r="BA269" s="486">
        <f t="shared" si="159"/>
        <v>0</v>
      </c>
      <c r="BB269" s="494">
        <v>5155.41</v>
      </c>
      <c r="BC269" s="494">
        <v>2070.12</v>
      </c>
      <c r="BD269" s="494">
        <v>848.92</v>
      </c>
      <c r="BE269" s="494">
        <v>819.73</v>
      </c>
      <c r="BF269" s="494">
        <v>611.5</v>
      </c>
      <c r="BG269" s="494">
        <v>1080.04</v>
      </c>
      <c r="BH269" s="494">
        <v>2671800.0099999998</v>
      </c>
      <c r="BI269" s="494">
        <f t="shared" si="192"/>
        <v>4607.6000000000004</v>
      </c>
      <c r="BJ269" s="494">
        <v>14289.54</v>
      </c>
      <c r="BK269" s="494">
        <v>3389.61</v>
      </c>
      <c r="BL269" s="494">
        <v>5995.76</v>
      </c>
      <c r="BM269" s="494">
        <v>548.62</v>
      </c>
      <c r="BN269" s="495" t="e">
        <f t="shared" si="174"/>
        <v>#DIV/0!</v>
      </c>
      <c r="BO269" s="495" t="e">
        <f t="shared" si="175"/>
        <v>#DIV/0!</v>
      </c>
      <c r="BP269" s="495" t="e">
        <f t="shared" si="176"/>
        <v>#DIV/0!</v>
      </c>
      <c r="BQ269" s="495" t="e">
        <f t="shared" si="177"/>
        <v>#DIV/0!</v>
      </c>
      <c r="BR269" s="495" t="e">
        <f t="shared" si="178"/>
        <v>#DIV/0!</v>
      </c>
      <c r="BS269" s="495" t="e">
        <f t="shared" si="179"/>
        <v>#DIV/0!</v>
      </c>
      <c r="BT269" s="495" t="e">
        <f t="shared" si="180"/>
        <v>#DIV/0!</v>
      </c>
      <c r="BU269" s="495" t="str">
        <f t="shared" si="181"/>
        <v xml:space="preserve"> </v>
      </c>
      <c r="BV269" s="495" t="e">
        <f t="shared" si="182"/>
        <v>#DIV/0!</v>
      </c>
      <c r="BW269" s="495" t="e">
        <f t="shared" si="183"/>
        <v>#DIV/0!</v>
      </c>
      <c r="BX269" s="495" t="e">
        <f t="shared" si="184"/>
        <v>#DIV/0!</v>
      </c>
      <c r="BY269" s="495" t="str">
        <f t="shared" si="185"/>
        <v xml:space="preserve"> </v>
      </c>
    </row>
    <row r="270" spans="1:77" s="28" customFormat="1" ht="23.25" customHeight="1">
      <c r="A270" s="955" t="s">
        <v>331</v>
      </c>
      <c r="B270" s="955"/>
      <c r="C270" s="180">
        <f>SUM(C266:C269)</f>
        <v>17222.089999999997</v>
      </c>
      <c r="D270" s="180"/>
      <c r="E270" s="368" t="s">
        <v>391</v>
      </c>
      <c r="F270" s="249"/>
      <c r="G270" s="249"/>
      <c r="H270" s="180">
        <f>SUM(H266:H269)</f>
        <v>14919650</v>
      </c>
      <c r="I270" s="180">
        <f t="shared" ref="I270:AL270" si="237">SUM(I266:I269)</f>
        <v>0</v>
      </c>
      <c r="J270" s="180">
        <f t="shared" si="237"/>
        <v>0</v>
      </c>
      <c r="K270" s="180">
        <f t="shared" si="237"/>
        <v>0</v>
      </c>
      <c r="L270" s="180">
        <f t="shared" si="237"/>
        <v>0</v>
      </c>
      <c r="M270" s="180">
        <f t="shared" si="237"/>
        <v>0</v>
      </c>
      <c r="N270" s="180">
        <f t="shared" si="237"/>
        <v>0</v>
      </c>
      <c r="O270" s="180">
        <f t="shared" si="237"/>
        <v>0</v>
      </c>
      <c r="P270" s="180">
        <f t="shared" si="237"/>
        <v>0</v>
      </c>
      <c r="Q270" s="180">
        <f t="shared" si="237"/>
        <v>0</v>
      </c>
      <c r="R270" s="180">
        <f t="shared" si="237"/>
        <v>0</v>
      </c>
      <c r="S270" s="180">
        <f t="shared" si="237"/>
        <v>0</v>
      </c>
      <c r="T270" s="180">
        <f t="shared" si="237"/>
        <v>0</v>
      </c>
      <c r="U270" s="181">
        <f t="shared" si="237"/>
        <v>0</v>
      </c>
      <c r="V270" s="180">
        <f t="shared" si="237"/>
        <v>0</v>
      </c>
      <c r="W270" s="180">
        <f t="shared" si="237"/>
        <v>4475</v>
      </c>
      <c r="X270" s="180">
        <f t="shared" si="237"/>
        <v>14248265.75</v>
      </c>
      <c r="Y270" s="180">
        <f t="shared" si="237"/>
        <v>0</v>
      </c>
      <c r="Z270" s="180">
        <f t="shared" si="237"/>
        <v>0</v>
      </c>
      <c r="AA270" s="180">
        <f t="shared" si="237"/>
        <v>0</v>
      </c>
      <c r="AB270" s="180">
        <f t="shared" si="237"/>
        <v>0</v>
      </c>
      <c r="AC270" s="180">
        <f t="shared" si="237"/>
        <v>0</v>
      </c>
      <c r="AD270" s="180">
        <f t="shared" si="237"/>
        <v>0</v>
      </c>
      <c r="AE270" s="180">
        <f t="shared" si="237"/>
        <v>0</v>
      </c>
      <c r="AF270" s="180">
        <f t="shared" si="237"/>
        <v>0</v>
      </c>
      <c r="AG270" s="180">
        <f t="shared" si="237"/>
        <v>0</v>
      </c>
      <c r="AH270" s="180">
        <f t="shared" si="237"/>
        <v>0</v>
      </c>
      <c r="AI270" s="180">
        <f t="shared" si="237"/>
        <v>0</v>
      </c>
      <c r="AJ270" s="180">
        <f t="shared" si="237"/>
        <v>447589.5</v>
      </c>
      <c r="AK270" s="180">
        <f t="shared" si="237"/>
        <v>223794.75</v>
      </c>
      <c r="AL270" s="180">
        <f t="shared" si="237"/>
        <v>0</v>
      </c>
      <c r="AM270" s="280"/>
      <c r="AN270" s="280"/>
      <c r="AP270" s="486" t="e">
        <f t="shared" si="158"/>
        <v>#DIV/0!</v>
      </c>
      <c r="AQ270" s="486" t="e">
        <f t="shared" si="164"/>
        <v>#DIV/0!</v>
      </c>
      <c r="AR270" s="497" t="e">
        <f t="shared" si="165"/>
        <v>#DIV/0!</v>
      </c>
      <c r="AS270" s="497" t="e">
        <f t="shared" si="166"/>
        <v>#DIV/0!</v>
      </c>
      <c r="AT270" s="497" t="e">
        <f t="shared" si="167"/>
        <v>#DIV/0!</v>
      </c>
      <c r="AU270" s="497" t="e">
        <f t="shared" si="168"/>
        <v>#DIV/0!</v>
      </c>
      <c r="AV270" s="497" t="e">
        <f t="shared" si="169"/>
        <v>#DIV/0!</v>
      </c>
      <c r="AW270" s="497">
        <f t="shared" si="170"/>
        <v>3183.97</v>
      </c>
      <c r="AX270" s="497" t="e">
        <f t="shared" si="171"/>
        <v>#DIV/0!</v>
      </c>
      <c r="AY270" s="486" t="e">
        <f t="shared" si="172"/>
        <v>#DIV/0!</v>
      </c>
      <c r="AZ270" s="497" t="e">
        <f t="shared" si="173"/>
        <v>#DIV/0!</v>
      </c>
      <c r="BA270" s="486">
        <f t="shared" si="159"/>
        <v>0</v>
      </c>
      <c r="BB270" s="494">
        <v>5155.41</v>
      </c>
      <c r="BC270" s="494">
        <v>2070.12</v>
      </c>
      <c r="BD270" s="494">
        <v>848.92</v>
      </c>
      <c r="BE270" s="494">
        <v>819.73</v>
      </c>
      <c r="BF270" s="494">
        <v>611.5</v>
      </c>
      <c r="BG270" s="494">
        <v>1080.04</v>
      </c>
      <c r="BH270" s="494">
        <v>2671800.0099999998</v>
      </c>
      <c r="BI270" s="494">
        <f t="shared" si="192"/>
        <v>4422.8500000000004</v>
      </c>
      <c r="BJ270" s="494">
        <v>14289.54</v>
      </c>
      <c r="BK270" s="494">
        <v>3389.61</v>
      </c>
      <c r="BL270" s="494">
        <v>5995.76</v>
      </c>
      <c r="BM270" s="494">
        <v>548.62</v>
      </c>
      <c r="BN270" s="493" t="e">
        <f t="shared" si="174"/>
        <v>#DIV/0!</v>
      </c>
      <c r="BO270" s="493" t="e">
        <f t="shared" si="175"/>
        <v>#DIV/0!</v>
      </c>
      <c r="BP270" s="493" t="e">
        <f t="shared" si="176"/>
        <v>#DIV/0!</v>
      </c>
      <c r="BQ270" s="493" t="e">
        <f t="shared" si="177"/>
        <v>#DIV/0!</v>
      </c>
      <c r="BR270" s="493" t="e">
        <f t="shared" si="178"/>
        <v>#DIV/0!</v>
      </c>
      <c r="BS270" s="493" t="e">
        <f t="shared" si="179"/>
        <v>#DIV/0!</v>
      </c>
      <c r="BT270" s="493" t="e">
        <f t="shared" si="180"/>
        <v>#DIV/0!</v>
      </c>
      <c r="BU270" s="493" t="str">
        <f t="shared" si="181"/>
        <v xml:space="preserve"> </v>
      </c>
      <c r="BV270" s="493" t="e">
        <f t="shared" si="182"/>
        <v>#DIV/0!</v>
      </c>
      <c r="BW270" s="493" t="e">
        <f t="shared" si="183"/>
        <v>#DIV/0!</v>
      </c>
      <c r="BX270" s="493" t="e">
        <f t="shared" si="184"/>
        <v>#DIV/0!</v>
      </c>
      <c r="BY270" s="493" t="str">
        <f t="shared" si="185"/>
        <v xml:space="preserve"> </v>
      </c>
    </row>
    <row r="271" spans="1:77" s="28" customFormat="1" ht="12" customHeight="1">
      <c r="A271" s="837" t="s">
        <v>902</v>
      </c>
      <c r="B271" s="838"/>
      <c r="C271" s="838"/>
      <c r="D271" s="838"/>
      <c r="E271" s="838"/>
      <c r="F271" s="838"/>
      <c r="G271" s="838"/>
      <c r="H271" s="838"/>
      <c r="I271" s="838"/>
      <c r="J271" s="838"/>
      <c r="K271" s="838"/>
      <c r="L271" s="838"/>
      <c r="M271" s="838"/>
      <c r="N271" s="838"/>
      <c r="O271" s="838"/>
      <c r="P271" s="838"/>
      <c r="Q271" s="838"/>
      <c r="R271" s="838"/>
      <c r="S271" s="838"/>
      <c r="T271" s="838"/>
      <c r="U271" s="838"/>
      <c r="V271" s="838"/>
      <c r="W271" s="838"/>
      <c r="X271" s="838"/>
      <c r="Y271" s="838"/>
      <c r="Z271" s="838"/>
      <c r="AA271" s="838"/>
      <c r="AB271" s="838"/>
      <c r="AC271" s="838"/>
      <c r="AD271" s="838"/>
      <c r="AE271" s="838"/>
      <c r="AF271" s="838"/>
      <c r="AG271" s="838"/>
      <c r="AH271" s="838"/>
      <c r="AI271" s="838"/>
      <c r="AJ271" s="838"/>
      <c r="AK271" s="838"/>
      <c r="AL271" s="839"/>
      <c r="AM271" s="280"/>
      <c r="AN271" s="280"/>
      <c r="AP271" s="486" t="e">
        <f t="shared" si="158"/>
        <v>#DIV/0!</v>
      </c>
      <c r="AQ271" s="486" t="e">
        <f t="shared" si="164"/>
        <v>#DIV/0!</v>
      </c>
      <c r="AR271" s="497" t="e">
        <f t="shared" si="165"/>
        <v>#DIV/0!</v>
      </c>
      <c r="AS271" s="497" t="e">
        <f t="shared" si="166"/>
        <v>#DIV/0!</v>
      </c>
      <c r="AT271" s="497" t="e">
        <f t="shared" si="167"/>
        <v>#DIV/0!</v>
      </c>
      <c r="AU271" s="497" t="e">
        <f t="shared" si="168"/>
        <v>#DIV/0!</v>
      </c>
      <c r="AV271" s="497" t="e">
        <f t="shared" si="169"/>
        <v>#DIV/0!</v>
      </c>
      <c r="AW271" s="497" t="e">
        <f t="shared" si="170"/>
        <v>#DIV/0!</v>
      </c>
      <c r="AX271" s="497" t="e">
        <f t="shared" si="171"/>
        <v>#DIV/0!</v>
      </c>
      <c r="AY271" s="486" t="e">
        <f t="shared" si="172"/>
        <v>#DIV/0!</v>
      </c>
      <c r="AZ271" s="497" t="e">
        <f t="shared" si="173"/>
        <v>#DIV/0!</v>
      </c>
      <c r="BA271" s="486" t="e">
        <f t="shared" si="159"/>
        <v>#DIV/0!</v>
      </c>
      <c r="BB271" s="494">
        <v>5155.41</v>
      </c>
      <c r="BC271" s="494">
        <v>2070.12</v>
      </c>
      <c r="BD271" s="494">
        <v>848.92</v>
      </c>
      <c r="BE271" s="494">
        <v>819.73</v>
      </c>
      <c r="BF271" s="494">
        <v>611.5</v>
      </c>
      <c r="BG271" s="494">
        <v>1080.04</v>
      </c>
      <c r="BH271" s="494">
        <v>2671800.0099999998</v>
      </c>
      <c r="BI271" s="494">
        <f t="shared" si="192"/>
        <v>4422.8500000000004</v>
      </c>
      <c r="BJ271" s="494">
        <v>14289.54</v>
      </c>
      <c r="BK271" s="494">
        <v>3389.61</v>
      </c>
      <c r="BL271" s="494">
        <v>5995.76</v>
      </c>
      <c r="BM271" s="494">
        <v>548.62</v>
      </c>
      <c r="BN271" s="493" t="e">
        <f t="shared" si="174"/>
        <v>#DIV/0!</v>
      </c>
      <c r="BO271" s="493" t="e">
        <f t="shared" si="175"/>
        <v>#DIV/0!</v>
      </c>
      <c r="BP271" s="493" t="e">
        <f t="shared" si="176"/>
        <v>#DIV/0!</v>
      </c>
      <c r="BQ271" s="493" t="e">
        <f t="shared" si="177"/>
        <v>#DIV/0!</v>
      </c>
      <c r="BR271" s="493" t="e">
        <f t="shared" si="178"/>
        <v>#DIV/0!</v>
      </c>
      <c r="BS271" s="493" t="e">
        <f t="shared" si="179"/>
        <v>#DIV/0!</v>
      </c>
      <c r="BT271" s="493" t="e">
        <f t="shared" si="180"/>
        <v>#DIV/0!</v>
      </c>
      <c r="BU271" s="493" t="e">
        <f t="shared" si="181"/>
        <v>#DIV/0!</v>
      </c>
      <c r="BV271" s="493" t="e">
        <f t="shared" si="182"/>
        <v>#DIV/0!</v>
      </c>
      <c r="BW271" s="493" t="e">
        <f t="shared" si="183"/>
        <v>#DIV/0!</v>
      </c>
      <c r="BX271" s="493" t="e">
        <f t="shared" si="184"/>
        <v>#DIV/0!</v>
      </c>
      <c r="BY271" s="493" t="e">
        <f t="shared" si="185"/>
        <v>#DIV/0!</v>
      </c>
    </row>
    <row r="272" spans="1:77" s="28" customFormat="1" ht="9" customHeight="1">
      <c r="A272" s="178">
        <v>220</v>
      </c>
      <c r="B272" s="276" t="s">
        <v>903</v>
      </c>
      <c r="C272" s="249">
        <v>447.6</v>
      </c>
      <c r="D272" s="376"/>
      <c r="E272" s="368" t="s">
        <v>1006</v>
      </c>
      <c r="F272" s="249"/>
      <c r="G272" s="249"/>
      <c r="H272" s="368">
        <v>986370</v>
      </c>
      <c r="I272" s="368">
        <f t="shared" ref="I272" si="238">J272+L272+N272+P272+R272+T272</f>
        <v>0</v>
      </c>
      <c r="J272" s="217">
        <v>0</v>
      </c>
      <c r="K272" s="469">
        <v>0</v>
      </c>
      <c r="L272" s="217">
        <v>0</v>
      </c>
      <c r="M272" s="469">
        <v>0</v>
      </c>
      <c r="N272" s="217">
        <v>0</v>
      </c>
      <c r="O272" s="249">
        <v>0</v>
      </c>
      <c r="P272" s="368">
        <v>0</v>
      </c>
      <c r="Q272" s="249">
        <v>0</v>
      </c>
      <c r="R272" s="368">
        <v>0</v>
      </c>
      <c r="S272" s="249">
        <v>0</v>
      </c>
      <c r="T272" s="368">
        <v>0</v>
      </c>
      <c r="U272" s="130">
        <v>0</v>
      </c>
      <c r="V272" s="368">
        <v>0</v>
      </c>
      <c r="W272" s="23">
        <v>305</v>
      </c>
      <c r="X272" s="368">
        <f>ROUND(H272/100*95.5,2)</f>
        <v>941983.35</v>
      </c>
      <c r="Y272" s="370">
        <v>0</v>
      </c>
      <c r="Z272" s="370">
        <v>0</v>
      </c>
      <c r="AA272" s="370">
        <v>0</v>
      </c>
      <c r="AB272" s="370">
        <v>0</v>
      </c>
      <c r="AC272" s="370">
        <v>0</v>
      </c>
      <c r="AD272" s="370">
        <v>0</v>
      </c>
      <c r="AE272" s="370">
        <v>0</v>
      </c>
      <c r="AF272" s="370">
        <v>0</v>
      </c>
      <c r="AG272" s="370">
        <v>0</v>
      </c>
      <c r="AH272" s="370">
        <v>0</v>
      </c>
      <c r="AI272" s="370">
        <v>0</v>
      </c>
      <c r="AJ272" s="370">
        <f t="shared" ref="AJ272" si="239">ROUND(H272/100*3,2)</f>
        <v>29591.1</v>
      </c>
      <c r="AK272" s="370">
        <f t="shared" ref="AK272" si="240">ROUND(H272/100*1.5,2)</f>
        <v>14795.55</v>
      </c>
      <c r="AL272" s="370">
        <v>0</v>
      </c>
      <c r="AM272" s="446"/>
      <c r="AN272" s="446"/>
      <c r="AP272" s="486" t="e">
        <f t="shared" si="158"/>
        <v>#DIV/0!</v>
      </c>
      <c r="AQ272" s="486" t="e">
        <f t="shared" si="164"/>
        <v>#DIV/0!</v>
      </c>
      <c r="AR272" s="486" t="e">
        <f t="shared" si="165"/>
        <v>#DIV/0!</v>
      </c>
      <c r="AS272" s="486" t="e">
        <f t="shared" si="166"/>
        <v>#DIV/0!</v>
      </c>
      <c r="AT272" s="486" t="e">
        <f t="shared" si="167"/>
        <v>#DIV/0!</v>
      </c>
      <c r="AU272" s="486" t="e">
        <f t="shared" si="168"/>
        <v>#DIV/0!</v>
      </c>
      <c r="AV272" s="486" t="e">
        <f t="shared" si="169"/>
        <v>#DIV/0!</v>
      </c>
      <c r="AW272" s="486">
        <f t="shared" si="170"/>
        <v>3088.47</v>
      </c>
      <c r="AX272" s="486" t="e">
        <f t="shared" si="171"/>
        <v>#DIV/0!</v>
      </c>
      <c r="AY272" s="486" t="e">
        <f t="shared" si="172"/>
        <v>#DIV/0!</v>
      </c>
      <c r="AZ272" s="486" t="e">
        <f t="shared" si="173"/>
        <v>#DIV/0!</v>
      </c>
      <c r="BA272" s="486">
        <f t="shared" si="159"/>
        <v>0</v>
      </c>
      <c r="BB272" s="494">
        <v>5155.41</v>
      </c>
      <c r="BC272" s="494">
        <v>2070.12</v>
      </c>
      <c r="BD272" s="494">
        <v>848.92</v>
      </c>
      <c r="BE272" s="494">
        <v>819.73</v>
      </c>
      <c r="BF272" s="494">
        <v>611.5</v>
      </c>
      <c r="BG272" s="494">
        <v>1080.04</v>
      </c>
      <c r="BH272" s="494">
        <v>2671800.0099999998</v>
      </c>
      <c r="BI272" s="494">
        <f t="shared" si="192"/>
        <v>4422.8500000000004</v>
      </c>
      <c r="BJ272" s="494">
        <v>14289.54</v>
      </c>
      <c r="BK272" s="494">
        <v>3389.61</v>
      </c>
      <c r="BL272" s="494">
        <v>5995.76</v>
      </c>
      <c r="BM272" s="494">
        <v>548.62</v>
      </c>
      <c r="BN272" s="495" t="e">
        <f t="shared" si="174"/>
        <v>#DIV/0!</v>
      </c>
      <c r="BO272" s="495" t="e">
        <f t="shared" si="175"/>
        <v>#DIV/0!</v>
      </c>
      <c r="BP272" s="495" t="e">
        <f t="shared" si="176"/>
        <v>#DIV/0!</v>
      </c>
      <c r="BQ272" s="495" t="e">
        <f t="shared" si="177"/>
        <v>#DIV/0!</v>
      </c>
      <c r="BR272" s="495" t="e">
        <f t="shared" si="178"/>
        <v>#DIV/0!</v>
      </c>
      <c r="BS272" s="495" t="e">
        <f t="shared" si="179"/>
        <v>#DIV/0!</v>
      </c>
      <c r="BT272" s="495" t="e">
        <f t="shared" si="180"/>
        <v>#DIV/0!</v>
      </c>
      <c r="BU272" s="495" t="str">
        <f t="shared" si="181"/>
        <v xml:space="preserve"> </v>
      </c>
      <c r="BV272" s="495" t="e">
        <f t="shared" si="182"/>
        <v>#DIV/0!</v>
      </c>
      <c r="BW272" s="495" t="e">
        <f t="shared" si="183"/>
        <v>#DIV/0!</v>
      </c>
      <c r="BX272" s="495" t="e">
        <f t="shared" si="184"/>
        <v>#DIV/0!</v>
      </c>
      <c r="BY272" s="495" t="str">
        <f t="shared" si="185"/>
        <v xml:space="preserve"> </v>
      </c>
    </row>
    <row r="273" spans="1:77" s="28" customFormat="1" ht="35.25" customHeight="1">
      <c r="A273" s="955" t="s">
        <v>904</v>
      </c>
      <c r="B273" s="955"/>
      <c r="C273" s="180">
        <f>SUM(C272)</f>
        <v>447.6</v>
      </c>
      <c r="D273" s="180"/>
      <c r="E273" s="368" t="s">
        <v>391</v>
      </c>
      <c r="F273" s="249"/>
      <c r="G273" s="249"/>
      <c r="H273" s="180">
        <f>SUM(H272)</f>
        <v>986370</v>
      </c>
      <c r="I273" s="180">
        <f t="shared" ref="I273:AL273" si="241">SUM(I272)</f>
        <v>0</v>
      </c>
      <c r="J273" s="180">
        <f t="shared" si="241"/>
        <v>0</v>
      </c>
      <c r="K273" s="180">
        <f t="shared" si="241"/>
        <v>0</v>
      </c>
      <c r="L273" s="180">
        <f t="shared" si="241"/>
        <v>0</v>
      </c>
      <c r="M273" s="180">
        <f t="shared" si="241"/>
        <v>0</v>
      </c>
      <c r="N273" s="180">
        <f t="shared" si="241"/>
        <v>0</v>
      </c>
      <c r="O273" s="180">
        <f t="shared" si="241"/>
        <v>0</v>
      </c>
      <c r="P273" s="180">
        <f t="shared" si="241"/>
        <v>0</v>
      </c>
      <c r="Q273" s="180">
        <f t="shared" si="241"/>
        <v>0</v>
      </c>
      <c r="R273" s="180">
        <f t="shared" si="241"/>
        <v>0</v>
      </c>
      <c r="S273" s="180">
        <f t="shared" si="241"/>
        <v>0</v>
      </c>
      <c r="T273" s="180">
        <f t="shared" si="241"/>
        <v>0</v>
      </c>
      <c r="U273" s="181">
        <f t="shared" si="241"/>
        <v>0</v>
      </c>
      <c r="V273" s="180">
        <f t="shared" si="241"/>
        <v>0</v>
      </c>
      <c r="W273" s="180">
        <f t="shared" si="241"/>
        <v>305</v>
      </c>
      <c r="X273" s="180">
        <f t="shared" si="241"/>
        <v>941983.35</v>
      </c>
      <c r="Y273" s="180">
        <f t="shared" si="241"/>
        <v>0</v>
      </c>
      <c r="Z273" s="180">
        <f t="shared" si="241"/>
        <v>0</v>
      </c>
      <c r="AA273" s="180">
        <f t="shared" si="241"/>
        <v>0</v>
      </c>
      <c r="AB273" s="180">
        <f t="shared" si="241"/>
        <v>0</v>
      </c>
      <c r="AC273" s="180">
        <f t="shared" si="241"/>
        <v>0</v>
      </c>
      <c r="AD273" s="180">
        <f t="shared" si="241"/>
        <v>0</v>
      </c>
      <c r="AE273" s="180">
        <f t="shared" si="241"/>
        <v>0</v>
      </c>
      <c r="AF273" s="180">
        <f t="shared" si="241"/>
        <v>0</v>
      </c>
      <c r="AG273" s="180">
        <f t="shared" si="241"/>
        <v>0</v>
      </c>
      <c r="AH273" s="180">
        <f t="shared" si="241"/>
        <v>0</v>
      </c>
      <c r="AI273" s="180">
        <f t="shared" si="241"/>
        <v>0</v>
      </c>
      <c r="AJ273" s="180">
        <f t="shared" si="241"/>
        <v>29591.1</v>
      </c>
      <c r="AK273" s="180">
        <f t="shared" si="241"/>
        <v>14795.55</v>
      </c>
      <c r="AL273" s="180">
        <f t="shared" si="241"/>
        <v>0</v>
      </c>
      <c r="AM273" s="280"/>
      <c r="AN273" s="280"/>
      <c r="AP273" s="486" t="e">
        <f t="shared" ref="AP273:AP336" si="242">J273/D273</f>
        <v>#DIV/0!</v>
      </c>
      <c r="AQ273" s="486" t="e">
        <f t="shared" si="164"/>
        <v>#DIV/0!</v>
      </c>
      <c r="AR273" s="497" t="e">
        <f t="shared" si="165"/>
        <v>#DIV/0!</v>
      </c>
      <c r="AS273" s="497" t="e">
        <f t="shared" si="166"/>
        <v>#DIV/0!</v>
      </c>
      <c r="AT273" s="497" t="e">
        <f t="shared" si="167"/>
        <v>#DIV/0!</v>
      </c>
      <c r="AU273" s="497" t="e">
        <f t="shared" si="168"/>
        <v>#DIV/0!</v>
      </c>
      <c r="AV273" s="497" t="e">
        <f t="shared" si="169"/>
        <v>#DIV/0!</v>
      </c>
      <c r="AW273" s="497">
        <f t="shared" si="170"/>
        <v>3088.47</v>
      </c>
      <c r="AX273" s="497" t="e">
        <f t="shared" si="171"/>
        <v>#DIV/0!</v>
      </c>
      <c r="AY273" s="486" t="e">
        <f t="shared" si="172"/>
        <v>#DIV/0!</v>
      </c>
      <c r="AZ273" s="497" t="e">
        <f t="shared" si="173"/>
        <v>#DIV/0!</v>
      </c>
      <c r="BA273" s="486">
        <f t="shared" ref="BA273:BA336" si="243">AI273/C273</f>
        <v>0</v>
      </c>
      <c r="BB273" s="494">
        <v>5155.41</v>
      </c>
      <c r="BC273" s="494">
        <v>2070.12</v>
      </c>
      <c r="BD273" s="494">
        <v>848.92</v>
      </c>
      <c r="BE273" s="494">
        <v>819.73</v>
      </c>
      <c r="BF273" s="494">
        <v>611.5</v>
      </c>
      <c r="BG273" s="494">
        <v>1080.04</v>
      </c>
      <c r="BH273" s="494">
        <v>2671800.0099999998</v>
      </c>
      <c r="BI273" s="494">
        <f t="shared" si="192"/>
        <v>4422.8500000000004</v>
      </c>
      <c r="BJ273" s="494">
        <v>14289.54</v>
      </c>
      <c r="BK273" s="494">
        <v>3389.61</v>
      </c>
      <c r="BL273" s="494">
        <v>5995.76</v>
      </c>
      <c r="BM273" s="494">
        <v>548.62</v>
      </c>
      <c r="BN273" s="493" t="e">
        <f t="shared" si="174"/>
        <v>#DIV/0!</v>
      </c>
      <c r="BO273" s="493" t="e">
        <f t="shared" si="175"/>
        <v>#DIV/0!</v>
      </c>
      <c r="BP273" s="493" t="e">
        <f t="shared" si="176"/>
        <v>#DIV/0!</v>
      </c>
      <c r="BQ273" s="493" t="e">
        <f t="shared" si="177"/>
        <v>#DIV/0!</v>
      </c>
      <c r="BR273" s="493" t="e">
        <f t="shared" si="178"/>
        <v>#DIV/0!</v>
      </c>
      <c r="BS273" s="493" t="e">
        <f t="shared" si="179"/>
        <v>#DIV/0!</v>
      </c>
      <c r="BT273" s="493" t="e">
        <f t="shared" si="180"/>
        <v>#DIV/0!</v>
      </c>
      <c r="BU273" s="493" t="str">
        <f t="shared" si="181"/>
        <v xml:space="preserve"> </v>
      </c>
      <c r="BV273" s="493" t="e">
        <f t="shared" si="182"/>
        <v>#DIV/0!</v>
      </c>
      <c r="BW273" s="493" t="e">
        <f t="shared" si="183"/>
        <v>#DIV/0!</v>
      </c>
      <c r="BX273" s="493" t="e">
        <f t="shared" si="184"/>
        <v>#DIV/0!</v>
      </c>
      <c r="BY273" s="493" t="str">
        <f t="shared" si="185"/>
        <v xml:space="preserve"> </v>
      </c>
    </row>
    <row r="274" spans="1:77" s="28" customFormat="1" ht="13.5" customHeight="1">
      <c r="A274" s="837" t="s">
        <v>427</v>
      </c>
      <c r="B274" s="838"/>
      <c r="C274" s="838"/>
      <c r="D274" s="838"/>
      <c r="E274" s="838"/>
      <c r="F274" s="838"/>
      <c r="G274" s="838"/>
      <c r="H274" s="838"/>
      <c r="I274" s="838"/>
      <c r="J274" s="838"/>
      <c r="K274" s="838"/>
      <c r="L274" s="838"/>
      <c r="M274" s="838"/>
      <c r="N274" s="838"/>
      <c r="O274" s="838"/>
      <c r="P274" s="838"/>
      <c r="Q274" s="838"/>
      <c r="R274" s="838"/>
      <c r="S274" s="838"/>
      <c r="T274" s="838"/>
      <c r="U274" s="838"/>
      <c r="V274" s="838"/>
      <c r="W274" s="838"/>
      <c r="X274" s="838"/>
      <c r="Y274" s="838"/>
      <c r="Z274" s="838"/>
      <c r="AA274" s="838"/>
      <c r="AB274" s="838"/>
      <c r="AC274" s="838"/>
      <c r="AD274" s="838"/>
      <c r="AE274" s="838"/>
      <c r="AF274" s="838"/>
      <c r="AG274" s="838"/>
      <c r="AH274" s="838"/>
      <c r="AI274" s="838"/>
      <c r="AJ274" s="838"/>
      <c r="AK274" s="838"/>
      <c r="AL274" s="839"/>
      <c r="AM274" s="280"/>
      <c r="AN274" s="280"/>
      <c r="AP274" s="486" t="e">
        <f t="shared" si="242"/>
        <v>#DIV/0!</v>
      </c>
      <c r="AQ274" s="486" t="e">
        <f t="shared" ref="AQ274:AQ337" si="244">L274/K274</f>
        <v>#DIV/0!</v>
      </c>
      <c r="AR274" s="497" t="e">
        <f t="shared" ref="AR274:AR337" si="245">N274/M274</f>
        <v>#DIV/0!</v>
      </c>
      <c r="AS274" s="497" t="e">
        <f t="shared" ref="AS274:AS337" si="246">P274/O274</f>
        <v>#DIV/0!</v>
      </c>
      <c r="AT274" s="497" t="e">
        <f t="shared" ref="AT274:AT337" si="247">R274/Q274</f>
        <v>#DIV/0!</v>
      </c>
      <c r="AU274" s="497" t="e">
        <f t="shared" ref="AU274:AU337" si="248">T274/S274</f>
        <v>#DIV/0!</v>
      </c>
      <c r="AV274" s="497" t="e">
        <f t="shared" ref="AV274:AV337" si="249">V274/U274</f>
        <v>#DIV/0!</v>
      </c>
      <c r="AW274" s="497" t="e">
        <f t="shared" ref="AW274:AW337" si="250">X274/W274</f>
        <v>#DIV/0!</v>
      </c>
      <c r="AX274" s="497" t="e">
        <f t="shared" ref="AX274:AX337" si="251">Z274/Y274</f>
        <v>#DIV/0!</v>
      </c>
      <c r="AY274" s="486" t="e">
        <f t="shared" ref="AY274:AY337" si="252">AB274/AA274</f>
        <v>#DIV/0!</v>
      </c>
      <c r="AZ274" s="497" t="e">
        <f t="shared" ref="AZ274:AZ337" si="253">AH274/AG274</f>
        <v>#DIV/0!</v>
      </c>
      <c r="BA274" s="486" t="e">
        <f t="shared" si="243"/>
        <v>#DIV/0!</v>
      </c>
      <c r="BB274" s="494">
        <v>5155.41</v>
      </c>
      <c r="BC274" s="494">
        <v>2070.12</v>
      </c>
      <c r="BD274" s="494">
        <v>848.92</v>
      </c>
      <c r="BE274" s="494">
        <v>819.73</v>
      </c>
      <c r="BF274" s="494">
        <v>611.5</v>
      </c>
      <c r="BG274" s="494">
        <v>1080.04</v>
      </c>
      <c r="BH274" s="494">
        <v>2671800.0099999998</v>
      </c>
      <c r="BI274" s="494">
        <f t="shared" si="192"/>
        <v>4422.8500000000004</v>
      </c>
      <c r="BJ274" s="494">
        <v>14289.54</v>
      </c>
      <c r="BK274" s="494">
        <v>3389.61</v>
      </c>
      <c r="BL274" s="494">
        <v>5995.76</v>
      </c>
      <c r="BM274" s="494">
        <v>548.62</v>
      </c>
      <c r="BN274" s="493" t="e">
        <f t="shared" ref="BN274:BN337" si="254">IF(AP274&gt;BB274, "+", " ")</f>
        <v>#DIV/0!</v>
      </c>
      <c r="BO274" s="493" t="e">
        <f t="shared" ref="BO274:BO337" si="255">IF(AQ274&gt;BC274, "+", " ")</f>
        <v>#DIV/0!</v>
      </c>
      <c r="BP274" s="493" t="e">
        <f t="shared" ref="BP274:BP337" si="256">IF(AR274&gt;BD274, "+", " ")</f>
        <v>#DIV/0!</v>
      </c>
      <c r="BQ274" s="493" t="e">
        <f t="shared" ref="BQ274:BQ337" si="257">IF(AS274&gt;BE274, "+", " ")</f>
        <v>#DIV/0!</v>
      </c>
      <c r="BR274" s="493" t="e">
        <f t="shared" ref="BR274:BR337" si="258">IF(AT274&gt;BF274, "+", " ")</f>
        <v>#DIV/0!</v>
      </c>
      <c r="BS274" s="493" t="e">
        <f t="shared" ref="BS274:BS337" si="259">IF(AU274&gt;BG274, "+", " ")</f>
        <v>#DIV/0!</v>
      </c>
      <c r="BT274" s="493" t="e">
        <f t="shared" ref="BT274:BT337" si="260">IF(AV274&gt;BH274, "+", " ")</f>
        <v>#DIV/0!</v>
      </c>
      <c r="BU274" s="493" t="e">
        <f t="shared" ref="BU274:BU337" si="261">IF(AW274&gt;BI274, "+", " ")</f>
        <v>#DIV/0!</v>
      </c>
      <c r="BV274" s="493" t="e">
        <f t="shared" ref="BV274:BV337" si="262">IF(AX274&gt;BJ274, "+", " ")</f>
        <v>#DIV/0!</v>
      </c>
      <c r="BW274" s="493" t="e">
        <f t="shared" ref="BW274:BW337" si="263">IF(AY274&gt;BK274, "+", " ")</f>
        <v>#DIV/0!</v>
      </c>
      <c r="BX274" s="493" t="e">
        <f t="shared" ref="BX274:BX337" si="264">IF(AZ274&gt;BL274, "+", " ")</f>
        <v>#DIV/0!</v>
      </c>
      <c r="BY274" s="493" t="e">
        <f t="shared" ref="BY274:BY337" si="265">IF(BA274&gt;BM274, "+", " ")</f>
        <v>#DIV/0!</v>
      </c>
    </row>
    <row r="275" spans="1:77" s="28" customFormat="1" ht="9" customHeight="1">
      <c r="A275" s="278">
        <v>221</v>
      </c>
      <c r="B275" s="156" t="s">
        <v>906</v>
      </c>
      <c r="C275" s="249">
        <v>557.29999999999995</v>
      </c>
      <c r="D275" s="376"/>
      <c r="E275" s="368" t="s">
        <v>1006</v>
      </c>
      <c r="F275" s="249"/>
      <c r="G275" s="249"/>
      <c r="H275" s="368">
        <v>1811040</v>
      </c>
      <c r="I275" s="368">
        <f t="shared" ref="I275:I277" si="266">J275+L275+N275+P275+R275+T275</f>
        <v>0</v>
      </c>
      <c r="J275" s="217">
        <v>0</v>
      </c>
      <c r="K275" s="469">
        <v>0</v>
      </c>
      <c r="L275" s="217">
        <v>0</v>
      </c>
      <c r="M275" s="469">
        <v>0</v>
      </c>
      <c r="N275" s="217">
        <v>0</v>
      </c>
      <c r="O275" s="249">
        <v>0</v>
      </c>
      <c r="P275" s="368">
        <v>0</v>
      </c>
      <c r="Q275" s="249">
        <v>0</v>
      </c>
      <c r="R275" s="368">
        <v>0</v>
      </c>
      <c r="S275" s="249">
        <v>0</v>
      </c>
      <c r="T275" s="368">
        <v>0</v>
      </c>
      <c r="U275" s="130">
        <v>0</v>
      </c>
      <c r="V275" s="368">
        <v>0</v>
      </c>
      <c r="W275" s="23">
        <v>560</v>
      </c>
      <c r="X275" s="368">
        <f>ROUND(H275/100*95.5,2)</f>
        <v>1729543.2</v>
      </c>
      <c r="Y275" s="370">
        <v>0</v>
      </c>
      <c r="Z275" s="370">
        <v>0</v>
      </c>
      <c r="AA275" s="370">
        <v>0</v>
      </c>
      <c r="AB275" s="370">
        <v>0</v>
      </c>
      <c r="AC275" s="370">
        <v>0</v>
      </c>
      <c r="AD275" s="370">
        <v>0</v>
      </c>
      <c r="AE275" s="370">
        <v>0</v>
      </c>
      <c r="AF275" s="370">
        <v>0</v>
      </c>
      <c r="AG275" s="370">
        <v>0</v>
      </c>
      <c r="AH275" s="370">
        <v>0</v>
      </c>
      <c r="AI275" s="370">
        <v>0</v>
      </c>
      <c r="AJ275" s="370">
        <f t="shared" ref="AJ275:AJ277" si="267">ROUND(H275/100*3,2)</f>
        <v>54331.199999999997</v>
      </c>
      <c r="AK275" s="370">
        <f t="shared" ref="AK275:AK277" si="268">ROUND(H275/100*1.5,2)</f>
        <v>27165.599999999999</v>
      </c>
      <c r="AL275" s="370">
        <v>0</v>
      </c>
      <c r="AM275" s="446"/>
      <c r="AN275" s="446"/>
      <c r="AP275" s="486" t="e">
        <f t="shared" si="242"/>
        <v>#DIV/0!</v>
      </c>
      <c r="AQ275" s="486" t="e">
        <f t="shared" si="244"/>
        <v>#DIV/0!</v>
      </c>
      <c r="AR275" s="486" t="e">
        <f t="shared" si="245"/>
        <v>#DIV/0!</v>
      </c>
      <c r="AS275" s="486" t="e">
        <f t="shared" si="246"/>
        <v>#DIV/0!</v>
      </c>
      <c r="AT275" s="486" t="e">
        <f t="shared" si="247"/>
        <v>#DIV/0!</v>
      </c>
      <c r="AU275" s="486" t="e">
        <f t="shared" si="248"/>
        <v>#DIV/0!</v>
      </c>
      <c r="AV275" s="486" t="e">
        <f t="shared" si="249"/>
        <v>#DIV/0!</v>
      </c>
      <c r="AW275" s="486">
        <f t="shared" si="250"/>
        <v>3088.47</v>
      </c>
      <c r="AX275" s="486" t="e">
        <f t="shared" si="251"/>
        <v>#DIV/0!</v>
      </c>
      <c r="AY275" s="486" t="e">
        <f t="shared" si="252"/>
        <v>#DIV/0!</v>
      </c>
      <c r="AZ275" s="486" t="e">
        <f t="shared" si="253"/>
        <v>#DIV/0!</v>
      </c>
      <c r="BA275" s="486">
        <f t="shared" si="243"/>
        <v>0</v>
      </c>
      <c r="BB275" s="494">
        <v>5155.41</v>
      </c>
      <c r="BC275" s="494">
        <v>2070.12</v>
      </c>
      <c r="BD275" s="494">
        <v>848.92</v>
      </c>
      <c r="BE275" s="494">
        <v>819.73</v>
      </c>
      <c r="BF275" s="494">
        <v>611.5</v>
      </c>
      <c r="BG275" s="494">
        <v>1080.04</v>
      </c>
      <c r="BH275" s="494">
        <v>2671800.0099999998</v>
      </c>
      <c r="BI275" s="494">
        <f t="shared" si="192"/>
        <v>4422.8500000000004</v>
      </c>
      <c r="BJ275" s="494">
        <v>14289.54</v>
      </c>
      <c r="BK275" s="494">
        <v>3389.61</v>
      </c>
      <c r="BL275" s="494">
        <v>5995.76</v>
      </c>
      <c r="BM275" s="494">
        <v>548.62</v>
      </c>
      <c r="BN275" s="495" t="e">
        <f t="shared" si="254"/>
        <v>#DIV/0!</v>
      </c>
      <c r="BO275" s="495" t="e">
        <f t="shared" si="255"/>
        <v>#DIV/0!</v>
      </c>
      <c r="BP275" s="495" t="e">
        <f t="shared" si="256"/>
        <v>#DIV/0!</v>
      </c>
      <c r="BQ275" s="495" t="e">
        <f t="shared" si="257"/>
        <v>#DIV/0!</v>
      </c>
      <c r="BR275" s="495" t="e">
        <f t="shared" si="258"/>
        <v>#DIV/0!</v>
      </c>
      <c r="BS275" s="495" t="e">
        <f t="shared" si="259"/>
        <v>#DIV/0!</v>
      </c>
      <c r="BT275" s="495" t="e">
        <f t="shared" si="260"/>
        <v>#DIV/0!</v>
      </c>
      <c r="BU275" s="495" t="str">
        <f t="shared" si="261"/>
        <v xml:space="preserve"> </v>
      </c>
      <c r="BV275" s="495" t="e">
        <f t="shared" si="262"/>
        <v>#DIV/0!</v>
      </c>
      <c r="BW275" s="495" t="e">
        <f t="shared" si="263"/>
        <v>#DIV/0!</v>
      </c>
      <c r="BX275" s="495" t="e">
        <f t="shared" si="264"/>
        <v>#DIV/0!</v>
      </c>
      <c r="BY275" s="495" t="str">
        <f t="shared" si="265"/>
        <v xml:space="preserve"> </v>
      </c>
    </row>
    <row r="276" spans="1:77" s="28" customFormat="1" ht="9" customHeight="1">
      <c r="A276" s="278">
        <v>222</v>
      </c>
      <c r="B276" s="156" t="s">
        <v>907</v>
      </c>
      <c r="C276" s="249">
        <v>301.8</v>
      </c>
      <c r="D276" s="376"/>
      <c r="E276" s="368" t="s">
        <v>1006</v>
      </c>
      <c r="F276" s="249"/>
      <c r="G276" s="249"/>
      <c r="H276" s="368">
        <v>970200</v>
      </c>
      <c r="I276" s="368">
        <f t="shared" si="266"/>
        <v>0</v>
      </c>
      <c r="J276" s="217">
        <v>0</v>
      </c>
      <c r="K276" s="469">
        <v>0</v>
      </c>
      <c r="L276" s="217">
        <v>0</v>
      </c>
      <c r="M276" s="469">
        <v>0</v>
      </c>
      <c r="N276" s="217">
        <v>0</v>
      </c>
      <c r="O276" s="249">
        <v>0</v>
      </c>
      <c r="P276" s="368">
        <v>0</v>
      </c>
      <c r="Q276" s="249">
        <v>0</v>
      </c>
      <c r="R276" s="368">
        <v>0</v>
      </c>
      <c r="S276" s="249">
        <v>0</v>
      </c>
      <c r="T276" s="368">
        <v>0</v>
      </c>
      <c r="U276" s="130">
        <v>0</v>
      </c>
      <c r="V276" s="368">
        <v>0</v>
      </c>
      <c r="W276" s="23">
        <v>300</v>
      </c>
      <c r="X276" s="368">
        <f>ROUND(H276/100*95.5,2)</f>
        <v>926541</v>
      </c>
      <c r="Y276" s="370">
        <v>0</v>
      </c>
      <c r="Z276" s="370">
        <v>0</v>
      </c>
      <c r="AA276" s="370">
        <v>0</v>
      </c>
      <c r="AB276" s="370">
        <v>0</v>
      </c>
      <c r="AC276" s="370">
        <v>0</v>
      </c>
      <c r="AD276" s="370">
        <v>0</v>
      </c>
      <c r="AE276" s="370">
        <v>0</v>
      </c>
      <c r="AF276" s="370">
        <v>0</v>
      </c>
      <c r="AG276" s="370">
        <v>0</v>
      </c>
      <c r="AH276" s="370">
        <v>0</v>
      </c>
      <c r="AI276" s="370">
        <v>0</v>
      </c>
      <c r="AJ276" s="370">
        <f t="shared" si="267"/>
        <v>29106</v>
      </c>
      <c r="AK276" s="370">
        <f t="shared" si="268"/>
        <v>14553</v>
      </c>
      <c r="AL276" s="370">
        <v>0</v>
      </c>
      <c r="AM276" s="446"/>
      <c r="AN276" s="446"/>
      <c r="AP276" s="486" t="e">
        <f t="shared" si="242"/>
        <v>#DIV/0!</v>
      </c>
      <c r="AQ276" s="486" t="e">
        <f t="shared" si="244"/>
        <v>#DIV/0!</v>
      </c>
      <c r="AR276" s="486" t="e">
        <f t="shared" si="245"/>
        <v>#DIV/0!</v>
      </c>
      <c r="AS276" s="486" t="e">
        <f t="shared" si="246"/>
        <v>#DIV/0!</v>
      </c>
      <c r="AT276" s="486" t="e">
        <f t="shared" si="247"/>
        <v>#DIV/0!</v>
      </c>
      <c r="AU276" s="486" t="e">
        <f t="shared" si="248"/>
        <v>#DIV/0!</v>
      </c>
      <c r="AV276" s="486" t="e">
        <f t="shared" si="249"/>
        <v>#DIV/0!</v>
      </c>
      <c r="AW276" s="486">
        <f t="shared" si="250"/>
        <v>3088.47</v>
      </c>
      <c r="AX276" s="486" t="e">
        <f t="shared" si="251"/>
        <v>#DIV/0!</v>
      </c>
      <c r="AY276" s="486" t="e">
        <f t="shared" si="252"/>
        <v>#DIV/0!</v>
      </c>
      <c r="AZ276" s="486" t="e">
        <f t="shared" si="253"/>
        <v>#DIV/0!</v>
      </c>
      <c r="BA276" s="486">
        <f t="shared" si="243"/>
        <v>0</v>
      </c>
      <c r="BB276" s="494">
        <v>5155.41</v>
      </c>
      <c r="BC276" s="494">
        <v>2070.12</v>
      </c>
      <c r="BD276" s="494">
        <v>848.92</v>
      </c>
      <c r="BE276" s="494">
        <v>819.73</v>
      </c>
      <c r="BF276" s="494">
        <v>611.5</v>
      </c>
      <c r="BG276" s="494">
        <v>1080.04</v>
      </c>
      <c r="BH276" s="494">
        <v>2671800.0099999998</v>
      </c>
      <c r="BI276" s="494">
        <f t="shared" si="192"/>
        <v>4422.8500000000004</v>
      </c>
      <c r="BJ276" s="494">
        <v>14289.54</v>
      </c>
      <c r="BK276" s="494">
        <v>3389.61</v>
      </c>
      <c r="BL276" s="494">
        <v>5995.76</v>
      </c>
      <c r="BM276" s="494">
        <v>548.62</v>
      </c>
      <c r="BN276" s="495" t="e">
        <f t="shared" si="254"/>
        <v>#DIV/0!</v>
      </c>
      <c r="BO276" s="495" t="e">
        <f t="shared" si="255"/>
        <v>#DIV/0!</v>
      </c>
      <c r="BP276" s="495" t="e">
        <f t="shared" si="256"/>
        <v>#DIV/0!</v>
      </c>
      <c r="BQ276" s="495" t="e">
        <f t="shared" si="257"/>
        <v>#DIV/0!</v>
      </c>
      <c r="BR276" s="495" t="e">
        <f t="shared" si="258"/>
        <v>#DIV/0!</v>
      </c>
      <c r="BS276" s="495" t="e">
        <f t="shared" si="259"/>
        <v>#DIV/0!</v>
      </c>
      <c r="BT276" s="495" t="e">
        <f t="shared" si="260"/>
        <v>#DIV/0!</v>
      </c>
      <c r="BU276" s="495" t="str">
        <f t="shared" si="261"/>
        <v xml:space="preserve"> </v>
      </c>
      <c r="BV276" s="495" t="e">
        <f t="shared" si="262"/>
        <v>#DIV/0!</v>
      </c>
      <c r="BW276" s="495" t="e">
        <f t="shared" si="263"/>
        <v>#DIV/0!</v>
      </c>
      <c r="BX276" s="495" t="e">
        <f t="shared" si="264"/>
        <v>#DIV/0!</v>
      </c>
      <c r="BY276" s="495" t="str">
        <f t="shared" si="265"/>
        <v xml:space="preserve"> </v>
      </c>
    </row>
    <row r="277" spans="1:77" s="28" customFormat="1" ht="9" customHeight="1">
      <c r="A277" s="278">
        <v>223</v>
      </c>
      <c r="B277" s="156" t="s">
        <v>908</v>
      </c>
      <c r="C277" s="249">
        <v>473.3</v>
      </c>
      <c r="D277" s="376"/>
      <c r="E277" s="368" t="s">
        <v>1006</v>
      </c>
      <c r="F277" s="249"/>
      <c r="G277" s="249"/>
      <c r="H277" s="368">
        <v>1688148</v>
      </c>
      <c r="I277" s="368">
        <f t="shared" si="266"/>
        <v>0</v>
      </c>
      <c r="J277" s="217">
        <v>0</v>
      </c>
      <c r="K277" s="469">
        <v>0</v>
      </c>
      <c r="L277" s="217">
        <v>0</v>
      </c>
      <c r="M277" s="469">
        <v>0</v>
      </c>
      <c r="N277" s="217">
        <v>0</v>
      </c>
      <c r="O277" s="249">
        <v>0</v>
      </c>
      <c r="P277" s="368">
        <v>0</v>
      </c>
      <c r="Q277" s="249">
        <v>0</v>
      </c>
      <c r="R277" s="368">
        <v>0</v>
      </c>
      <c r="S277" s="249">
        <v>0</v>
      </c>
      <c r="T277" s="368">
        <v>0</v>
      </c>
      <c r="U277" s="130">
        <v>0</v>
      </c>
      <c r="V277" s="368">
        <v>0</v>
      </c>
      <c r="W277" s="23">
        <v>522</v>
      </c>
      <c r="X277" s="368">
        <f>ROUND(H277/100*95.5,2)</f>
        <v>1612181.34</v>
      </c>
      <c r="Y277" s="370">
        <v>0</v>
      </c>
      <c r="Z277" s="370">
        <v>0</v>
      </c>
      <c r="AA277" s="370">
        <v>0</v>
      </c>
      <c r="AB277" s="370">
        <v>0</v>
      </c>
      <c r="AC277" s="370">
        <v>0</v>
      </c>
      <c r="AD277" s="370">
        <v>0</v>
      </c>
      <c r="AE277" s="370">
        <v>0</v>
      </c>
      <c r="AF277" s="370">
        <v>0</v>
      </c>
      <c r="AG277" s="370">
        <v>0</v>
      </c>
      <c r="AH277" s="370">
        <v>0</v>
      </c>
      <c r="AI277" s="370">
        <v>0</v>
      </c>
      <c r="AJ277" s="370">
        <f t="shared" si="267"/>
        <v>50644.44</v>
      </c>
      <c r="AK277" s="370">
        <f t="shared" si="268"/>
        <v>25322.22</v>
      </c>
      <c r="AL277" s="370">
        <v>0</v>
      </c>
      <c r="AM277" s="446"/>
      <c r="AN277" s="446"/>
      <c r="AP277" s="486" t="e">
        <f t="shared" si="242"/>
        <v>#DIV/0!</v>
      </c>
      <c r="AQ277" s="486" t="e">
        <f t="shared" si="244"/>
        <v>#DIV/0!</v>
      </c>
      <c r="AR277" s="486" t="e">
        <f t="shared" si="245"/>
        <v>#DIV/0!</v>
      </c>
      <c r="AS277" s="486" t="e">
        <f t="shared" si="246"/>
        <v>#DIV/0!</v>
      </c>
      <c r="AT277" s="486" t="e">
        <f t="shared" si="247"/>
        <v>#DIV/0!</v>
      </c>
      <c r="AU277" s="486" t="e">
        <f t="shared" si="248"/>
        <v>#DIV/0!</v>
      </c>
      <c r="AV277" s="486" t="e">
        <f t="shared" si="249"/>
        <v>#DIV/0!</v>
      </c>
      <c r="AW277" s="486">
        <f t="shared" si="250"/>
        <v>3088.4700000000003</v>
      </c>
      <c r="AX277" s="486" t="e">
        <f t="shared" si="251"/>
        <v>#DIV/0!</v>
      </c>
      <c r="AY277" s="486" t="e">
        <f t="shared" si="252"/>
        <v>#DIV/0!</v>
      </c>
      <c r="AZ277" s="486" t="e">
        <f t="shared" si="253"/>
        <v>#DIV/0!</v>
      </c>
      <c r="BA277" s="486">
        <f t="shared" si="243"/>
        <v>0</v>
      </c>
      <c r="BB277" s="494">
        <v>5155.41</v>
      </c>
      <c r="BC277" s="494">
        <v>2070.12</v>
      </c>
      <c r="BD277" s="494">
        <v>848.92</v>
      </c>
      <c r="BE277" s="494">
        <v>819.73</v>
      </c>
      <c r="BF277" s="494">
        <v>611.5</v>
      </c>
      <c r="BG277" s="494">
        <v>1080.04</v>
      </c>
      <c r="BH277" s="494">
        <v>2671800.0099999998</v>
      </c>
      <c r="BI277" s="494">
        <f t="shared" si="192"/>
        <v>4422.8500000000004</v>
      </c>
      <c r="BJ277" s="494">
        <v>14289.54</v>
      </c>
      <c r="BK277" s="494">
        <v>3389.61</v>
      </c>
      <c r="BL277" s="494">
        <v>5995.76</v>
      </c>
      <c r="BM277" s="494">
        <v>548.62</v>
      </c>
      <c r="BN277" s="495" t="e">
        <f t="shared" si="254"/>
        <v>#DIV/0!</v>
      </c>
      <c r="BO277" s="495" t="e">
        <f t="shared" si="255"/>
        <v>#DIV/0!</v>
      </c>
      <c r="BP277" s="495" t="e">
        <f t="shared" si="256"/>
        <v>#DIV/0!</v>
      </c>
      <c r="BQ277" s="495" t="e">
        <f t="shared" si="257"/>
        <v>#DIV/0!</v>
      </c>
      <c r="BR277" s="495" t="e">
        <f t="shared" si="258"/>
        <v>#DIV/0!</v>
      </c>
      <c r="BS277" s="495" t="e">
        <f t="shared" si="259"/>
        <v>#DIV/0!</v>
      </c>
      <c r="BT277" s="495" t="e">
        <f t="shared" si="260"/>
        <v>#DIV/0!</v>
      </c>
      <c r="BU277" s="495" t="str">
        <f t="shared" si="261"/>
        <v xml:space="preserve"> </v>
      </c>
      <c r="BV277" s="495" t="e">
        <f t="shared" si="262"/>
        <v>#DIV/0!</v>
      </c>
      <c r="BW277" s="495" t="e">
        <f t="shared" si="263"/>
        <v>#DIV/0!</v>
      </c>
      <c r="BX277" s="495" t="e">
        <f t="shared" si="264"/>
        <v>#DIV/0!</v>
      </c>
      <c r="BY277" s="495" t="str">
        <f t="shared" si="265"/>
        <v xml:space="preserve"> </v>
      </c>
    </row>
    <row r="278" spans="1:77" s="28" customFormat="1" ht="9" customHeight="1">
      <c r="A278" s="278">
        <v>224</v>
      </c>
      <c r="B278" s="156" t="s">
        <v>909</v>
      </c>
      <c r="C278" s="249">
        <v>638.6</v>
      </c>
      <c r="D278" s="376"/>
      <c r="E278" s="368" t="s">
        <v>1006</v>
      </c>
      <c r="F278" s="249"/>
      <c r="G278" s="249"/>
      <c r="H278" s="368">
        <v>1519980</v>
      </c>
      <c r="I278" s="368">
        <f t="shared" ref="I278:I280" si="269">J278+L278+N278+P278+R278+T278</f>
        <v>0</v>
      </c>
      <c r="J278" s="217">
        <v>0</v>
      </c>
      <c r="K278" s="469">
        <v>0</v>
      </c>
      <c r="L278" s="217">
        <v>0</v>
      </c>
      <c r="M278" s="469">
        <v>0</v>
      </c>
      <c r="N278" s="217">
        <v>0</v>
      </c>
      <c r="O278" s="249">
        <v>0</v>
      </c>
      <c r="P278" s="368">
        <v>0</v>
      </c>
      <c r="Q278" s="249">
        <v>0</v>
      </c>
      <c r="R278" s="368">
        <v>0</v>
      </c>
      <c r="S278" s="249">
        <v>0</v>
      </c>
      <c r="T278" s="368">
        <v>0</v>
      </c>
      <c r="U278" s="130">
        <v>0</v>
      </c>
      <c r="V278" s="368">
        <v>0</v>
      </c>
      <c r="W278" s="23">
        <v>470</v>
      </c>
      <c r="X278" s="368">
        <f t="shared" ref="X278:X280" si="270">ROUND(H278/100*95.5,2)</f>
        <v>1451580.9</v>
      </c>
      <c r="Y278" s="370">
        <v>0</v>
      </c>
      <c r="Z278" s="370">
        <v>0</v>
      </c>
      <c r="AA278" s="370">
        <v>0</v>
      </c>
      <c r="AB278" s="370">
        <v>0</v>
      </c>
      <c r="AC278" s="370">
        <v>0</v>
      </c>
      <c r="AD278" s="370">
        <v>0</v>
      </c>
      <c r="AE278" s="370">
        <v>0</v>
      </c>
      <c r="AF278" s="370">
        <v>0</v>
      </c>
      <c r="AG278" s="370">
        <v>0</v>
      </c>
      <c r="AH278" s="370">
        <v>0</v>
      </c>
      <c r="AI278" s="370">
        <v>0</v>
      </c>
      <c r="AJ278" s="370">
        <f t="shared" ref="AJ278:AJ280" si="271">ROUND(H278/100*3,2)</f>
        <v>45599.4</v>
      </c>
      <c r="AK278" s="370">
        <f t="shared" ref="AK278:AK280" si="272">ROUND(H278/100*1.5,2)</f>
        <v>22799.7</v>
      </c>
      <c r="AL278" s="370">
        <v>0</v>
      </c>
      <c r="AM278" s="446"/>
      <c r="AN278" s="446"/>
      <c r="AP278" s="486" t="e">
        <f t="shared" si="242"/>
        <v>#DIV/0!</v>
      </c>
      <c r="AQ278" s="486" t="e">
        <f t="shared" si="244"/>
        <v>#DIV/0!</v>
      </c>
      <c r="AR278" s="486" t="e">
        <f t="shared" si="245"/>
        <v>#DIV/0!</v>
      </c>
      <c r="AS278" s="486" t="e">
        <f t="shared" si="246"/>
        <v>#DIV/0!</v>
      </c>
      <c r="AT278" s="486" t="e">
        <f t="shared" si="247"/>
        <v>#DIV/0!</v>
      </c>
      <c r="AU278" s="486" t="e">
        <f t="shared" si="248"/>
        <v>#DIV/0!</v>
      </c>
      <c r="AV278" s="486" t="e">
        <f t="shared" si="249"/>
        <v>#DIV/0!</v>
      </c>
      <c r="AW278" s="486">
        <f t="shared" si="250"/>
        <v>3088.47</v>
      </c>
      <c r="AX278" s="486" t="e">
        <f t="shared" si="251"/>
        <v>#DIV/0!</v>
      </c>
      <c r="AY278" s="486" t="e">
        <f t="shared" si="252"/>
        <v>#DIV/0!</v>
      </c>
      <c r="AZ278" s="486" t="e">
        <f t="shared" si="253"/>
        <v>#DIV/0!</v>
      </c>
      <c r="BA278" s="486">
        <f t="shared" si="243"/>
        <v>0</v>
      </c>
      <c r="BB278" s="494">
        <v>5155.41</v>
      </c>
      <c r="BC278" s="494">
        <v>2070.12</v>
      </c>
      <c r="BD278" s="494">
        <v>848.92</v>
      </c>
      <c r="BE278" s="494">
        <v>819.73</v>
      </c>
      <c r="BF278" s="494">
        <v>611.5</v>
      </c>
      <c r="BG278" s="494">
        <v>1080.04</v>
      </c>
      <c r="BH278" s="494">
        <v>2671800.0099999998</v>
      </c>
      <c r="BI278" s="494">
        <f t="shared" si="192"/>
        <v>4422.8500000000004</v>
      </c>
      <c r="BJ278" s="494">
        <v>14289.54</v>
      </c>
      <c r="BK278" s="494">
        <v>3389.61</v>
      </c>
      <c r="BL278" s="494">
        <v>5995.76</v>
      </c>
      <c r="BM278" s="494">
        <v>548.62</v>
      </c>
      <c r="BN278" s="495" t="e">
        <f t="shared" si="254"/>
        <v>#DIV/0!</v>
      </c>
      <c r="BO278" s="495" t="e">
        <f t="shared" si="255"/>
        <v>#DIV/0!</v>
      </c>
      <c r="BP278" s="495" t="e">
        <f t="shared" si="256"/>
        <v>#DIV/0!</v>
      </c>
      <c r="BQ278" s="495" t="e">
        <f t="shared" si="257"/>
        <v>#DIV/0!</v>
      </c>
      <c r="BR278" s="495" t="e">
        <f t="shared" si="258"/>
        <v>#DIV/0!</v>
      </c>
      <c r="BS278" s="495" t="e">
        <f t="shared" si="259"/>
        <v>#DIV/0!</v>
      </c>
      <c r="BT278" s="495" t="e">
        <f t="shared" si="260"/>
        <v>#DIV/0!</v>
      </c>
      <c r="BU278" s="495" t="str">
        <f t="shared" si="261"/>
        <v xml:space="preserve"> </v>
      </c>
      <c r="BV278" s="495" t="e">
        <f t="shared" si="262"/>
        <v>#DIV/0!</v>
      </c>
      <c r="BW278" s="495" t="e">
        <f t="shared" si="263"/>
        <v>#DIV/0!</v>
      </c>
      <c r="BX278" s="495" t="e">
        <f t="shared" si="264"/>
        <v>#DIV/0!</v>
      </c>
      <c r="BY278" s="495" t="str">
        <f t="shared" si="265"/>
        <v xml:space="preserve"> </v>
      </c>
    </row>
    <row r="279" spans="1:77" s="28" customFormat="1" ht="9" customHeight="1">
      <c r="A279" s="278">
        <v>225</v>
      </c>
      <c r="B279" s="156" t="s">
        <v>910</v>
      </c>
      <c r="C279" s="249">
        <v>263.39999999999998</v>
      </c>
      <c r="D279" s="376"/>
      <c r="E279" s="368" t="s">
        <v>1006</v>
      </c>
      <c r="F279" s="249"/>
      <c r="G279" s="249"/>
      <c r="H279" s="368">
        <v>941094</v>
      </c>
      <c r="I279" s="368">
        <f t="shared" si="269"/>
        <v>0</v>
      </c>
      <c r="J279" s="217">
        <v>0</v>
      </c>
      <c r="K279" s="469">
        <v>0</v>
      </c>
      <c r="L279" s="217">
        <v>0</v>
      </c>
      <c r="M279" s="469">
        <v>0</v>
      </c>
      <c r="N279" s="217">
        <v>0</v>
      </c>
      <c r="O279" s="249">
        <v>0</v>
      </c>
      <c r="P279" s="368">
        <v>0</v>
      </c>
      <c r="Q279" s="249">
        <v>0</v>
      </c>
      <c r="R279" s="368">
        <v>0</v>
      </c>
      <c r="S279" s="249">
        <v>0</v>
      </c>
      <c r="T279" s="368">
        <v>0</v>
      </c>
      <c r="U279" s="130">
        <v>0</v>
      </c>
      <c r="V279" s="368">
        <v>0</v>
      </c>
      <c r="W279" s="23">
        <v>291</v>
      </c>
      <c r="X279" s="368">
        <f t="shared" si="270"/>
        <v>898744.77</v>
      </c>
      <c r="Y279" s="370">
        <v>0</v>
      </c>
      <c r="Z279" s="370">
        <v>0</v>
      </c>
      <c r="AA279" s="370">
        <v>0</v>
      </c>
      <c r="AB279" s="370">
        <v>0</v>
      </c>
      <c r="AC279" s="370">
        <v>0</v>
      </c>
      <c r="AD279" s="370">
        <v>0</v>
      </c>
      <c r="AE279" s="370">
        <v>0</v>
      </c>
      <c r="AF279" s="370">
        <v>0</v>
      </c>
      <c r="AG279" s="370">
        <v>0</v>
      </c>
      <c r="AH279" s="370">
        <v>0</v>
      </c>
      <c r="AI279" s="370">
        <v>0</v>
      </c>
      <c r="AJ279" s="370">
        <f t="shared" si="271"/>
        <v>28232.82</v>
      </c>
      <c r="AK279" s="370">
        <f t="shared" si="272"/>
        <v>14116.41</v>
      </c>
      <c r="AL279" s="370">
        <v>0</v>
      </c>
      <c r="AM279" s="446"/>
      <c r="AN279" s="446"/>
      <c r="AP279" s="486" t="e">
        <f t="shared" si="242"/>
        <v>#DIV/0!</v>
      </c>
      <c r="AQ279" s="486" t="e">
        <f t="shared" si="244"/>
        <v>#DIV/0!</v>
      </c>
      <c r="AR279" s="486" t="e">
        <f t="shared" si="245"/>
        <v>#DIV/0!</v>
      </c>
      <c r="AS279" s="486" t="e">
        <f t="shared" si="246"/>
        <v>#DIV/0!</v>
      </c>
      <c r="AT279" s="486" t="e">
        <f t="shared" si="247"/>
        <v>#DIV/0!</v>
      </c>
      <c r="AU279" s="486" t="e">
        <f t="shared" si="248"/>
        <v>#DIV/0!</v>
      </c>
      <c r="AV279" s="486" t="e">
        <f t="shared" si="249"/>
        <v>#DIV/0!</v>
      </c>
      <c r="AW279" s="486">
        <f t="shared" si="250"/>
        <v>3088.4700000000003</v>
      </c>
      <c r="AX279" s="486" t="e">
        <f t="shared" si="251"/>
        <v>#DIV/0!</v>
      </c>
      <c r="AY279" s="486" t="e">
        <f t="shared" si="252"/>
        <v>#DIV/0!</v>
      </c>
      <c r="AZ279" s="486" t="e">
        <f t="shared" si="253"/>
        <v>#DIV/0!</v>
      </c>
      <c r="BA279" s="486">
        <f t="shared" si="243"/>
        <v>0</v>
      </c>
      <c r="BB279" s="494">
        <v>5155.41</v>
      </c>
      <c r="BC279" s="494">
        <v>2070.12</v>
      </c>
      <c r="BD279" s="494">
        <v>848.92</v>
      </c>
      <c r="BE279" s="494">
        <v>819.73</v>
      </c>
      <c r="BF279" s="494">
        <v>611.5</v>
      </c>
      <c r="BG279" s="494">
        <v>1080.04</v>
      </c>
      <c r="BH279" s="494">
        <v>2671800.0099999998</v>
      </c>
      <c r="BI279" s="494">
        <f t="shared" si="192"/>
        <v>4422.8500000000004</v>
      </c>
      <c r="BJ279" s="494">
        <v>14289.54</v>
      </c>
      <c r="BK279" s="494">
        <v>3389.61</v>
      </c>
      <c r="BL279" s="494">
        <v>5995.76</v>
      </c>
      <c r="BM279" s="494">
        <v>548.62</v>
      </c>
      <c r="BN279" s="495" t="e">
        <f t="shared" si="254"/>
        <v>#DIV/0!</v>
      </c>
      <c r="BO279" s="495" t="e">
        <f t="shared" si="255"/>
        <v>#DIV/0!</v>
      </c>
      <c r="BP279" s="495" t="e">
        <f t="shared" si="256"/>
        <v>#DIV/0!</v>
      </c>
      <c r="BQ279" s="495" t="e">
        <f t="shared" si="257"/>
        <v>#DIV/0!</v>
      </c>
      <c r="BR279" s="495" t="e">
        <f t="shared" si="258"/>
        <v>#DIV/0!</v>
      </c>
      <c r="BS279" s="495" t="e">
        <f t="shared" si="259"/>
        <v>#DIV/0!</v>
      </c>
      <c r="BT279" s="495" t="e">
        <f t="shared" si="260"/>
        <v>#DIV/0!</v>
      </c>
      <c r="BU279" s="495" t="str">
        <f t="shared" si="261"/>
        <v xml:space="preserve"> </v>
      </c>
      <c r="BV279" s="495" t="e">
        <f t="shared" si="262"/>
        <v>#DIV/0!</v>
      </c>
      <c r="BW279" s="495" t="e">
        <f t="shared" si="263"/>
        <v>#DIV/0!</v>
      </c>
      <c r="BX279" s="495" t="e">
        <f t="shared" si="264"/>
        <v>#DIV/0!</v>
      </c>
      <c r="BY279" s="495" t="str">
        <f t="shared" si="265"/>
        <v xml:space="preserve"> </v>
      </c>
    </row>
    <row r="280" spans="1:77" s="28" customFormat="1" ht="9" customHeight="1">
      <c r="A280" s="278">
        <v>226</v>
      </c>
      <c r="B280" s="156" t="s">
        <v>911</v>
      </c>
      <c r="C280" s="249">
        <v>382.9</v>
      </c>
      <c r="D280" s="376"/>
      <c r="E280" s="368" t="s">
        <v>1006</v>
      </c>
      <c r="F280" s="249"/>
      <c r="G280" s="249"/>
      <c r="H280" s="368">
        <v>1178663.6399999999</v>
      </c>
      <c r="I280" s="368">
        <f t="shared" si="269"/>
        <v>0</v>
      </c>
      <c r="J280" s="217">
        <v>0</v>
      </c>
      <c r="K280" s="469">
        <v>0</v>
      </c>
      <c r="L280" s="217">
        <v>0</v>
      </c>
      <c r="M280" s="469">
        <v>0</v>
      </c>
      <c r="N280" s="217">
        <v>0</v>
      </c>
      <c r="O280" s="249">
        <v>0</v>
      </c>
      <c r="P280" s="368">
        <v>0</v>
      </c>
      <c r="Q280" s="249">
        <v>0</v>
      </c>
      <c r="R280" s="368">
        <v>0</v>
      </c>
      <c r="S280" s="249">
        <v>0</v>
      </c>
      <c r="T280" s="368">
        <v>0</v>
      </c>
      <c r="U280" s="130">
        <v>0</v>
      </c>
      <c r="V280" s="368">
        <v>0</v>
      </c>
      <c r="W280" s="23">
        <v>364.46</v>
      </c>
      <c r="X280" s="368">
        <f t="shared" si="270"/>
        <v>1125623.78</v>
      </c>
      <c r="Y280" s="370">
        <v>0</v>
      </c>
      <c r="Z280" s="370">
        <v>0</v>
      </c>
      <c r="AA280" s="370">
        <v>0</v>
      </c>
      <c r="AB280" s="370">
        <v>0</v>
      </c>
      <c r="AC280" s="370">
        <v>0</v>
      </c>
      <c r="AD280" s="370">
        <v>0</v>
      </c>
      <c r="AE280" s="370">
        <v>0</v>
      </c>
      <c r="AF280" s="370">
        <v>0</v>
      </c>
      <c r="AG280" s="370">
        <v>0</v>
      </c>
      <c r="AH280" s="370">
        <v>0</v>
      </c>
      <c r="AI280" s="370">
        <v>0</v>
      </c>
      <c r="AJ280" s="370">
        <f t="shared" si="271"/>
        <v>35359.910000000003</v>
      </c>
      <c r="AK280" s="370">
        <f t="shared" si="272"/>
        <v>17679.95</v>
      </c>
      <c r="AL280" s="370">
        <v>0</v>
      </c>
      <c r="AM280" s="446"/>
      <c r="AN280" s="446"/>
      <c r="AP280" s="486" t="e">
        <f t="shared" si="242"/>
        <v>#DIV/0!</v>
      </c>
      <c r="AQ280" s="486" t="e">
        <f t="shared" si="244"/>
        <v>#DIV/0!</v>
      </c>
      <c r="AR280" s="486" t="e">
        <f t="shared" si="245"/>
        <v>#DIV/0!</v>
      </c>
      <c r="AS280" s="486" t="e">
        <f t="shared" si="246"/>
        <v>#DIV/0!</v>
      </c>
      <c r="AT280" s="486" t="e">
        <f t="shared" si="247"/>
        <v>#DIV/0!</v>
      </c>
      <c r="AU280" s="486" t="e">
        <f t="shared" si="248"/>
        <v>#DIV/0!</v>
      </c>
      <c r="AV280" s="486" t="e">
        <f t="shared" si="249"/>
        <v>#DIV/0!</v>
      </c>
      <c r="AW280" s="486">
        <f t="shared" si="250"/>
        <v>3088.4700104263843</v>
      </c>
      <c r="AX280" s="486" t="e">
        <f t="shared" si="251"/>
        <v>#DIV/0!</v>
      </c>
      <c r="AY280" s="486" t="e">
        <f t="shared" si="252"/>
        <v>#DIV/0!</v>
      </c>
      <c r="AZ280" s="486" t="e">
        <f t="shared" si="253"/>
        <v>#DIV/0!</v>
      </c>
      <c r="BA280" s="486">
        <f t="shared" si="243"/>
        <v>0</v>
      </c>
      <c r="BB280" s="494">
        <v>5155.41</v>
      </c>
      <c r="BC280" s="494">
        <v>2070.12</v>
      </c>
      <c r="BD280" s="494">
        <v>848.92</v>
      </c>
      <c r="BE280" s="494">
        <v>819.73</v>
      </c>
      <c r="BF280" s="494">
        <v>611.5</v>
      </c>
      <c r="BG280" s="494">
        <v>1080.04</v>
      </c>
      <c r="BH280" s="494">
        <v>2671800.0099999998</v>
      </c>
      <c r="BI280" s="494">
        <f t="shared" si="192"/>
        <v>4422.8500000000004</v>
      </c>
      <c r="BJ280" s="494">
        <v>14289.54</v>
      </c>
      <c r="BK280" s="494">
        <v>3389.61</v>
      </c>
      <c r="BL280" s="494">
        <v>5995.76</v>
      </c>
      <c r="BM280" s="494">
        <v>548.62</v>
      </c>
      <c r="BN280" s="495" t="e">
        <f t="shared" si="254"/>
        <v>#DIV/0!</v>
      </c>
      <c r="BO280" s="495" t="e">
        <f t="shared" si="255"/>
        <v>#DIV/0!</v>
      </c>
      <c r="BP280" s="495" t="e">
        <f t="shared" si="256"/>
        <v>#DIV/0!</v>
      </c>
      <c r="BQ280" s="495" t="e">
        <f t="shared" si="257"/>
        <v>#DIV/0!</v>
      </c>
      <c r="BR280" s="495" t="e">
        <f t="shared" si="258"/>
        <v>#DIV/0!</v>
      </c>
      <c r="BS280" s="495" t="e">
        <f t="shared" si="259"/>
        <v>#DIV/0!</v>
      </c>
      <c r="BT280" s="495" t="e">
        <f t="shared" si="260"/>
        <v>#DIV/0!</v>
      </c>
      <c r="BU280" s="495" t="str">
        <f t="shared" si="261"/>
        <v xml:space="preserve"> </v>
      </c>
      <c r="BV280" s="495" t="e">
        <f t="shared" si="262"/>
        <v>#DIV/0!</v>
      </c>
      <c r="BW280" s="495" t="e">
        <f t="shared" si="263"/>
        <v>#DIV/0!</v>
      </c>
      <c r="BX280" s="495" t="e">
        <f t="shared" si="264"/>
        <v>#DIV/0!</v>
      </c>
      <c r="BY280" s="495" t="str">
        <f t="shared" si="265"/>
        <v xml:space="preserve"> </v>
      </c>
    </row>
    <row r="281" spans="1:77" s="28" customFormat="1" ht="24" customHeight="1">
      <c r="A281" s="954" t="s">
        <v>428</v>
      </c>
      <c r="B281" s="954"/>
      <c r="C281" s="368">
        <f>SUM(C275:C280)</f>
        <v>2617.3000000000002</v>
      </c>
      <c r="D281" s="396"/>
      <c r="E281" s="362" t="s">
        <v>391</v>
      </c>
      <c r="F281" s="374"/>
      <c r="G281" s="374"/>
      <c r="H281" s="371">
        <f>SUM(H275:H280)</f>
        <v>8109125.6399999997</v>
      </c>
      <c r="I281" s="371">
        <f t="shared" ref="I281:AL281" si="273">SUM(I275:I280)</f>
        <v>0</v>
      </c>
      <c r="J281" s="371">
        <f t="shared" si="273"/>
        <v>0</v>
      </c>
      <c r="K281" s="371">
        <f t="shared" si="273"/>
        <v>0</v>
      </c>
      <c r="L281" s="371">
        <f t="shared" si="273"/>
        <v>0</v>
      </c>
      <c r="M281" s="371">
        <f t="shared" si="273"/>
        <v>0</v>
      </c>
      <c r="N281" s="371">
        <f t="shared" si="273"/>
        <v>0</v>
      </c>
      <c r="O281" s="371">
        <f t="shared" si="273"/>
        <v>0</v>
      </c>
      <c r="P281" s="371">
        <f t="shared" si="273"/>
        <v>0</v>
      </c>
      <c r="Q281" s="371">
        <f t="shared" si="273"/>
        <v>0</v>
      </c>
      <c r="R281" s="371">
        <f t="shared" si="273"/>
        <v>0</v>
      </c>
      <c r="S281" s="371">
        <f t="shared" si="273"/>
        <v>0</v>
      </c>
      <c r="T281" s="371">
        <f t="shared" si="273"/>
        <v>0</v>
      </c>
      <c r="U281" s="130">
        <f t="shared" si="273"/>
        <v>0</v>
      </c>
      <c r="V281" s="371">
        <f t="shared" si="273"/>
        <v>0</v>
      </c>
      <c r="W281" s="371">
        <f t="shared" si="273"/>
        <v>2507.46</v>
      </c>
      <c r="X281" s="371">
        <f t="shared" si="273"/>
        <v>7744214.9899999993</v>
      </c>
      <c r="Y281" s="371">
        <f t="shared" si="273"/>
        <v>0</v>
      </c>
      <c r="Z281" s="371">
        <f t="shared" si="273"/>
        <v>0</v>
      </c>
      <c r="AA281" s="371">
        <f t="shared" si="273"/>
        <v>0</v>
      </c>
      <c r="AB281" s="371">
        <f t="shared" si="273"/>
        <v>0</v>
      </c>
      <c r="AC281" s="371">
        <f t="shared" si="273"/>
        <v>0</v>
      </c>
      <c r="AD281" s="371">
        <f t="shared" si="273"/>
        <v>0</v>
      </c>
      <c r="AE281" s="371">
        <f t="shared" si="273"/>
        <v>0</v>
      </c>
      <c r="AF281" s="371">
        <f t="shared" si="273"/>
        <v>0</v>
      </c>
      <c r="AG281" s="371">
        <f t="shared" si="273"/>
        <v>0</v>
      </c>
      <c r="AH281" s="371">
        <f t="shared" si="273"/>
        <v>0</v>
      </c>
      <c r="AI281" s="371">
        <f t="shared" si="273"/>
        <v>0</v>
      </c>
      <c r="AJ281" s="371">
        <f t="shared" si="273"/>
        <v>243273.77000000002</v>
      </c>
      <c r="AK281" s="371">
        <f t="shared" si="273"/>
        <v>121636.88</v>
      </c>
      <c r="AL281" s="371">
        <f t="shared" si="273"/>
        <v>0</v>
      </c>
      <c r="AM281" s="280"/>
      <c r="AN281" s="280"/>
      <c r="AP281" s="486" t="e">
        <f t="shared" si="242"/>
        <v>#DIV/0!</v>
      </c>
      <c r="AQ281" s="486" t="e">
        <f t="shared" si="244"/>
        <v>#DIV/0!</v>
      </c>
      <c r="AR281" s="497" t="e">
        <f t="shared" si="245"/>
        <v>#DIV/0!</v>
      </c>
      <c r="AS281" s="497" t="e">
        <f t="shared" si="246"/>
        <v>#DIV/0!</v>
      </c>
      <c r="AT281" s="497" t="e">
        <f t="shared" si="247"/>
        <v>#DIV/0!</v>
      </c>
      <c r="AU281" s="497" t="e">
        <f t="shared" si="248"/>
        <v>#DIV/0!</v>
      </c>
      <c r="AV281" s="497" t="e">
        <f t="shared" si="249"/>
        <v>#DIV/0!</v>
      </c>
      <c r="AW281" s="497">
        <f t="shared" si="250"/>
        <v>3088.4700015154776</v>
      </c>
      <c r="AX281" s="497" t="e">
        <f t="shared" si="251"/>
        <v>#DIV/0!</v>
      </c>
      <c r="AY281" s="486" t="e">
        <f t="shared" si="252"/>
        <v>#DIV/0!</v>
      </c>
      <c r="AZ281" s="497" t="e">
        <f t="shared" si="253"/>
        <v>#DIV/0!</v>
      </c>
      <c r="BA281" s="486">
        <f t="shared" si="243"/>
        <v>0</v>
      </c>
      <c r="BB281" s="494">
        <v>5155.41</v>
      </c>
      <c r="BC281" s="494">
        <v>2070.12</v>
      </c>
      <c r="BD281" s="494">
        <v>848.92</v>
      </c>
      <c r="BE281" s="494">
        <v>819.73</v>
      </c>
      <c r="BF281" s="494">
        <v>611.5</v>
      </c>
      <c r="BG281" s="494">
        <v>1080.04</v>
      </c>
      <c r="BH281" s="494">
        <v>2671800.0099999998</v>
      </c>
      <c r="BI281" s="494">
        <f t="shared" si="192"/>
        <v>4422.8500000000004</v>
      </c>
      <c r="BJ281" s="494">
        <v>14289.54</v>
      </c>
      <c r="BK281" s="494">
        <v>3389.61</v>
      </c>
      <c r="BL281" s="494">
        <v>5995.76</v>
      </c>
      <c r="BM281" s="494">
        <v>548.62</v>
      </c>
      <c r="BN281" s="493" t="e">
        <f t="shared" si="254"/>
        <v>#DIV/0!</v>
      </c>
      <c r="BO281" s="493" t="e">
        <f t="shared" si="255"/>
        <v>#DIV/0!</v>
      </c>
      <c r="BP281" s="493" t="e">
        <f t="shared" si="256"/>
        <v>#DIV/0!</v>
      </c>
      <c r="BQ281" s="493" t="e">
        <f t="shared" si="257"/>
        <v>#DIV/0!</v>
      </c>
      <c r="BR281" s="493" t="e">
        <f t="shared" si="258"/>
        <v>#DIV/0!</v>
      </c>
      <c r="BS281" s="493" t="e">
        <f t="shared" si="259"/>
        <v>#DIV/0!</v>
      </c>
      <c r="BT281" s="493" t="e">
        <f t="shared" si="260"/>
        <v>#DIV/0!</v>
      </c>
      <c r="BU281" s="493" t="str">
        <f t="shared" si="261"/>
        <v xml:space="preserve"> </v>
      </c>
      <c r="BV281" s="493" t="e">
        <f t="shared" si="262"/>
        <v>#DIV/0!</v>
      </c>
      <c r="BW281" s="493" t="e">
        <f t="shared" si="263"/>
        <v>#DIV/0!</v>
      </c>
      <c r="BX281" s="493" t="e">
        <f t="shared" si="264"/>
        <v>#DIV/0!</v>
      </c>
      <c r="BY281" s="493" t="str">
        <f t="shared" si="265"/>
        <v xml:space="preserve"> </v>
      </c>
    </row>
    <row r="282" spans="1:77" s="28" customFormat="1" ht="12.75" customHeight="1">
      <c r="A282" s="837" t="s">
        <v>1082</v>
      </c>
      <c r="B282" s="838"/>
      <c r="C282" s="838"/>
      <c r="D282" s="838"/>
      <c r="E282" s="838"/>
      <c r="F282" s="838"/>
      <c r="G282" s="838"/>
      <c r="H282" s="838"/>
      <c r="I282" s="838"/>
      <c r="J282" s="838"/>
      <c r="K282" s="838"/>
      <c r="L282" s="838"/>
      <c r="M282" s="838"/>
      <c r="N282" s="838"/>
      <c r="O282" s="838"/>
      <c r="P282" s="838"/>
      <c r="Q282" s="838"/>
      <c r="R282" s="838"/>
      <c r="S282" s="838"/>
      <c r="T282" s="838"/>
      <c r="U282" s="838"/>
      <c r="V282" s="838"/>
      <c r="W282" s="838"/>
      <c r="X282" s="838"/>
      <c r="Y282" s="838"/>
      <c r="Z282" s="838"/>
      <c r="AA282" s="838"/>
      <c r="AB282" s="838"/>
      <c r="AC282" s="838"/>
      <c r="AD282" s="838"/>
      <c r="AE282" s="838"/>
      <c r="AF282" s="838"/>
      <c r="AG282" s="838"/>
      <c r="AH282" s="838"/>
      <c r="AI282" s="838"/>
      <c r="AJ282" s="838"/>
      <c r="AK282" s="838"/>
      <c r="AL282" s="839"/>
      <c r="AM282" s="280"/>
      <c r="AN282" s="280"/>
      <c r="AP282" s="486" t="e">
        <f t="shared" si="242"/>
        <v>#DIV/0!</v>
      </c>
      <c r="AQ282" s="486" t="e">
        <f t="shared" si="244"/>
        <v>#DIV/0!</v>
      </c>
      <c r="AR282" s="497" t="e">
        <f t="shared" si="245"/>
        <v>#DIV/0!</v>
      </c>
      <c r="AS282" s="497" t="e">
        <f t="shared" si="246"/>
        <v>#DIV/0!</v>
      </c>
      <c r="AT282" s="497" t="e">
        <f t="shared" si="247"/>
        <v>#DIV/0!</v>
      </c>
      <c r="AU282" s="497" t="e">
        <f t="shared" si="248"/>
        <v>#DIV/0!</v>
      </c>
      <c r="AV282" s="497" t="e">
        <f t="shared" si="249"/>
        <v>#DIV/0!</v>
      </c>
      <c r="AW282" s="497" t="e">
        <f t="shared" si="250"/>
        <v>#DIV/0!</v>
      </c>
      <c r="AX282" s="497" t="e">
        <f t="shared" si="251"/>
        <v>#DIV/0!</v>
      </c>
      <c r="AY282" s="486" t="e">
        <f t="shared" si="252"/>
        <v>#DIV/0!</v>
      </c>
      <c r="AZ282" s="497" t="e">
        <f t="shared" si="253"/>
        <v>#DIV/0!</v>
      </c>
      <c r="BA282" s="486" t="e">
        <f t="shared" si="243"/>
        <v>#DIV/0!</v>
      </c>
      <c r="BB282" s="494">
        <v>5155.41</v>
      </c>
      <c r="BC282" s="494">
        <v>2070.12</v>
      </c>
      <c r="BD282" s="494">
        <v>848.92</v>
      </c>
      <c r="BE282" s="494">
        <v>819.73</v>
      </c>
      <c r="BF282" s="494">
        <v>611.5</v>
      </c>
      <c r="BG282" s="494">
        <v>1080.04</v>
      </c>
      <c r="BH282" s="494">
        <v>2671800.0099999998</v>
      </c>
      <c r="BI282" s="494">
        <f t="shared" si="192"/>
        <v>4422.8500000000004</v>
      </c>
      <c r="BJ282" s="494">
        <v>14289.54</v>
      </c>
      <c r="BK282" s="494">
        <v>3389.61</v>
      </c>
      <c r="BL282" s="494">
        <v>5995.76</v>
      </c>
      <c r="BM282" s="494">
        <v>548.62</v>
      </c>
      <c r="BN282" s="493" t="e">
        <f t="shared" si="254"/>
        <v>#DIV/0!</v>
      </c>
      <c r="BO282" s="493" t="e">
        <f t="shared" si="255"/>
        <v>#DIV/0!</v>
      </c>
      <c r="BP282" s="493" t="e">
        <f t="shared" si="256"/>
        <v>#DIV/0!</v>
      </c>
      <c r="BQ282" s="493" t="e">
        <f t="shared" si="257"/>
        <v>#DIV/0!</v>
      </c>
      <c r="BR282" s="493" t="e">
        <f t="shared" si="258"/>
        <v>#DIV/0!</v>
      </c>
      <c r="BS282" s="493" t="e">
        <f t="shared" si="259"/>
        <v>#DIV/0!</v>
      </c>
      <c r="BT282" s="493" t="e">
        <f t="shared" si="260"/>
        <v>#DIV/0!</v>
      </c>
      <c r="BU282" s="493" t="e">
        <f t="shared" si="261"/>
        <v>#DIV/0!</v>
      </c>
      <c r="BV282" s="493" t="e">
        <f t="shared" si="262"/>
        <v>#DIV/0!</v>
      </c>
      <c r="BW282" s="493" t="e">
        <f t="shared" si="263"/>
        <v>#DIV/0!</v>
      </c>
      <c r="BX282" s="493" t="e">
        <f t="shared" si="264"/>
        <v>#DIV/0!</v>
      </c>
      <c r="BY282" s="493" t="e">
        <f t="shared" si="265"/>
        <v>#DIV/0!</v>
      </c>
    </row>
    <row r="283" spans="1:77" s="28" customFormat="1" ht="9" customHeight="1">
      <c r="A283" s="278">
        <v>227</v>
      </c>
      <c r="B283" s="156" t="s">
        <v>918</v>
      </c>
      <c r="C283" s="249">
        <v>909.2</v>
      </c>
      <c r="D283" s="376"/>
      <c r="E283" s="368" t="s">
        <v>1006</v>
      </c>
      <c r="F283" s="249"/>
      <c r="G283" s="249"/>
      <c r="H283" s="368">
        <v>2734282.32</v>
      </c>
      <c r="I283" s="368">
        <f t="shared" ref="I283:I285" si="274">J283+L283+N283+P283+R283+T283</f>
        <v>0</v>
      </c>
      <c r="J283" s="217">
        <v>0</v>
      </c>
      <c r="K283" s="469">
        <v>0</v>
      </c>
      <c r="L283" s="217">
        <v>0</v>
      </c>
      <c r="M283" s="469">
        <v>0</v>
      </c>
      <c r="N283" s="217">
        <v>0</v>
      </c>
      <c r="O283" s="249">
        <v>0</v>
      </c>
      <c r="P283" s="368">
        <v>0</v>
      </c>
      <c r="Q283" s="249">
        <v>0</v>
      </c>
      <c r="R283" s="368">
        <v>0</v>
      </c>
      <c r="S283" s="249">
        <v>0</v>
      </c>
      <c r="T283" s="368">
        <v>0</v>
      </c>
      <c r="U283" s="130">
        <v>0</v>
      </c>
      <c r="V283" s="368">
        <v>0</v>
      </c>
      <c r="W283" s="370">
        <v>845.48</v>
      </c>
      <c r="X283" s="368">
        <f t="shared" ref="X283:X285" si="275">ROUND(H283/100*95.5,2)</f>
        <v>2611239.62</v>
      </c>
      <c r="Y283" s="370">
        <v>0</v>
      </c>
      <c r="Z283" s="370">
        <v>0</v>
      </c>
      <c r="AA283" s="370">
        <v>0</v>
      </c>
      <c r="AB283" s="370">
        <v>0</v>
      </c>
      <c r="AC283" s="370">
        <v>0</v>
      </c>
      <c r="AD283" s="370">
        <v>0</v>
      </c>
      <c r="AE283" s="370">
        <v>0</v>
      </c>
      <c r="AF283" s="370">
        <v>0</v>
      </c>
      <c r="AG283" s="370">
        <v>0</v>
      </c>
      <c r="AH283" s="370">
        <v>0</v>
      </c>
      <c r="AI283" s="370">
        <v>0</v>
      </c>
      <c r="AJ283" s="370">
        <f t="shared" ref="AJ283:AJ285" si="276">ROUND(H283/100*3,2)</f>
        <v>82028.47</v>
      </c>
      <c r="AK283" s="370">
        <f t="shared" ref="AK283:AK285" si="277">ROUND(H283/100*1.5,2)</f>
        <v>41014.230000000003</v>
      </c>
      <c r="AL283" s="370">
        <v>0</v>
      </c>
      <c r="AM283" s="446"/>
      <c r="AN283" s="446"/>
      <c r="AP283" s="486" t="e">
        <f t="shared" si="242"/>
        <v>#DIV/0!</v>
      </c>
      <c r="AQ283" s="486" t="e">
        <f t="shared" si="244"/>
        <v>#DIV/0!</v>
      </c>
      <c r="AR283" s="486" t="e">
        <f t="shared" si="245"/>
        <v>#DIV/0!</v>
      </c>
      <c r="AS283" s="486" t="e">
        <f t="shared" si="246"/>
        <v>#DIV/0!</v>
      </c>
      <c r="AT283" s="486" t="e">
        <f t="shared" si="247"/>
        <v>#DIV/0!</v>
      </c>
      <c r="AU283" s="486" t="e">
        <f t="shared" si="248"/>
        <v>#DIV/0!</v>
      </c>
      <c r="AV283" s="486" t="e">
        <f t="shared" si="249"/>
        <v>#DIV/0!</v>
      </c>
      <c r="AW283" s="486">
        <f t="shared" si="250"/>
        <v>3088.4700052041444</v>
      </c>
      <c r="AX283" s="486" t="e">
        <f t="shared" si="251"/>
        <v>#DIV/0!</v>
      </c>
      <c r="AY283" s="486" t="e">
        <f t="shared" si="252"/>
        <v>#DIV/0!</v>
      </c>
      <c r="AZ283" s="486" t="e">
        <f t="shared" si="253"/>
        <v>#DIV/0!</v>
      </c>
      <c r="BA283" s="486">
        <f t="shared" si="243"/>
        <v>0</v>
      </c>
      <c r="BB283" s="494">
        <v>5155.41</v>
      </c>
      <c r="BC283" s="494">
        <v>2070.12</v>
      </c>
      <c r="BD283" s="494">
        <v>848.92</v>
      </c>
      <c r="BE283" s="494">
        <v>819.73</v>
      </c>
      <c r="BF283" s="494">
        <v>611.5</v>
      </c>
      <c r="BG283" s="494">
        <v>1080.04</v>
      </c>
      <c r="BH283" s="494">
        <v>2671800.0099999998</v>
      </c>
      <c r="BI283" s="494">
        <f t="shared" si="192"/>
        <v>4422.8500000000004</v>
      </c>
      <c r="BJ283" s="494">
        <v>14289.54</v>
      </c>
      <c r="BK283" s="494">
        <v>3389.61</v>
      </c>
      <c r="BL283" s="494">
        <v>5995.76</v>
      </c>
      <c r="BM283" s="494">
        <v>548.62</v>
      </c>
      <c r="BN283" s="495" t="e">
        <f t="shared" si="254"/>
        <v>#DIV/0!</v>
      </c>
      <c r="BO283" s="495" t="e">
        <f t="shared" si="255"/>
        <v>#DIV/0!</v>
      </c>
      <c r="BP283" s="495" t="e">
        <f t="shared" si="256"/>
        <v>#DIV/0!</v>
      </c>
      <c r="BQ283" s="495" t="e">
        <f t="shared" si="257"/>
        <v>#DIV/0!</v>
      </c>
      <c r="BR283" s="495" t="e">
        <f t="shared" si="258"/>
        <v>#DIV/0!</v>
      </c>
      <c r="BS283" s="495" t="e">
        <f t="shared" si="259"/>
        <v>#DIV/0!</v>
      </c>
      <c r="BT283" s="495" t="e">
        <f t="shared" si="260"/>
        <v>#DIV/0!</v>
      </c>
      <c r="BU283" s="495" t="str">
        <f t="shared" si="261"/>
        <v xml:space="preserve"> </v>
      </c>
      <c r="BV283" s="495" t="e">
        <f t="shared" si="262"/>
        <v>#DIV/0!</v>
      </c>
      <c r="BW283" s="495" t="e">
        <f t="shared" si="263"/>
        <v>#DIV/0!</v>
      </c>
      <c r="BX283" s="495" t="e">
        <f t="shared" si="264"/>
        <v>#DIV/0!</v>
      </c>
      <c r="BY283" s="495" t="str">
        <f t="shared" si="265"/>
        <v xml:space="preserve"> </v>
      </c>
    </row>
    <row r="284" spans="1:77" s="28" customFormat="1" ht="9" customHeight="1">
      <c r="A284" s="278">
        <v>228</v>
      </c>
      <c r="B284" s="156" t="s">
        <v>919</v>
      </c>
      <c r="C284" s="249">
        <f>444.5+117.9</f>
        <v>562.4</v>
      </c>
      <c r="D284" s="376"/>
      <c r="E284" s="368" t="s">
        <v>1006</v>
      </c>
      <c r="F284" s="249"/>
      <c r="G284" s="249"/>
      <c r="H284" s="368">
        <v>1488771.9</v>
      </c>
      <c r="I284" s="368">
        <f t="shared" si="274"/>
        <v>0</v>
      </c>
      <c r="J284" s="217">
        <v>0</v>
      </c>
      <c r="K284" s="469">
        <v>0</v>
      </c>
      <c r="L284" s="217">
        <v>0</v>
      </c>
      <c r="M284" s="469">
        <v>0</v>
      </c>
      <c r="N284" s="217">
        <v>0</v>
      </c>
      <c r="O284" s="249">
        <v>0</v>
      </c>
      <c r="P284" s="368">
        <v>0</v>
      </c>
      <c r="Q284" s="249">
        <v>0</v>
      </c>
      <c r="R284" s="368">
        <v>0</v>
      </c>
      <c r="S284" s="249">
        <v>0</v>
      </c>
      <c r="T284" s="368">
        <v>0</v>
      </c>
      <c r="U284" s="130">
        <v>0</v>
      </c>
      <c r="V284" s="368">
        <v>0</v>
      </c>
      <c r="W284" s="370">
        <v>460.35</v>
      </c>
      <c r="X284" s="368">
        <f t="shared" si="275"/>
        <v>1421777.16</v>
      </c>
      <c r="Y284" s="370">
        <v>0</v>
      </c>
      <c r="Z284" s="370">
        <v>0</v>
      </c>
      <c r="AA284" s="370">
        <v>0</v>
      </c>
      <c r="AB284" s="370">
        <v>0</v>
      </c>
      <c r="AC284" s="370">
        <v>0</v>
      </c>
      <c r="AD284" s="370">
        <v>0</v>
      </c>
      <c r="AE284" s="370">
        <v>0</v>
      </c>
      <c r="AF284" s="370">
        <v>0</v>
      </c>
      <c r="AG284" s="370">
        <v>0</v>
      </c>
      <c r="AH284" s="370">
        <v>0</v>
      </c>
      <c r="AI284" s="370">
        <v>0</v>
      </c>
      <c r="AJ284" s="370">
        <f t="shared" si="276"/>
        <v>44663.16</v>
      </c>
      <c r="AK284" s="370">
        <f t="shared" si="277"/>
        <v>22331.58</v>
      </c>
      <c r="AL284" s="370">
        <v>0</v>
      </c>
      <c r="AM284" s="446"/>
      <c r="AN284" s="446"/>
      <c r="AP284" s="486" t="e">
        <f t="shared" si="242"/>
        <v>#DIV/0!</v>
      </c>
      <c r="AQ284" s="486" t="e">
        <f t="shared" si="244"/>
        <v>#DIV/0!</v>
      </c>
      <c r="AR284" s="486" t="e">
        <f t="shared" si="245"/>
        <v>#DIV/0!</v>
      </c>
      <c r="AS284" s="486" t="e">
        <f t="shared" si="246"/>
        <v>#DIV/0!</v>
      </c>
      <c r="AT284" s="486" t="e">
        <f t="shared" si="247"/>
        <v>#DIV/0!</v>
      </c>
      <c r="AU284" s="486" t="e">
        <f t="shared" si="248"/>
        <v>#DIV/0!</v>
      </c>
      <c r="AV284" s="486" t="e">
        <f t="shared" si="249"/>
        <v>#DIV/0!</v>
      </c>
      <c r="AW284" s="486">
        <f t="shared" si="250"/>
        <v>3088.4699902248285</v>
      </c>
      <c r="AX284" s="486" t="e">
        <f t="shared" si="251"/>
        <v>#DIV/0!</v>
      </c>
      <c r="AY284" s="486" t="e">
        <f t="shared" si="252"/>
        <v>#DIV/0!</v>
      </c>
      <c r="AZ284" s="486" t="e">
        <f t="shared" si="253"/>
        <v>#DIV/0!</v>
      </c>
      <c r="BA284" s="486">
        <f t="shared" si="243"/>
        <v>0</v>
      </c>
      <c r="BB284" s="494">
        <v>5155.41</v>
      </c>
      <c r="BC284" s="494">
        <v>2070.12</v>
      </c>
      <c r="BD284" s="494">
        <v>848.92</v>
      </c>
      <c r="BE284" s="494">
        <v>819.73</v>
      </c>
      <c r="BF284" s="494">
        <v>611.5</v>
      </c>
      <c r="BG284" s="494">
        <v>1080.04</v>
      </c>
      <c r="BH284" s="494">
        <v>2671800.0099999998</v>
      </c>
      <c r="BI284" s="494">
        <f t="shared" si="192"/>
        <v>4422.8500000000004</v>
      </c>
      <c r="BJ284" s="494">
        <v>14289.54</v>
      </c>
      <c r="BK284" s="494">
        <v>3389.61</v>
      </c>
      <c r="BL284" s="494">
        <v>5995.76</v>
      </c>
      <c r="BM284" s="494">
        <v>548.62</v>
      </c>
      <c r="BN284" s="495" t="e">
        <f t="shared" si="254"/>
        <v>#DIV/0!</v>
      </c>
      <c r="BO284" s="495" t="e">
        <f t="shared" si="255"/>
        <v>#DIV/0!</v>
      </c>
      <c r="BP284" s="495" t="e">
        <f t="shared" si="256"/>
        <v>#DIV/0!</v>
      </c>
      <c r="BQ284" s="495" t="e">
        <f t="shared" si="257"/>
        <v>#DIV/0!</v>
      </c>
      <c r="BR284" s="495" t="e">
        <f t="shared" si="258"/>
        <v>#DIV/0!</v>
      </c>
      <c r="BS284" s="495" t="e">
        <f t="shared" si="259"/>
        <v>#DIV/0!</v>
      </c>
      <c r="BT284" s="495" t="e">
        <f t="shared" si="260"/>
        <v>#DIV/0!</v>
      </c>
      <c r="BU284" s="495" t="str">
        <f t="shared" si="261"/>
        <v xml:space="preserve"> </v>
      </c>
      <c r="BV284" s="495" t="e">
        <f t="shared" si="262"/>
        <v>#DIV/0!</v>
      </c>
      <c r="BW284" s="495" t="e">
        <f t="shared" si="263"/>
        <v>#DIV/0!</v>
      </c>
      <c r="BX284" s="495" t="e">
        <f t="shared" si="264"/>
        <v>#DIV/0!</v>
      </c>
      <c r="BY284" s="495" t="str">
        <f t="shared" si="265"/>
        <v xml:space="preserve"> </v>
      </c>
    </row>
    <row r="285" spans="1:77" s="28" customFormat="1" ht="9" customHeight="1">
      <c r="A285" s="278">
        <v>229</v>
      </c>
      <c r="B285" s="156" t="s">
        <v>920</v>
      </c>
      <c r="C285" s="249">
        <v>626.20000000000005</v>
      </c>
      <c r="D285" s="376"/>
      <c r="E285" s="368" t="s">
        <v>1006</v>
      </c>
      <c r="F285" s="249"/>
      <c r="G285" s="249"/>
      <c r="H285" s="368">
        <v>1910905.92</v>
      </c>
      <c r="I285" s="368">
        <f t="shared" si="274"/>
        <v>0</v>
      </c>
      <c r="J285" s="217">
        <v>0</v>
      </c>
      <c r="K285" s="469">
        <v>0</v>
      </c>
      <c r="L285" s="217">
        <v>0</v>
      </c>
      <c r="M285" s="469">
        <v>0</v>
      </c>
      <c r="N285" s="217">
        <v>0</v>
      </c>
      <c r="O285" s="249">
        <v>0</v>
      </c>
      <c r="P285" s="368">
        <v>0</v>
      </c>
      <c r="Q285" s="249">
        <v>0</v>
      </c>
      <c r="R285" s="368">
        <v>0</v>
      </c>
      <c r="S285" s="249">
        <v>0</v>
      </c>
      <c r="T285" s="368">
        <v>0</v>
      </c>
      <c r="U285" s="130">
        <v>0</v>
      </c>
      <c r="V285" s="368">
        <v>0</v>
      </c>
      <c r="W285" s="370">
        <v>590.88</v>
      </c>
      <c r="X285" s="368">
        <f t="shared" si="275"/>
        <v>1824915.15</v>
      </c>
      <c r="Y285" s="370">
        <v>0</v>
      </c>
      <c r="Z285" s="370">
        <v>0</v>
      </c>
      <c r="AA285" s="370">
        <v>0</v>
      </c>
      <c r="AB285" s="370">
        <v>0</v>
      </c>
      <c r="AC285" s="370">
        <v>0</v>
      </c>
      <c r="AD285" s="370">
        <v>0</v>
      </c>
      <c r="AE285" s="370">
        <v>0</v>
      </c>
      <c r="AF285" s="370">
        <v>0</v>
      </c>
      <c r="AG285" s="370">
        <v>0</v>
      </c>
      <c r="AH285" s="370">
        <v>0</v>
      </c>
      <c r="AI285" s="370">
        <v>0</v>
      </c>
      <c r="AJ285" s="370">
        <f t="shared" si="276"/>
        <v>57327.18</v>
      </c>
      <c r="AK285" s="370">
        <f t="shared" si="277"/>
        <v>28663.59</v>
      </c>
      <c r="AL285" s="370">
        <v>0</v>
      </c>
      <c r="AM285" s="446"/>
      <c r="AN285" s="446"/>
      <c r="AP285" s="486" t="e">
        <f t="shared" si="242"/>
        <v>#DIV/0!</v>
      </c>
      <c r="AQ285" s="486" t="e">
        <f t="shared" si="244"/>
        <v>#DIV/0!</v>
      </c>
      <c r="AR285" s="486" t="e">
        <f t="shared" si="245"/>
        <v>#DIV/0!</v>
      </c>
      <c r="AS285" s="486" t="e">
        <f t="shared" si="246"/>
        <v>#DIV/0!</v>
      </c>
      <c r="AT285" s="486" t="e">
        <f t="shared" si="247"/>
        <v>#DIV/0!</v>
      </c>
      <c r="AU285" s="486" t="e">
        <f t="shared" si="248"/>
        <v>#DIV/0!</v>
      </c>
      <c r="AV285" s="486" t="e">
        <f t="shared" si="249"/>
        <v>#DIV/0!</v>
      </c>
      <c r="AW285" s="486">
        <f t="shared" si="250"/>
        <v>3088.4699939073921</v>
      </c>
      <c r="AX285" s="486" t="e">
        <f t="shared" si="251"/>
        <v>#DIV/0!</v>
      </c>
      <c r="AY285" s="486" t="e">
        <f t="shared" si="252"/>
        <v>#DIV/0!</v>
      </c>
      <c r="AZ285" s="486" t="e">
        <f t="shared" si="253"/>
        <v>#DIV/0!</v>
      </c>
      <c r="BA285" s="486">
        <f t="shared" si="243"/>
        <v>0</v>
      </c>
      <c r="BB285" s="494">
        <v>5155.41</v>
      </c>
      <c r="BC285" s="494">
        <v>2070.12</v>
      </c>
      <c r="BD285" s="494">
        <v>848.92</v>
      </c>
      <c r="BE285" s="494">
        <v>819.73</v>
      </c>
      <c r="BF285" s="494">
        <v>611.5</v>
      </c>
      <c r="BG285" s="494">
        <v>1080.04</v>
      </c>
      <c r="BH285" s="494">
        <v>2671800.0099999998</v>
      </c>
      <c r="BI285" s="494">
        <f t="shared" si="192"/>
        <v>4422.8500000000004</v>
      </c>
      <c r="BJ285" s="494">
        <v>14289.54</v>
      </c>
      <c r="BK285" s="494">
        <v>3389.61</v>
      </c>
      <c r="BL285" s="494">
        <v>5995.76</v>
      </c>
      <c r="BM285" s="494">
        <v>548.62</v>
      </c>
      <c r="BN285" s="495" t="e">
        <f t="shared" si="254"/>
        <v>#DIV/0!</v>
      </c>
      <c r="BO285" s="495" t="e">
        <f t="shared" si="255"/>
        <v>#DIV/0!</v>
      </c>
      <c r="BP285" s="495" t="e">
        <f t="shared" si="256"/>
        <v>#DIV/0!</v>
      </c>
      <c r="BQ285" s="495" t="e">
        <f t="shared" si="257"/>
        <v>#DIV/0!</v>
      </c>
      <c r="BR285" s="495" t="e">
        <f t="shared" si="258"/>
        <v>#DIV/0!</v>
      </c>
      <c r="BS285" s="495" t="e">
        <f t="shared" si="259"/>
        <v>#DIV/0!</v>
      </c>
      <c r="BT285" s="495" t="e">
        <f t="shared" si="260"/>
        <v>#DIV/0!</v>
      </c>
      <c r="BU285" s="495" t="str">
        <f t="shared" si="261"/>
        <v xml:space="preserve"> </v>
      </c>
      <c r="BV285" s="495" t="e">
        <f t="shared" si="262"/>
        <v>#DIV/0!</v>
      </c>
      <c r="BW285" s="495" t="e">
        <f t="shared" si="263"/>
        <v>#DIV/0!</v>
      </c>
      <c r="BX285" s="495" t="e">
        <f t="shared" si="264"/>
        <v>#DIV/0!</v>
      </c>
      <c r="BY285" s="495" t="str">
        <f t="shared" si="265"/>
        <v xml:space="preserve"> </v>
      </c>
    </row>
    <row r="286" spans="1:77" s="28" customFormat="1" ht="35.25" customHeight="1">
      <c r="A286" s="954" t="s">
        <v>1004</v>
      </c>
      <c r="B286" s="954"/>
      <c r="C286" s="368">
        <f>SUM(C283:C285)</f>
        <v>2097.8000000000002</v>
      </c>
      <c r="D286" s="396"/>
      <c r="E286" s="362" t="s">
        <v>391</v>
      </c>
      <c r="F286" s="374"/>
      <c r="G286" s="374"/>
      <c r="H286" s="368">
        <f>SUM(H283:H285)</f>
        <v>6133960.1399999997</v>
      </c>
      <c r="I286" s="368">
        <f t="shared" ref="I286:AL286" si="278">SUM(I283:I285)</f>
        <v>0</v>
      </c>
      <c r="J286" s="368">
        <f t="shared" si="278"/>
        <v>0</v>
      </c>
      <c r="K286" s="368">
        <f t="shared" si="278"/>
        <v>0</v>
      </c>
      <c r="L286" s="368">
        <f t="shared" si="278"/>
        <v>0</v>
      </c>
      <c r="M286" s="368">
        <f t="shared" si="278"/>
        <v>0</v>
      </c>
      <c r="N286" s="368">
        <f t="shared" si="278"/>
        <v>0</v>
      </c>
      <c r="O286" s="368">
        <f t="shared" si="278"/>
        <v>0</v>
      </c>
      <c r="P286" s="368">
        <f t="shared" si="278"/>
        <v>0</v>
      </c>
      <c r="Q286" s="368">
        <f t="shared" si="278"/>
        <v>0</v>
      </c>
      <c r="R286" s="368">
        <f t="shared" si="278"/>
        <v>0</v>
      </c>
      <c r="S286" s="368">
        <f t="shared" si="278"/>
        <v>0</v>
      </c>
      <c r="T286" s="368">
        <f t="shared" si="278"/>
        <v>0</v>
      </c>
      <c r="U286" s="130">
        <f t="shared" si="278"/>
        <v>0</v>
      </c>
      <c r="V286" s="368">
        <f t="shared" si="278"/>
        <v>0</v>
      </c>
      <c r="W286" s="368">
        <f t="shared" si="278"/>
        <v>1896.71</v>
      </c>
      <c r="X286" s="368">
        <f t="shared" si="278"/>
        <v>5857931.9299999997</v>
      </c>
      <c r="Y286" s="368">
        <f t="shared" si="278"/>
        <v>0</v>
      </c>
      <c r="Z286" s="368">
        <f t="shared" si="278"/>
        <v>0</v>
      </c>
      <c r="AA286" s="368">
        <f t="shared" si="278"/>
        <v>0</v>
      </c>
      <c r="AB286" s="368">
        <f t="shared" si="278"/>
        <v>0</v>
      </c>
      <c r="AC286" s="368">
        <f t="shared" si="278"/>
        <v>0</v>
      </c>
      <c r="AD286" s="368">
        <f t="shared" si="278"/>
        <v>0</v>
      </c>
      <c r="AE286" s="368">
        <f t="shared" si="278"/>
        <v>0</v>
      </c>
      <c r="AF286" s="368">
        <f t="shared" si="278"/>
        <v>0</v>
      </c>
      <c r="AG286" s="368">
        <f t="shared" si="278"/>
        <v>0</v>
      </c>
      <c r="AH286" s="368">
        <f t="shared" si="278"/>
        <v>0</v>
      </c>
      <c r="AI286" s="368">
        <f t="shared" si="278"/>
        <v>0</v>
      </c>
      <c r="AJ286" s="368">
        <f t="shared" si="278"/>
        <v>184018.81</v>
      </c>
      <c r="AK286" s="368">
        <f t="shared" si="278"/>
        <v>92009.400000000009</v>
      </c>
      <c r="AL286" s="368">
        <f t="shared" si="278"/>
        <v>0</v>
      </c>
      <c r="AM286" s="280"/>
      <c r="AN286" s="280"/>
      <c r="AP286" s="486" t="e">
        <f t="shared" si="242"/>
        <v>#DIV/0!</v>
      </c>
      <c r="AQ286" s="486" t="e">
        <f t="shared" si="244"/>
        <v>#DIV/0!</v>
      </c>
      <c r="AR286" s="497" t="e">
        <f t="shared" si="245"/>
        <v>#DIV/0!</v>
      </c>
      <c r="AS286" s="497" t="e">
        <f t="shared" si="246"/>
        <v>#DIV/0!</v>
      </c>
      <c r="AT286" s="497" t="e">
        <f t="shared" si="247"/>
        <v>#DIV/0!</v>
      </c>
      <c r="AU286" s="497" t="e">
        <f t="shared" si="248"/>
        <v>#DIV/0!</v>
      </c>
      <c r="AV286" s="497" t="e">
        <f t="shared" si="249"/>
        <v>#DIV/0!</v>
      </c>
      <c r="AW286" s="497">
        <f t="shared" si="250"/>
        <v>3088.4699980492537</v>
      </c>
      <c r="AX286" s="497" t="e">
        <f t="shared" si="251"/>
        <v>#DIV/0!</v>
      </c>
      <c r="AY286" s="486" t="e">
        <f t="shared" si="252"/>
        <v>#DIV/0!</v>
      </c>
      <c r="AZ286" s="497" t="e">
        <f t="shared" si="253"/>
        <v>#DIV/0!</v>
      </c>
      <c r="BA286" s="486">
        <f t="shared" si="243"/>
        <v>0</v>
      </c>
      <c r="BB286" s="494">
        <v>5155.41</v>
      </c>
      <c r="BC286" s="494">
        <v>2070.12</v>
      </c>
      <c r="BD286" s="494">
        <v>848.92</v>
      </c>
      <c r="BE286" s="494">
        <v>819.73</v>
      </c>
      <c r="BF286" s="494">
        <v>611.5</v>
      </c>
      <c r="BG286" s="494">
        <v>1080.04</v>
      </c>
      <c r="BH286" s="494">
        <v>2671800.0099999998</v>
      </c>
      <c r="BI286" s="494">
        <f t="shared" si="192"/>
        <v>4422.8500000000004</v>
      </c>
      <c r="BJ286" s="494">
        <v>14289.54</v>
      </c>
      <c r="BK286" s="494">
        <v>3389.61</v>
      </c>
      <c r="BL286" s="494">
        <v>5995.76</v>
      </c>
      <c r="BM286" s="494">
        <v>548.62</v>
      </c>
      <c r="BN286" s="493" t="e">
        <f t="shared" si="254"/>
        <v>#DIV/0!</v>
      </c>
      <c r="BO286" s="493" t="e">
        <f t="shared" si="255"/>
        <v>#DIV/0!</v>
      </c>
      <c r="BP286" s="493" t="e">
        <f t="shared" si="256"/>
        <v>#DIV/0!</v>
      </c>
      <c r="BQ286" s="493" t="e">
        <f t="shared" si="257"/>
        <v>#DIV/0!</v>
      </c>
      <c r="BR286" s="493" t="e">
        <f t="shared" si="258"/>
        <v>#DIV/0!</v>
      </c>
      <c r="BS286" s="493" t="e">
        <f t="shared" si="259"/>
        <v>#DIV/0!</v>
      </c>
      <c r="BT286" s="493" t="e">
        <f t="shared" si="260"/>
        <v>#DIV/0!</v>
      </c>
      <c r="BU286" s="493" t="str">
        <f t="shared" si="261"/>
        <v xml:space="preserve"> </v>
      </c>
      <c r="BV286" s="493" t="e">
        <f t="shared" si="262"/>
        <v>#DIV/0!</v>
      </c>
      <c r="BW286" s="493" t="e">
        <f t="shared" si="263"/>
        <v>#DIV/0!</v>
      </c>
      <c r="BX286" s="493" t="e">
        <f t="shared" si="264"/>
        <v>#DIV/0!</v>
      </c>
      <c r="BY286" s="493" t="str">
        <f t="shared" si="265"/>
        <v xml:space="preserve"> </v>
      </c>
    </row>
    <row r="287" spans="1:77" s="28" customFormat="1" ht="12.75" customHeight="1">
      <c r="A287" s="837" t="s">
        <v>425</v>
      </c>
      <c r="B287" s="838"/>
      <c r="C287" s="838"/>
      <c r="D287" s="838"/>
      <c r="E287" s="838"/>
      <c r="F287" s="838"/>
      <c r="G287" s="838"/>
      <c r="H287" s="838"/>
      <c r="I287" s="838"/>
      <c r="J287" s="838"/>
      <c r="K287" s="838"/>
      <c r="L287" s="838"/>
      <c r="M287" s="838"/>
      <c r="N287" s="838"/>
      <c r="O287" s="838"/>
      <c r="P287" s="838"/>
      <c r="Q287" s="838"/>
      <c r="R287" s="838"/>
      <c r="S287" s="838"/>
      <c r="T287" s="838"/>
      <c r="U287" s="838"/>
      <c r="V287" s="838"/>
      <c r="W287" s="838"/>
      <c r="X287" s="838"/>
      <c r="Y287" s="838"/>
      <c r="Z287" s="838"/>
      <c r="AA287" s="838"/>
      <c r="AB287" s="838"/>
      <c r="AC287" s="838"/>
      <c r="AD287" s="838"/>
      <c r="AE287" s="838"/>
      <c r="AF287" s="838"/>
      <c r="AG287" s="838"/>
      <c r="AH287" s="838"/>
      <c r="AI287" s="838"/>
      <c r="AJ287" s="838"/>
      <c r="AK287" s="838"/>
      <c r="AL287" s="839"/>
      <c r="AM287" s="280"/>
      <c r="AN287" s="280"/>
      <c r="AP287" s="486" t="e">
        <f t="shared" si="242"/>
        <v>#DIV/0!</v>
      </c>
      <c r="AQ287" s="486" t="e">
        <f t="shared" si="244"/>
        <v>#DIV/0!</v>
      </c>
      <c r="AR287" s="497" t="e">
        <f t="shared" si="245"/>
        <v>#DIV/0!</v>
      </c>
      <c r="AS287" s="497" t="e">
        <f t="shared" si="246"/>
        <v>#DIV/0!</v>
      </c>
      <c r="AT287" s="497" t="e">
        <f t="shared" si="247"/>
        <v>#DIV/0!</v>
      </c>
      <c r="AU287" s="497" t="e">
        <f t="shared" si="248"/>
        <v>#DIV/0!</v>
      </c>
      <c r="AV287" s="497" t="e">
        <f t="shared" si="249"/>
        <v>#DIV/0!</v>
      </c>
      <c r="AW287" s="497" t="e">
        <f t="shared" si="250"/>
        <v>#DIV/0!</v>
      </c>
      <c r="AX287" s="497" t="e">
        <f t="shared" si="251"/>
        <v>#DIV/0!</v>
      </c>
      <c r="AY287" s="486" t="e">
        <f t="shared" si="252"/>
        <v>#DIV/0!</v>
      </c>
      <c r="AZ287" s="497" t="e">
        <f t="shared" si="253"/>
        <v>#DIV/0!</v>
      </c>
      <c r="BA287" s="486" t="e">
        <f t="shared" si="243"/>
        <v>#DIV/0!</v>
      </c>
      <c r="BB287" s="494">
        <v>5155.41</v>
      </c>
      <c r="BC287" s="494">
        <v>2070.12</v>
      </c>
      <c r="BD287" s="494">
        <v>848.92</v>
      </c>
      <c r="BE287" s="494">
        <v>819.73</v>
      </c>
      <c r="BF287" s="494">
        <v>611.5</v>
      </c>
      <c r="BG287" s="494">
        <v>1080.04</v>
      </c>
      <c r="BH287" s="494">
        <v>2671800.0099999998</v>
      </c>
      <c r="BI287" s="494">
        <f t="shared" si="192"/>
        <v>4422.8500000000004</v>
      </c>
      <c r="BJ287" s="494">
        <v>14289.54</v>
      </c>
      <c r="BK287" s="494">
        <v>3389.61</v>
      </c>
      <c r="BL287" s="494">
        <v>5995.76</v>
      </c>
      <c r="BM287" s="494">
        <v>548.62</v>
      </c>
      <c r="BN287" s="493" t="e">
        <f t="shared" si="254"/>
        <v>#DIV/0!</v>
      </c>
      <c r="BO287" s="493" t="e">
        <f t="shared" si="255"/>
        <v>#DIV/0!</v>
      </c>
      <c r="BP287" s="493" t="e">
        <f t="shared" si="256"/>
        <v>#DIV/0!</v>
      </c>
      <c r="BQ287" s="493" t="e">
        <f t="shared" si="257"/>
        <v>#DIV/0!</v>
      </c>
      <c r="BR287" s="493" t="e">
        <f t="shared" si="258"/>
        <v>#DIV/0!</v>
      </c>
      <c r="BS287" s="493" t="e">
        <f t="shared" si="259"/>
        <v>#DIV/0!</v>
      </c>
      <c r="BT287" s="493" t="e">
        <f t="shared" si="260"/>
        <v>#DIV/0!</v>
      </c>
      <c r="BU287" s="493" t="e">
        <f t="shared" si="261"/>
        <v>#DIV/0!</v>
      </c>
      <c r="BV287" s="493" t="e">
        <f t="shared" si="262"/>
        <v>#DIV/0!</v>
      </c>
      <c r="BW287" s="493" t="e">
        <f t="shared" si="263"/>
        <v>#DIV/0!</v>
      </c>
      <c r="BX287" s="493" t="e">
        <f t="shared" si="264"/>
        <v>#DIV/0!</v>
      </c>
      <c r="BY287" s="493" t="e">
        <f t="shared" si="265"/>
        <v>#DIV/0!</v>
      </c>
    </row>
    <row r="288" spans="1:77" s="28" customFormat="1" ht="9" customHeight="1">
      <c r="A288" s="278">
        <v>230</v>
      </c>
      <c r="B288" s="156" t="s">
        <v>923</v>
      </c>
      <c r="C288" s="249">
        <v>365</v>
      </c>
      <c r="D288" s="376"/>
      <c r="E288" s="368" t="s">
        <v>1006</v>
      </c>
      <c r="F288" s="249"/>
      <c r="G288" s="249"/>
      <c r="H288" s="368">
        <v>1300068</v>
      </c>
      <c r="I288" s="368">
        <f t="shared" ref="I288" si="279">J288+L288+N288+P288+R288+T288</f>
        <v>0</v>
      </c>
      <c r="J288" s="217">
        <v>0</v>
      </c>
      <c r="K288" s="469">
        <v>0</v>
      </c>
      <c r="L288" s="217">
        <v>0</v>
      </c>
      <c r="M288" s="469">
        <v>0</v>
      </c>
      <c r="N288" s="217">
        <v>0</v>
      </c>
      <c r="O288" s="249">
        <v>0</v>
      </c>
      <c r="P288" s="368">
        <v>0</v>
      </c>
      <c r="Q288" s="249">
        <v>0</v>
      </c>
      <c r="R288" s="368">
        <v>0</v>
      </c>
      <c r="S288" s="249">
        <v>0</v>
      </c>
      <c r="T288" s="368">
        <v>0</v>
      </c>
      <c r="U288" s="130">
        <v>0</v>
      </c>
      <c r="V288" s="368">
        <v>0</v>
      </c>
      <c r="W288" s="370">
        <v>402</v>
      </c>
      <c r="X288" s="368">
        <f t="shared" ref="X288" si="280">ROUND(H288/100*95.5,2)</f>
        <v>1241564.94</v>
      </c>
      <c r="Y288" s="370">
        <v>0</v>
      </c>
      <c r="Z288" s="370">
        <v>0</v>
      </c>
      <c r="AA288" s="370">
        <v>0</v>
      </c>
      <c r="AB288" s="370">
        <v>0</v>
      </c>
      <c r="AC288" s="370">
        <v>0</v>
      </c>
      <c r="AD288" s="370">
        <v>0</v>
      </c>
      <c r="AE288" s="370">
        <v>0</v>
      </c>
      <c r="AF288" s="370">
        <v>0</v>
      </c>
      <c r="AG288" s="370">
        <v>0</v>
      </c>
      <c r="AH288" s="370">
        <v>0</v>
      </c>
      <c r="AI288" s="370">
        <v>0</v>
      </c>
      <c r="AJ288" s="370">
        <f t="shared" ref="AJ288" si="281">ROUND(H288/100*3,2)</f>
        <v>39002.04</v>
      </c>
      <c r="AK288" s="370">
        <f t="shared" ref="AK288" si="282">ROUND(H288/100*1.5,2)</f>
        <v>19501.02</v>
      </c>
      <c r="AL288" s="370">
        <v>0</v>
      </c>
      <c r="AM288" s="446"/>
      <c r="AN288" s="446"/>
      <c r="AP288" s="486" t="e">
        <f t="shared" si="242"/>
        <v>#DIV/0!</v>
      </c>
      <c r="AQ288" s="486" t="e">
        <f t="shared" si="244"/>
        <v>#DIV/0!</v>
      </c>
      <c r="AR288" s="486" t="e">
        <f t="shared" si="245"/>
        <v>#DIV/0!</v>
      </c>
      <c r="AS288" s="486" t="e">
        <f t="shared" si="246"/>
        <v>#DIV/0!</v>
      </c>
      <c r="AT288" s="486" t="e">
        <f t="shared" si="247"/>
        <v>#DIV/0!</v>
      </c>
      <c r="AU288" s="486" t="e">
        <f t="shared" si="248"/>
        <v>#DIV/0!</v>
      </c>
      <c r="AV288" s="486" t="e">
        <f t="shared" si="249"/>
        <v>#DIV/0!</v>
      </c>
      <c r="AW288" s="486">
        <f t="shared" si="250"/>
        <v>3088.47</v>
      </c>
      <c r="AX288" s="486" t="e">
        <f t="shared" si="251"/>
        <v>#DIV/0!</v>
      </c>
      <c r="AY288" s="486" t="e">
        <f t="shared" si="252"/>
        <v>#DIV/0!</v>
      </c>
      <c r="AZ288" s="486" t="e">
        <f t="shared" si="253"/>
        <v>#DIV/0!</v>
      </c>
      <c r="BA288" s="486">
        <f t="shared" si="243"/>
        <v>0</v>
      </c>
      <c r="BB288" s="494">
        <v>5155.41</v>
      </c>
      <c r="BC288" s="494">
        <v>2070.12</v>
      </c>
      <c r="BD288" s="494">
        <v>848.92</v>
      </c>
      <c r="BE288" s="494">
        <v>819.73</v>
      </c>
      <c r="BF288" s="494">
        <v>611.5</v>
      </c>
      <c r="BG288" s="494">
        <v>1080.04</v>
      </c>
      <c r="BH288" s="494">
        <v>2671800.0099999998</v>
      </c>
      <c r="BI288" s="494">
        <f t="shared" si="192"/>
        <v>4422.8500000000004</v>
      </c>
      <c r="BJ288" s="494">
        <v>14289.54</v>
      </c>
      <c r="BK288" s="494">
        <v>3389.61</v>
      </c>
      <c r="BL288" s="494">
        <v>5995.76</v>
      </c>
      <c r="BM288" s="494">
        <v>548.62</v>
      </c>
      <c r="BN288" s="495" t="e">
        <f t="shared" si="254"/>
        <v>#DIV/0!</v>
      </c>
      <c r="BO288" s="495" t="e">
        <f t="shared" si="255"/>
        <v>#DIV/0!</v>
      </c>
      <c r="BP288" s="495" t="e">
        <f t="shared" si="256"/>
        <v>#DIV/0!</v>
      </c>
      <c r="BQ288" s="495" t="e">
        <f t="shared" si="257"/>
        <v>#DIV/0!</v>
      </c>
      <c r="BR288" s="495" t="e">
        <f t="shared" si="258"/>
        <v>#DIV/0!</v>
      </c>
      <c r="BS288" s="495" t="e">
        <f t="shared" si="259"/>
        <v>#DIV/0!</v>
      </c>
      <c r="BT288" s="495" t="e">
        <f t="shared" si="260"/>
        <v>#DIV/0!</v>
      </c>
      <c r="BU288" s="495" t="str">
        <f t="shared" si="261"/>
        <v xml:space="preserve"> </v>
      </c>
      <c r="BV288" s="495" t="e">
        <f t="shared" si="262"/>
        <v>#DIV/0!</v>
      </c>
      <c r="BW288" s="495" t="e">
        <f t="shared" si="263"/>
        <v>#DIV/0!</v>
      </c>
      <c r="BX288" s="495" t="e">
        <f t="shared" si="264"/>
        <v>#DIV/0!</v>
      </c>
      <c r="BY288" s="495" t="str">
        <f t="shared" si="265"/>
        <v xml:space="preserve"> </v>
      </c>
    </row>
    <row r="289" spans="1:77" s="28" customFormat="1" ht="30.75" customHeight="1">
      <c r="A289" s="954" t="s">
        <v>424</v>
      </c>
      <c r="B289" s="954"/>
      <c r="C289" s="368">
        <f>SUM(C288)</f>
        <v>365</v>
      </c>
      <c r="D289" s="396"/>
      <c r="E289" s="362" t="s">
        <v>391</v>
      </c>
      <c r="F289" s="374"/>
      <c r="G289" s="374"/>
      <c r="H289" s="368">
        <f>SUM(H288)</f>
        <v>1300068</v>
      </c>
      <c r="I289" s="368">
        <f t="shared" ref="I289:AL289" si="283">SUM(I288)</f>
        <v>0</v>
      </c>
      <c r="J289" s="368">
        <f t="shared" si="283"/>
        <v>0</v>
      </c>
      <c r="K289" s="368">
        <f t="shared" si="283"/>
        <v>0</v>
      </c>
      <c r="L289" s="368">
        <f t="shared" si="283"/>
        <v>0</v>
      </c>
      <c r="M289" s="368">
        <f t="shared" si="283"/>
        <v>0</v>
      </c>
      <c r="N289" s="368">
        <f t="shared" si="283"/>
        <v>0</v>
      </c>
      <c r="O289" s="368">
        <f t="shared" si="283"/>
        <v>0</v>
      </c>
      <c r="P289" s="368">
        <f t="shared" si="283"/>
        <v>0</v>
      </c>
      <c r="Q289" s="368">
        <f t="shared" si="283"/>
        <v>0</v>
      </c>
      <c r="R289" s="368">
        <f t="shared" si="283"/>
        <v>0</v>
      </c>
      <c r="S289" s="368">
        <f t="shared" si="283"/>
        <v>0</v>
      </c>
      <c r="T289" s="368">
        <f t="shared" si="283"/>
        <v>0</v>
      </c>
      <c r="U289" s="130">
        <f t="shared" si="283"/>
        <v>0</v>
      </c>
      <c r="V289" s="368">
        <f t="shared" si="283"/>
        <v>0</v>
      </c>
      <c r="W289" s="368">
        <f t="shared" si="283"/>
        <v>402</v>
      </c>
      <c r="X289" s="368">
        <f t="shared" si="283"/>
        <v>1241564.94</v>
      </c>
      <c r="Y289" s="368">
        <f t="shared" si="283"/>
        <v>0</v>
      </c>
      <c r="Z289" s="368">
        <f t="shared" si="283"/>
        <v>0</v>
      </c>
      <c r="AA289" s="368">
        <f t="shared" si="283"/>
        <v>0</v>
      </c>
      <c r="AB289" s="368">
        <f t="shared" si="283"/>
        <v>0</v>
      </c>
      <c r="AC289" s="368">
        <f t="shared" si="283"/>
        <v>0</v>
      </c>
      <c r="AD289" s="368">
        <f t="shared" si="283"/>
        <v>0</v>
      </c>
      <c r="AE289" s="368">
        <f t="shared" si="283"/>
        <v>0</v>
      </c>
      <c r="AF289" s="368">
        <f t="shared" si="283"/>
        <v>0</v>
      </c>
      <c r="AG289" s="368">
        <f t="shared" si="283"/>
        <v>0</v>
      </c>
      <c r="AH289" s="368">
        <f t="shared" si="283"/>
        <v>0</v>
      </c>
      <c r="AI289" s="368">
        <f t="shared" si="283"/>
        <v>0</v>
      </c>
      <c r="AJ289" s="368">
        <f t="shared" si="283"/>
        <v>39002.04</v>
      </c>
      <c r="AK289" s="368">
        <f t="shared" si="283"/>
        <v>19501.02</v>
      </c>
      <c r="AL289" s="368">
        <f t="shared" si="283"/>
        <v>0</v>
      </c>
      <c r="AM289" s="280"/>
      <c r="AN289" s="280"/>
      <c r="AP289" s="486" t="e">
        <f t="shared" si="242"/>
        <v>#DIV/0!</v>
      </c>
      <c r="AQ289" s="486" t="e">
        <f t="shared" si="244"/>
        <v>#DIV/0!</v>
      </c>
      <c r="AR289" s="497" t="e">
        <f t="shared" si="245"/>
        <v>#DIV/0!</v>
      </c>
      <c r="AS289" s="497" t="e">
        <f t="shared" si="246"/>
        <v>#DIV/0!</v>
      </c>
      <c r="AT289" s="497" t="e">
        <f t="shared" si="247"/>
        <v>#DIV/0!</v>
      </c>
      <c r="AU289" s="497" t="e">
        <f t="shared" si="248"/>
        <v>#DIV/0!</v>
      </c>
      <c r="AV289" s="497" t="e">
        <f t="shared" si="249"/>
        <v>#DIV/0!</v>
      </c>
      <c r="AW289" s="497">
        <f t="shared" si="250"/>
        <v>3088.47</v>
      </c>
      <c r="AX289" s="497" t="e">
        <f t="shared" si="251"/>
        <v>#DIV/0!</v>
      </c>
      <c r="AY289" s="486" t="e">
        <f t="shared" si="252"/>
        <v>#DIV/0!</v>
      </c>
      <c r="AZ289" s="497" t="e">
        <f t="shared" si="253"/>
        <v>#DIV/0!</v>
      </c>
      <c r="BA289" s="486">
        <f t="shared" si="243"/>
        <v>0</v>
      </c>
      <c r="BB289" s="494">
        <v>5155.41</v>
      </c>
      <c r="BC289" s="494">
        <v>2070.12</v>
      </c>
      <c r="BD289" s="494">
        <v>848.92</v>
      </c>
      <c r="BE289" s="494">
        <v>819.73</v>
      </c>
      <c r="BF289" s="494">
        <v>611.5</v>
      </c>
      <c r="BG289" s="494">
        <v>1080.04</v>
      </c>
      <c r="BH289" s="494">
        <v>2671800.0099999998</v>
      </c>
      <c r="BI289" s="494">
        <f t="shared" si="192"/>
        <v>4422.8500000000004</v>
      </c>
      <c r="BJ289" s="494">
        <v>14289.54</v>
      </c>
      <c r="BK289" s="494">
        <v>3389.61</v>
      </c>
      <c r="BL289" s="494">
        <v>5995.76</v>
      </c>
      <c r="BM289" s="494">
        <v>548.62</v>
      </c>
      <c r="BN289" s="493" t="e">
        <f t="shared" si="254"/>
        <v>#DIV/0!</v>
      </c>
      <c r="BO289" s="493" t="e">
        <f t="shared" si="255"/>
        <v>#DIV/0!</v>
      </c>
      <c r="BP289" s="493" t="e">
        <f t="shared" si="256"/>
        <v>#DIV/0!</v>
      </c>
      <c r="BQ289" s="493" t="e">
        <f t="shared" si="257"/>
        <v>#DIV/0!</v>
      </c>
      <c r="BR289" s="493" t="e">
        <f t="shared" si="258"/>
        <v>#DIV/0!</v>
      </c>
      <c r="BS289" s="493" t="e">
        <f t="shared" si="259"/>
        <v>#DIV/0!</v>
      </c>
      <c r="BT289" s="493" t="e">
        <f t="shared" si="260"/>
        <v>#DIV/0!</v>
      </c>
      <c r="BU289" s="493" t="str">
        <f t="shared" si="261"/>
        <v xml:space="preserve"> </v>
      </c>
      <c r="BV289" s="493" t="e">
        <f t="shared" si="262"/>
        <v>#DIV/0!</v>
      </c>
      <c r="BW289" s="493" t="e">
        <f t="shared" si="263"/>
        <v>#DIV/0!</v>
      </c>
      <c r="BX289" s="493" t="e">
        <f t="shared" si="264"/>
        <v>#DIV/0!</v>
      </c>
      <c r="BY289" s="493" t="str">
        <f t="shared" si="265"/>
        <v xml:space="preserve"> </v>
      </c>
    </row>
    <row r="290" spans="1:77" s="28" customFormat="1" ht="13.5" customHeight="1">
      <c r="A290" s="837" t="s">
        <v>352</v>
      </c>
      <c r="B290" s="838"/>
      <c r="C290" s="838"/>
      <c r="D290" s="838"/>
      <c r="E290" s="838"/>
      <c r="F290" s="838"/>
      <c r="G290" s="838"/>
      <c r="H290" s="838"/>
      <c r="I290" s="838"/>
      <c r="J290" s="838"/>
      <c r="K290" s="838"/>
      <c r="L290" s="838"/>
      <c r="M290" s="838"/>
      <c r="N290" s="838"/>
      <c r="O290" s="838"/>
      <c r="P290" s="838"/>
      <c r="Q290" s="838"/>
      <c r="R290" s="838"/>
      <c r="S290" s="838"/>
      <c r="T290" s="838"/>
      <c r="U290" s="838"/>
      <c r="V290" s="838"/>
      <c r="W290" s="838"/>
      <c r="X290" s="838"/>
      <c r="Y290" s="838"/>
      <c r="Z290" s="838"/>
      <c r="AA290" s="838"/>
      <c r="AB290" s="838"/>
      <c r="AC290" s="838"/>
      <c r="AD290" s="838"/>
      <c r="AE290" s="838"/>
      <c r="AF290" s="838"/>
      <c r="AG290" s="838"/>
      <c r="AH290" s="838"/>
      <c r="AI290" s="838"/>
      <c r="AJ290" s="838"/>
      <c r="AK290" s="838"/>
      <c r="AL290" s="839"/>
      <c r="AM290" s="280"/>
      <c r="AN290" s="280"/>
      <c r="AP290" s="486" t="e">
        <f t="shared" si="242"/>
        <v>#DIV/0!</v>
      </c>
      <c r="AQ290" s="486" t="e">
        <f t="shared" si="244"/>
        <v>#DIV/0!</v>
      </c>
      <c r="AR290" s="497" t="e">
        <f t="shared" si="245"/>
        <v>#DIV/0!</v>
      </c>
      <c r="AS290" s="497" t="e">
        <f t="shared" si="246"/>
        <v>#DIV/0!</v>
      </c>
      <c r="AT290" s="497" t="e">
        <f t="shared" si="247"/>
        <v>#DIV/0!</v>
      </c>
      <c r="AU290" s="497" t="e">
        <f t="shared" si="248"/>
        <v>#DIV/0!</v>
      </c>
      <c r="AV290" s="497" t="e">
        <f t="shared" si="249"/>
        <v>#DIV/0!</v>
      </c>
      <c r="AW290" s="497" t="e">
        <f t="shared" si="250"/>
        <v>#DIV/0!</v>
      </c>
      <c r="AX290" s="497" t="e">
        <f t="shared" si="251"/>
        <v>#DIV/0!</v>
      </c>
      <c r="AY290" s="486" t="e">
        <f t="shared" si="252"/>
        <v>#DIV/0!</v>
      </c>
      <c r="AZ290" s="497" t="e">
        <f t="shared" si="253"/>
        <v>#DIV/0!</v>
      </c>
      <c r="BA290" s="486" t="e">
        <f t="shared" si="243"/>
        <v>#DIV/0!</v>
      </c>
      <c r="BB290" s="494">
        <v>5155.41</v>
      </c>
      <c r="BC290" s="494">
        <v>2070.12</v>
      </c>
      <c r="BD290" s="494">
        <v>848.92</v>
      </c>
      <c r="BE290" s="494">
        <v>819.73</v>
      </c>
      <c r="BF290" s="494">
        <v>611.5</v>
      </c>
      <c r="BG290" s="494">
        <v>1080.04</v>
      </c>
      <c r="BH290" s="494">
        <v>2671800.0099999998</v>
      </c>
      <c r="BI290" s="494">
        <f t="shared" si="192"/>
        <v>4422.8500000000004</v>
      </c>
      <c r="BJ290" s="494">
        <v>14289.54</v>
      </c>
      <c r="BK290" s="494">
        <v>3389.61</v>
      </c>
      <c r="BL290" s="494">
        <v>5995.76</v>
      </c>
      <c r="BM290" s="494">
        <v>548.62</v>
      </c>
      <c r="BN290" s="493" t="e">
        <f t="shared" si="254"/>
        <v>#DIV/0!</v>
      </c>
      <c r="BO290" s="493" t="e">
        <f t="shared" si="255"/>
        <v>#DIV/0!</v>
      </c>
      <c r="BP290" s="493" t="e">
        <f t="shared" si="256"/>
        <v>#DIV/0!</v>
      </c>
      <c r="BQ290" s="493" t="e">
        <f t="shared" si="257"/>
        <v>#DIV/0!</v>
      </c>
      <c r="BR290" s="493" t="e">
        <f t="shared" si="258"/>
        <v>#DIV/0!</v>
      </c>
      <c r="BS290" s="493" t="e">
        <f t="shared" si="259"/>
        <v>#DIV/0!</v>
      </c>
      <c r="BT290" s="493" t="e">
        <f t="shared" si="260"/>
        <v>#DIV/0!</v>
      </c>
      <c r="BU290" s="493" t="e">
        <f t="shared" si="261"/>
        <v>#DIV/0!</v>
      </c>
      <c r="BV290" s="493" t="e">
        <f t="shared" si="262"/>
        <v>#DIV/0!</v>
      </c>
      <c r="BW290" s="493" t="e">
        <f t="shared" si="263"/>
        <v>#DIV/0!</v>
      </c>
      <c r="BX290" s="493" t="e">
        <f t="shared" si="264"/>
        <v>#DIV/0!</v>
      </c>
      <c r="BY290" s="493" t="e">
        <f t="shared" si="265"/>
        <v>#DIV/0!</v>
      </c>
    </row>
    <row r="291" spans="1:77" s="28" customFormat="1" ht="9" customHeight="1">
      <c r="A291" s="278">
        <v>231</v>
      </c>
      <c r="B291" s="156" t="s">
        <v>925</v>
      </c>
      <c r="C291" s="249">
        <v>590.04</v>
      </c>
      <c r="D291" s="376"/>
      <c r="E291" s="368" t="s">
        <v>1006</v>
      </c>
      <c r="F291" s="249"/>
      <c r="G291" s="249"/>
      <c r="H291" s="368">
        <v>1827210</v>
      </c>
      <c r="I291" s="368">
        <f t="shared" ref="I291" si="284">J291+L291+N291+P291+R291+T291</f>
        <v>0</v>
      </c>
      <c r="J291" s="217">
        <v>0</v>
      </c>
      <c r="K291" s="469">
        <v>0</v>
      </c>
      <c r="L291" s="217">
        <v>0</v>
      </c>
      <c r="M291" s="469">
        <v>0</v>
      </c>
      <c r="N291" s="217">
        <v>0</v>
      </c>
      <c r="O291" s="249">
        <v>0</v>
      </c>
      <c r="P291" s="368">
        <v>0</v>
      </c>
      <c r="Q291" s="249">
        <v>0</v>
      </c>
      <c r="R291" s="368">
        <v>0</v>
      </c>
      <c r="S291" s="249">
        <v>0</v>
      </c>
      <c r="T291" s="368">
        <v>0</v>
      </c>
      <c r="U291" s="130">
        <v>0</v>
      </c>
      <c r="V291" s="368">
        <v>0</v>
      </c>
      <c r="W291" s="370">
        <v>565</v>
      </c>
      <c r="X291" s="368">
        <f t="shared" ref="X291" si="285">ROUND(H291/100*95.5,2)</f>
        <v>1744985.55</v>
      </c>
      <c r="Y291" s="370">
        <v>0</v>
      </c>
      <c r="Z291" s="370">
        <v>0</v>
      </c>
      <c r="AA291" s="370">
        <v>0</v>
      </c>
      <c r="AB291" s="370">
        <v>0</v>
      </c>
      <c r="AC291" s="370">
        <v>0</v>
      </c>
      <c r="AD291" s="370">
        <v>0</v>
      </c>
      <c r="AE291" s="370">
        <v>0</v>
      </c>
      <c r="AF291" s="370">
        <v>0</v>
      </c>
      <c r="AG291" s="370">
        <v>0</v>
      </c>
      <c r="AH291" s="370">
        <v>0</v>
      </c>
      <c r="AI291" s="370">
        <v>0</v>
      </c>
      <c r="AJ291" s="370">
        <f t="shared" ref="AJ291" si="286">ROUND(H291/100*3,2)</f>
        <v>54816.3</v>
      </c>
      <c r="AK291" s="370">
        <f t="shared" ref="AK291" si="287">ROUND(H291/100*1.5,2)</f>
        <v>27408.15</v>
      </c>
      <c r="AL291" s="370">
        <v>0</v>
      </c>
      <c r="AM291" s="446"/>
      <c r="AN291" s="446"/>
      <c r="AP291" s="486" t="e">
        <f t="shared" si="242"/>
        <v>#DIV/0!</v>
      </c>
      <c r="AQ291" s="486" t="e">
        <f t="shared" si="244"/>
        <v>#DIV/0!</v>
      </c>
      <c r="AR291" s="486" t="e">
        <f t="shared" si="245"/>
        <v>#DIV/0!</v>
      </c>
      <c r="AS291" s="486" t="e">
        <f t="shared" si="246"/>
        <v>#DIV/0!</v>
      </c>
      <c r="AT291" s="486" t="e">
        <f t="shared" si="247"/>
        <v>#DIV/0!</v>
      </c>
      <c r="AU291" s="486" t="e">
        <f t="shared" si="248"/>
        <v>#DIV/0!</v>
      </c>
      <c r="AV291" s="486" t="e">
        <f t="shared" si="249"/>
        <v>#DIV/0!</v>
      </c>
      <c r="AW291" s="486">
        <f t="shared" si="250"/>
        <v>3088.4700000000003</v>
      </c>
      <c r="AX291" s="486" t="e">
        <f t="shared" si="251"/>
        <v>#DIV/0!</v>
      </c>
      <c r="AY291" s="486" t="e">
        <f t="shared" si="252"/>
        <v>#DIV/0!</v>
      </c>
      <c r="AZ291" s="486" t="e">
        <f t="shared" si="253"/>
        <v>#DIV/0!</v>
      </c>
      <c r="BA291" s="486">
        <f t="shared" si="243"/>
        <v>0</v>
      </c>
      <c r="BB291" s="494">
        <v>5155.41</v>
      </c>
      <c r="BC291" s="494">
        <v>2070.12</v>
      </c>
      <c r="BD291" s="494">
        <v>848.92</v>
      </c>
      <c r="BE291" s="494">
        <v>819.73</v>
      </c>
      <c r="BF291" s="494">
        <v>611.5</v>
      </c>
      <c r="BG291" s="494">
        <v>1080.04</v>
      </c>
      <c r="BH291" s="494">
        <v>2671800.0099999998</v>
      </c>
      <c r="BI291" s="494">
        <f t="shared" ref="BI291:BI354" si="288">IF(E291="ПК",4607.6,4422.85)</f>
        <v>4422.8500000000004</v>
      </c>
      <c r="BJ291" s="494">
        <v>14289.54</v>
      </c>
      <c r="BK291" s="494">
        <v>3389.61</v>
      </c>
      <c r="BL291" s="494">
        <v>5995.76</v>
      </c>
      <c r="BM291" s="494">
        <v>548.62</v>
      </c>
      <c r="BN291" s="495" t="e">
        <f t="shared" si="254"/>
        <v>#DIV/0!</v>
      </c>
      <c r="BO291" s="495" t="e">
        <f t="shared" si="255"/>
        <v>#DIV/0!</v>
      </c>
      <c r="BP291" s="495" t="e">
        <f t="shared" si="256"/>
        <v>#DIV/0!</v>
      </c>
      <c r="BQ291" s="495" t="e">
        <f t="shared" si="257"/>
        <v>#DIV/0!</v>
      </c>
      <c r="BR291" s="495" t="e">
        <f t="shared" si="258"/>
        <v>#DIV/0!</v>
      </c>
      <c r="BS291" s="495" t="e">
        <f t="shared" si="259"/>
        <v>#DIV/0!</v>
      </c>
      <c r="BT291" s="495" t="e">
        <f t="shared" si="260"/>
        <v>#DIV/0!</v>
      </c>
      <c r="BU291" s="495" t="str">
        <f t="shared" si="261"/>
        <v xml:space="preserve"> </v>
      </c>
      <c r="BV291" s="495" t="e">
        <f t="shared" si="262"/>
        <v>#DIV/0!</v>
      </c>
      <c r="BW291" s="495" t="e">
        <f t="shared" si="263"/>
        <v>#DIV/0!</v>
      </c>
      <c r="BX291" s="495" t="e">
        <f t="shared" si="264"/>
        <v>#DIV/0!</v>
      </c>
      <c r="BY291" s="495" t="str">
        <f t="shared" si="265"/>
        <v xml:space="preserve"> </v>
      </c>
    </row>
    <row r="292" spans="1:77" s="28" customFormat="1" ht="25.5" customHeight="1">
      <c r="A292" s="954" t="s">
        <v>351</v>
      </c>
      <c r="B292" s="954"/>
      <c r="C292" s="368">
        <f>SUM(C291)</f>
        <v>590.04</v>
      </c>
      <c r="D292" s="396"/>
      <c r="E292" s="362" t="s">
        <v>391</v>
      </c>
      <c r="F292" s="374"/>
      <c r="G292" s="374"/>
      <c r="H292" s="368">
        <f>SUM(H291)</f>
        <v>1827210</v>
      </c>
      <c r="I292" s="368">
        <f t="shared" ref="I292:AL292" si="289">SUM(I291)</f>
        <v>0</v>
      </c>
      <c r="J292" s="368">
        <f t="shared" si="289"/>
        <v>0</v>
      </c>
      <c r="K292" s="368">
        <f t="shared" si="289"/>
        <v>0</v>
      </c>
      <c r="L292" s="368">
        <f t="shared" si="289"/>
        <v>0</v>
      </c>
      <c r="M292" s="368">
        <f t="shared" si="289"/>
        <v>0</v>
      </c>
      <c r="N292" s="368">
        <f t="shared" si="289"/>
        <v>0</v>
      </c>
      <c r="O292" s="368">
        <f t="shared" si="289"/>
        <v>0</v>
      </c>
      <c r="P292" s="368">
        <f t="shared" si="289"/>
        <v>0</v>
      </c>
      <c r="Q292" s="368">
        <f t="shared" si="289"/>
        <v>0</v>
      </c>
      <c r="R292" s="368">
        <f t="shared" si="289"/>
        <v>0</v>
      </c>
      <c r="S292" s="368">
        <f t="shared" si="289"/>
        <v>0</v>
      </c>
      <c r="T292" s="368">
        <f t="shared" si="289"/>
        <v>0</v>
      </c>
      <c r="U292" s="130">
        <f t="shared" si="289"/>
        <v>0</v>
      </c>
      <c r="V292" s="368">
        <f t="shared" si="289"/>
        <v>0</v>
      </c>
      <c r="W292" s="368">
        <f t="shared" si="289"/>
        <v>565</v>
      </c>
      <c r="X292" s="368">
        <f t="shared" si="289"/>
        <v>1744985.55</v>
      </c>
      <c r="Y292" s="368">
        <f t="shared" si="289"/>
        <v>0</v>
      </c>
      <c r="Z292" s="368">
        <f t="shared" si="289"/>
        <v>0</v>
      </c>
      <c r="AA292" s="368">
        <f t="shared" si="289"/>
        <v>0</v>
      </c>
      <c r="AB292" s="368">
        <f t="shared" si="289"/>
        <v>0</v>
      </c>
      <c r="AC292" s="368">
        <f t="shared" si="289"/>
        <v>0</v>
      </c>
      <c r="AD292" s="368">
        <f t="shared" si="289"/>
        <v>0</v>
      </c>
      <c r="AE292" s="368">
        <f t="shared" si="289"/>
        <v>0</v>
      </c>
      <c r="AF292" s="368">
        <f t="shared" si="289"/>
        <v>0</v>
      </c>
      <c r="AG292" s="368">
        <f t="shared" si="289"/>
        <v>0</v>
      </c>
      <c r="AH292" s="368">
        <f t="shared" si="289"/>
        <v>0</v>
      </c>
      <c r="AI292" s="368">
        <f t="shared" si="289"/>
        <v>0</v>
      </c>
      <c r="AJ292" s="368">
        <f t="shared" si="289"/>
        <v>54816.3</v>
      </c>
      <c r="AK292" s="368">
        <f t="shared" si="289"/>
        <v>27408.15</v>
      </c>
      <c r="AL292" s="368">
        <f t="shared" si="289"/>
        <v>0</v>
      </c>
      <c r="AM292" s="280"/>
      <c r="AN292" s="280"/>
      <c r="AP292" s="486" t="e">
        <f t="shared" si="242"/>
        <v>#DIV/0!</v>
      </c>
      <c r="AQ292" s="486" t="e">
        <f t="shared" si="244"/>
        <v>#DIV/0!</v>
      </c>
      <c r="AR292" s="497" t="e">
        <f t="shared" si="245"/>
        <v>#DIV/0!</v>
      </c>
      <c r="AS292" s="497" t="e">
        <f t="shared" si="246"/>
        <v>#DIV/0!</v>
      </c>
      <c r="AT292" s="497" t="e">
        <f t="shared" si="247"/>
        <v>#DIV/0!</v>
      </c>
      <c r="AU292" s="497" t="e">
        <f t="shared" si="248"/>
        <v>#DIV/0!</v>
      </c>
      <c r="AV292" s="497" t="e">
        <f t="shared" si="249"/>
        <v>#DIV/0!</v>
      </c>
      <c r="AW292" s="497">
        <f t="shared" si="250"/>
        <v>3088.4700000000003</v>
      </c>
      <c r="AX292" s="497" t="e">
        <f t="shared" si="251"/>
        <v>#DIV/0!</v>
      </c>
      <c r="AY292" s="486" t="e">
        <f t="shared" si="252"/>
        <v>#DIV/0!</v>
      </c>
      <c r="AZ292" s="497" t="e">
        <f t="shared" si="253"/>
        <v>#DIV/0!</v>
      </c>
      <c r="BA292" s="486">
        <f t="shared" si="243"/>
        <v>0</v>
      </c>
      <c r="BB292" s="494">
        <v>5155.41</v>
      </c>
      <c r="BC292" s="494">
        <v>2070.12</v>
      </c>
      <c r="BD292" s="494">
        <v>848.92</v>
      </c>
      <c r="BE292" s="494">
        <v>819.73</v>
      </c>
      <c r="BF292" s="494">
        <v>611.5</v>
      </c>
      <c r="BG292" s="494">
        <v>1080.04</v>
      </c>
      <c r="BH292" s="494">
        <v>2671800.0099999998</v>
      </c>
      <c r="BI292" s="494">
        <f t="shared" si="288"/>
        <v>4422.8500000000004</v>
      </c>
      <c r="BJ292" s="494">
        <v>14289.54</v>
      </c>
      <c r="BK292" s="494">
        <v>3389.61</v>
      </c>
      <c r="BL292" s="494">
        <v>5995.76</v>
      </c>
      <c r="BM292" s="494">
        <v>548.62</v>
      </c>
      <c r="BN292" s="493" t="e">
        <f t="shared" si="254"/>
        <v>#DIV/0!</v>
      </c>
      <c r="BO292" s="493" t="e">
        <f t="shared" si="255"/>
        <v>#DIV/0!</v>
      </c>
      <c r="BP292" s="493" t="e">
        <f t="shared" si="256"/>
        <v>#DIV/0!</v>
      </c>
      <c r="BQ292" s="493" t="e">
        <f t="shared" si="257"/>
        <v>#DIV/0!</v>
      </c>
      <c r="BR292" s="493" t="e">
        <f t="shared" si="258"/>
        <v>#DIV/0!</v>
      </c>
      <c r="BS292" s="493" t="e">
        <f t="shared" si="259"/>
        <v>#DIV/0!</v>
      </c>
      <c r="BT292" s="493" t="e">
        <f t="shared" si="260"/>
        <v>#DIV/0!</v>
      </c>
      <c r="BU292" s="493" t="str">
        <f t="shared" si="261"/>
        <v xml:space="preserve"> </v>
      </c>
      <c r="BV292" s="493" t="e">
        <f t="shared" si="262"/>
        <v>#DIV/0!</v>
      </c>
      <c r="BW292" s="493" t="e">
        <f t="shared" si="263"/>
        <v>#DIV/0!</v>
      </c>
      <c r="BX292" s="493" t="e">
        <f t="shared" si="264"/>
        <v>#DIV/0!</v>
      </c>
      <c r="BY292" s="493" t="str">
        <f t="shared" si="265"/>
        <v xml:space="preserve"> </v>
      </c>
    </row>
    <row r="293" spans="1:77" s="28" customFormat="1" ht="12.75" customHeight="1">
      <c r="A293" s="837" t="s">
        <v>433</v>
      </c>
      <c r="B293" s="838"/>
      <c r="C293" s="838"/>
      <c r="D293" s="838"/>
      <c r="E293" s="838"/>
      <c r="F293" s="838"/>
      <c r="G293" s="838"/>
      <c r="H293" s="838"/>
      <c r="I293" s="838"/>
      <c r="J293" s="838"/>
      <c r="K293" s="838"/>
      <c r="L293" s="838"/>
      <c r="M293" s="838"/>
      <c r="N293" s="838"/>
      <c r="O293" s="838"/>
      <c r="P293" s="838"/>
      <c r="Q293" s="838"/>
      <c r="R293" s="838"/>
      <c r="S293" s="838"/>
      <c r="T293" s="838"/>
      <c r="U293" s="838"/>
      <c r="V293" s="838"/>
      <c r="W293" s="838"/>
      <c r="X293" s="838"/>
      <c r="Y293" s="838"/>
      <c r="Z293" s="838"/>
      <c r="AA293" s="838"/>
      <c r="AB293" s="838"/>
      <c r="AC293" s="838"/>
      <c r="AD293" s="838"/>
      <c r="AE293" s="838"/>
      <c r="AF293" s="838"/>
      <c r="AG293" s="838"/>
      <c r="AH293" s="838"/>
      <c r="AI293" s="838"/>
      <c r="AJ293" s="838"/>
      <c r="AK293" s="838"/>
      <c r="AL293" s="839"/>
      <c r="AM293" s="280"/>
      <c r="AN293" s="280"/>
      <c r="AP293" s="486" t="e">
        <f t="shared" si="242"/>
        <v>#DIV/0!</v>
      </c>
      <c r="AQ293" s="486" t="e">
        <f t="shared" si="244"/>
        <v>#DIV/0!</v>
      </c>
      <c r="AR293" s="497" t="e">
        <f t="shared" si="245"/>
        <v>#DIV/0!</v>
      </c>
      <c r="AS293" s="497" t="e">
        <f t="shared" si="246"/>
        <v>#DIV/0!</v>
      </c>
      <c r="AT293" s="497" t="e">
        <f t="shared" si="247"/>
        <v>#DIV/0!</v>
      </c>
      <c r="AU293" s="497" t="e">
        <f t="shared" si="248"/>
        <v>#DIV/0!</v>
      </c>
      <c r="AV293" s="497" t="e">
        <f t="shared" si="249"/>
        <v>#DIV/0!</v>
      </c>
      <c r="AW293" s="497" t="e">
        <f t="shared" si="250"/>
        <v>#DIV/0!</v>
      </c>
      <c r="AX293" s="497" t="e">
        <f t="shared" si="251"/>
        <v>#DIV/0!</v>
      </c>
      <c r="AY293" s="486" t="e">
        <f t="shared" si="252"/>
        <v>#DIV/0!</v>
      </c>
      <c r="AZ293" s="497" t="e">
        <f t="shared" si="253"/>
        <v>#DIV/0!</v>
      </c>
      <c r="BA293" s="486" t="e">
        <f t="shared" si="243"/>
        <v>#DIV/0!</v>
      </c>
      <c r="BB293" s="494">
        <v>5155.41</v>
      </c>
      <c r="BC293" s="494">
        <v>2070.12</v>
      </c>
      <c r="BD293" s="494">
        <v>848.92</v>
      </c>
      <c r="BE293" s="494">
        <v>819.73</v>
      </c>
      <c r="BF293" s="494">
        <v>611.5</v>
      </c>
      <c r="BG293" s="494">
        <v>1080.04</v>
      </c>
      <c r="BH293" s="494">
        <v>2671800.0099999998</v>
      </c>
      <c r="BI293" s="494">
        <f t="shared" si="288"/>
        <v>4422.8500000000004</v>
      </c>
      <c r="BJ293" s="494">
        <v>14289.54</v>
      </c>
      <c r="BK293" s="494">
        <v>3389.61</v>
      </c>
      <c r="BL293" s="494">
        <v>5995.76</v>
      </c>
      <c r="BM293" s="494">
        <v>548.62</v>
      </c>
      <c r="BN293" s="493" t="e">
        <f t="shared" si="254"/>
        <v>#DIV/0!</v>
      </c>
      <c r="BO293" s="493" t="e">
        <f t="shared" si="255"/>
        <v>#DIV/0!</v>
      </c>
      <c r="BP293" s="493" t="e">
        <f t="shared" si="256"/>
        <v>#DIV/0!</v>
      </c>
      <c r="BQ293" s="493" t="e">
        <f t="shared" si="257"/>
        <v>#DIV/0!</v>
      </c>
      <c r="BR293" s="493" t="e">
        <f t="shared" si="258"/>
        <v>#DIV/0!</v>
      </c>
      <c r="BS293" s="493" t="e">
        <f t="shared" si="259"/>
        <v>#DIV/0!</v>
      </c>
      <c r="BT293" s="493" t="e">
        <f t="shared" si="260"/>
        <v>#DIV/0!</v>
      </c>
      <c r="BU293" s="493" t="e">
        <f t="shared" si="261"/>
        <v>#DIV/0!</v>
      </c>
      <c r="BV293" s="493" t="e">
        <f t="shared" si="262"/>
        <v>#DIV/0!</v>
      </c>
      <c r="BW293" s="493" t="e">
        <f t="shared" si="263"/>
        <v>#DIV/0!</v>
      </c>
      <c r="BX293" s="493" t="e">
        <f t="shared" si="264"/>
        <v>#DIV/0!</v>
      </c>
      <c r="BY293" s="493" t="e">
        <f t="shared" si="265"/>
        <v>#DIV/0!</v>
      </c>
    </row>
    <row r="294" spans="1:77" s="28" customFormat="1" ht="9" customHeight="1">
      <c r="A294" s="184">
        <v>232</v>
      </c>
      <c r="B294" s="277" t="s">
        <v>931</v>
      </c>
      <c r="C294" s="400">
        <v>923.2</v>
      </c>
      <c r="D294" s="376"/>
      <c r="E294" s="189"/>
      <c r="F294" s="400"/>
      <c r="G294" s="400"/>
      <c r="H294" s="189">
        <f>I294+AJ294+AK294</f>
        <v>279775.76</v>
      </c>
      <c r="I294" s="368">
        <f t="shared" ref="I294" si="290">J294+L294+N294+P294+R294+T294</f>
        <v>267185.84999999998</v>
      </c>
      <c r="J294" s="217">
        <v>0</v>
      </c>
      <c r="K294" s="469">
        <v>0</v>
      </c>
      <c r="L294" s="217">
        <v>0</v>
      </c>
      <c r="M294" s="469">
        <v>120.5</v>
      </c>
      <c r="N294" s="205">
        <f>ROUND(0.955*(C294*303.05),2)</f>
        <v>267185.84999999998</v>
      </c>
      <c r="O294" s="249">
        <v>0</v>
      </c>
      <c r="P294" s="368">
        <v>0</v>
      </c>
      <c r="Q294" s="249">
        <v>0</v>
      </c>
      <c r="R294" s="368">
        <v>0</v>
      </c>
      <c r="S294" s="249">
        <v>0</v>
      </c>
      <c r="T294" s="368">
        <v>0</v>
      </c>
      <c r="U294" s="130">
        <v>0</v>
      </c>
      <c r="V294" s="368">
        <v>0</v>
      </c>
      <c r="W294" s="370">
        <v>0</v>
      </c>
      <c r="X294" s="368">
        <v>0</v>
      </c>
      <c r="Y294" s="370">
        <v>0</v>
      </c>
      <c r="Z294" s="370">
        <v>0</v>
      </c>
      <c r="AA294" s="370">
        <v>0</v>
      </c>
      <c r="AB294" s="370">
        <v>0</v>
      </c>
      <c r="AC294" s="370">
        <v>0</v>
      </c>
      <c r="AD294" s="370">
        <v>0</v>
      </c>
      <c r="AE294" s="370">
        <v>0</v>
      </c>
      <c r="AF294" s="370">
        <v>0</v>
      </c>
      <c r="AG294" s="370">
        <v>0</v>
      </c>
      <c r="AH294" s="370">
        <v>0</v>
      </c>
      <c r="AI294" s="370">
        <v>0</v>
      </c>
      <c r="AJ294" s="370">
        <f>ROUND(0.03*303.05*C294,2)</f>
        <v>8393.27</v>
      </c>
      <c r="AK294" s="370">
        <f>ROUND(0.015*303.05*C294,2)</f>
        <v>4196.6400000000003</v>
      </c>
      <c r="AL294" s="370">
        <v>0</v>
      </c>
      <c r="AM294" s="446"/>
      <c r="AN294" s="446"/>
      <c r="AP294" s="486" t="e">
        <f t="shared" si="242"/>
        <v>#DIV/0!</v>
      </c>
      <c r="AQ294" s="486" t="e">
        <f t="shared" si="244"/>
        <v>#DIV/0!</v>
      </c>
      <c r="AR294" s="486">
        <f t="shared" si="245"/>
        <v>2217.3099585062237</v>
      </c>
      <c r="AS294" s="486" t="e">
        <f t="shared" si="246"/>
        <v>#DIV/0!</v>
      </c>
      <c r="AT294" s="486" t="e">
        <f t="shared" si="247"/>
        <v>#DIV/0!</v>
      </c>
      <c r="AU294" s="486" t="e">
        <f t="shared" si="248"/>
        <v>#DIV/0!</v>
      </c>
      <c r="AV294" s="486" t="e">
        <f t="shared" si="249"/>
        <v>#DIV/0!</v>
      </c>
      <c r="AW294" s="486" t="e">
        <f t="shared" si="250"/>
        <v>#DIV/0!</v>
      </c>
      <c r="AX294" s="486" t="e">
        <f t="shared" si="251"/>
        <v>#DIV/0!</v>
      </c>
      <c r="AY294" s="486" t="e">
        <f t="shared" si="252"/>
        <v>#DIV/0!</v>
      </c>
      <c r="AZ294" s="486" t="e">
        <f t="shared" si="253"/>
        <v>#DIV/0!</v>
      </c>
      <c r="BA294" s="486">
        <f t="shared" si="243"/>
        <v>0</v>
      </c>
      <c r="BB294" s="494">
        <v>5155.41</v>
      </c>
      <c r="BC294" s="494">
        <v>2070.12</v>
      </c>
      <c r="BD294" s="494">
        <v>848.92</v>
      </c>
      <c r="BE294" s="494">
        <v>819.73</v>
      </c>
      <c r="BF294" s="494">
        <v>611.5</v>
      </c>
      <c r="BG294" s="494">
        <v>1080.04</v>
      </c>
      <c r="BH294" s="494">
        <v>2671800.0099999998</v>
      </c>
      <c r="BI294" s="494">
        <f t="shared" si="288"/>
        <v>4422.8500000000004</v>
      </c>
      <c r="BJ294" s="494">
        <v>14289.54</v>
      </c>
      <c r="BK294" s="494">
        <v>3389.61</v>
      </c>
      <c r="BL294" s="494">
        <v>5995.76</v>
      </c>
      <c r="BM294" s="494">
        <v>548.62</v>
      </c>
      <c r="BN294" s="495" t="e">
        <f t="shared" si="254"/>
        <v>#DIV/0!</v>
      </c>
      <c r="BO294" s="495" t="e">
        <f t="shared" si="255"/>
        <v>#DIV/0!</v>
      </c>
      <c r="BP294" s="495" t="str">
        <f t="shared" si="256"/>
        <v>+</v>
      </c>
      <c r="BQ294" s="495" t="e">
        <f t="shared" si="257"/>
        <v>#DIV/0!</v>
      </c>
      <c r="BR294" s="495" t="e">
        <f t="shared" si="258"/>
        <v>#DIV/0!</v>
      </c>
      <c r="BS294" s="495" t="e">
        <f t="shared" si="259"/>
        <v>#DIV/0!</v>
      </c>
      <c r="BT294" s="495" t="e">
        <f t="shared" si="260"/>
        <v>#DIV/0!</v>
      </c>
      <c r="BU294" s="495" t="e">
        <f t="shared" si="261"/>
        <v>#DIV/0!</v>
      </c>
      <c r="BV294" s="495" t="e">
        <f t="shared" si="262"/>
        <v>#DIV/0!</v>
      </c>
      <c r="BW294" s="495" t="e">
        <f t="shared" si="263"/>
        <v>#DIV/0!</v>
      </c>
      <c r="BX294" s="495" t="e">
        <f t="shared" si="264"/>
        <v>#DIV/0!</v>
      </c>
      <c r="BY294" s="495" t="str">
        <f t="shared" si="265"/>
        <v xml:space="preserve"> </v>
      </c>
    </row>
    <row r="295" spans="1:77" s="28" customFormat="1" ht="9" customHeight="1">
      <c r="A295" s="184">
        <v>233</v>
      </c>
      <c r="B295" s="277" t="s">
        <v>932</v>
      </c>
      <c r="C295" s="400">
        <v>918.48</v>
      </c>
      <c r="D295" s="376"/>
      <c r="E295" s="189"/>
      <c r="F295" s="400"/>
      <c r="G295" s="400"/>
      <c r="H295" s="189">
        <f>I295+AJ295+AK295</f>
        <v>278345.36</v>
      </c>
      <c r="I295" s="368">
        <f t="shared" ref="I295:I297" si="291">J295+L295+N295+P295+R295+T295</f>
        <v>265819.82</v>
      </c>
      <c r="J295" s="217">
        <v>0</v>
      </c>
      <c r="K295" s="469">
        <v>0</v>
      </c>
      <c r="L295" s="217">
        <v>0</v>
      </c>
      <c r="M295" s="469">
        <v>120.5</v>
      </c>
      <c r="N295" s="205">
        <f>ROUND(0.955*(C295*303.05),2)</f>
        <v>265819.82</v>
      </c>
      <c r="O295" s="249">
        <v>0</v>
      </c>
      <c r="P295" s="368">
        <v>0</v>
      </c>
      <c r="Q295" s="249">
        <v>0</v>
      </c>
      <c r="R295" s="368">
        <v>0</v>
      </c>
      <c r="S295" s="249">
        <v>0</v>
      </c>
      <c r="T295" s="368">
        <v>0</v>
      </c>
      <c r="U295" s="130">
        <v>0</v>
      </c>
      <c r="V295" s="368">
        <v>0</v>
      </c>
      <c r="W295" s="370">
        <v>0</v>
      </c>
      <c r="X295" s="368">
        <v>0</v>
      </c>
      <c r="Y295" s="370">
        <v>0</v>
      </c>
      <c r="Z295" s="370">
        <v>0</v>
      </c>
      <c r="AA295" s="370">
        <v>0</v>
      </c>
      <c r="AB295" s="370">
        <v>0</v>
      </c>
      <c r="AC295" s="370">
        <v>0</v>
      </c>
      <c r="AD295" s="370">
        <v>0</v>
      </c>
      <c r="AE295" s="370">
        <v>0</v>
      </c>
      <c r="AF295" s="370">
        <v>0</v>
      </c>
      <c r="AG295" s="370">
        <v>0</v>
      </c>
      <c r="AH295" s="370">
        <v>0</v>
      </c>
      <c r="AI295" s="370">
        <v>0</v>
      </c>
      <c r="AJ295" s="370">
        <f>ROUND(0.03*303.05*C295,2)</f>
        <v>8350.36</v>
      </c>
      <c r="AK295" s="370">
        <f>ROUND(0.015*303.05*C295,2)</f>
        <v>4175.18</v>
      </c>
      <c r="AL295" s="370">
        <v>0</v>
      </c>
      <c r="AM295" s="446"/>
      <c r="AN295" s="446"/>
      <c r="AP295" s="486" t="e">
        <f t="shared" si="242"/>
        <v>#DIV/0!</v>
      </c>
      <c r="AQ295" s="486" t="e">
        <f t="shared" si="244"/>
        <v>#DIV/0!</v>
      </c>
      <c r="AR295" s="486">
        <f t="shared" si="245"/>
        <v>2205.9736099585061</v>
      </c>
      <c r="AS295" s="486" t="e">
        <f t="shared" si="246"/>
        <v>#DIV/0!</v>
      </c>
      <c r="AT295" s="486" t="e">
        <f t="shared" si="247"/>
        <v>#DIV/0!</v>
      </c>
      <c r="AU295" s="486" t="e">
        <f t="shared" si="248"/>
        <v>#DIV/0!</v>
      </c>
      <c r="AV295" s="486" t="e">
        <f t="shared" si="249"/>
        <v>#DIV/0!</v>
      </c>
      <c r="AW295" s="486" t="e">
        <f t="shared" si="250"/>
        <v>#DIV/0!</v>
      </c>
      <c r="AX295" s="486" t="e">
        <f t="shared" si="251"/>
        <v>#DIV/0!</v>
      </c>
      <c r="AY295" s="486" t="e">
        <f t="shared" si="252"/>
        <v>#DIV/0!</v>
      </c>
      <c r="AZ295" s="486" t="e">
        <f t="shared" si="253"/>
        <v>#DIV/0!</v>
      </c>
      <c r="BA295" s="486">
        <f t="shared" si="243"/>
        <v>0</v>
      </c>
      <c r="BB295" s="494">
        <v>5155.41</v>
      </c>
      <c r="BC295" s="494">
        <v>2070.12</v>
      </c>
      <c r="BD295" s="494">
        <v>848.92</v>
      </c>
      <c r="BE295" s="494">
        <v>819.73</v>
      </c>
      <c r="BF295" s="494">
        <v>611.5</v>
      </c>
      <c r="BG295" s="494">
        <v>1080.04</v>
      </c>
      <c r="BH295" s="494">
        <v>2671800.0099999998</v>
      </c>
      <c r="BI295" s="494">
        <f t="shared" si="288"/>
        <v>4422.8500000000004</v>
      </c>
      <c r="BJ295" s="494">
        <v>14289.54</v>
      </c>
      <c r="BK295" s="494">
        <v>3389.61</v>
      </c>
      <c r="BL295" s="494">
        <v>5995.76</v>
      </c>
      <c r="BM295" s="494">
        <v>548.62</v>
      </c>
      <c r="BN295" s="495" t="e">
        <f t="shared" si="254"/>
        <v>#DIV/0!</v>
      </c>
      <c r="BO295" s="495" t="e">
        <f t="shared" si="255"/>
        <v>#DIV/0!</v>
      </c>
      <c r="BP295" s="495" t="str">
        <f t="shared" si="256"/>
        <v>+</v>
      </c>
      <c r="BQ295" s="495" t="e">
        <f t="shared" si="257"/>
        <v>#DIV/0!</v>
      </c>
      <c r="BR295" s="495" t="e">
        <f t="shared" si="258"/>
        <v>#DIV/0!</v>
      </c>
      <c r="BS295" s="495" t="e">
        <f t="shared" si="259"/>
        <v>#DIV/0!</v>
      </c>
      <c r="BT295" s="495" t="e">
        <f t="shared" si="260"/>
        <v>#DIV/0!</v>
      </c>
      <c r="BU295" s="495" t="e">
        <f t="shared" si="261"/>
        <v>#DIV/0!</v>
      </c>
      <c r="BV295" s="495" t="e">
        <f t="shared" si="262"/>
        <v>#DIV/0!</v>
      </c>
      <c r="BW295" s="495" t="e">
        <f t="shared" si="263"/>
        <v>#DIV/0!</v>
      </c>
      <c r="BX295" s="495" t="e">
        <f t="shared" si="264"/>
        <v>#DIV/0!</v>
      </c>
      <c r="BY295" s="495" t="str">
        <f t="shared" si="265"/>
        <v xml:space="preserve"> </v>
      </c>
    </row>
    <row r="296" spans="1:77" s="28" customFormat="1" ht="9" customHeight="1">
      <c r="A296" s="184">
        <v>234</v>
      </c>
      <c r="B296" s="277" t="s">
        <v>933</v>
      </c>
      <c r="C296" s="400">
        <v>270.23</v>
      </c>
      <c r="D296" s="376"/>
      <c r="E296" s="189"/>
      <c r="F296" s="400"/>
      <c r="G296" s="400"/>
      <c r="H296" s="189">
        <f>I296+AJ296+AK296</f>
        <v>56748.299999999996</v>
      </c>
      <c r="I296" s="368">
        <f t="shared" si="291"/>
        <v>54194.63</v>
      </c>
      <c r="J296" s="217">
        <v>0</v>
      </c>
      <c r="K296" s="469">
        <v>0</v>
      </c>
      <c r="L296" s="217">
        <v>0</v>
      </c>
      <c r="M296" s="469">
        <v>0</v>
      </c>
      <c r="N296" s="217">
        <v>0</v>
      </c>
      <c r="O296" s="249">
        <v>71</v>
      </c>
      <c r="P296" s="368">
        <f>ROUND(0.955*(C296*210),2)</f>
        <v>54194.63</v>
      </c>
      <c r="Q296" s="249">
        <v>0</v>
      </c>
      <c r="R296" s="368">
        <v>0</v>
      </c>
      <c r="S296" s="249">
        <v>0</v>
      </c>
      <c r="T296" s="368">
        <v>0</v>
      </c>
      <c r="U296" s="130">
        <v>0</v>
      </c>
      <c r="V296" s="368">
        <v>0</v>
      </c>
      <c r="W296" s="370">
        <v>0</v>
      </c>
      <c r="X296" s="368">
        <v>0</v>
      </c>
      <c r="Y296" s="370">
        <v>0</v>
      </c>
      <c r="Z296" s="370">
        <v>0</v>
      </c>
      <c r="AA296" s="370">
        <v>0</v>
      </c>
      <c r="AB296" s="370">
        <v>0</v>
      </c>
      <c r="AC296" s="370">
        <v>0</v>
      </c>
      <c r="AD296" s="370">
        <v>0</v>
      </c>
      <c r="AE296" s="370">
        <v>0</v>
      </c>
      <c r="AF296" s="370">
        <v>0</v>
      </c>
      <c r="AG296" s="370">
        <v>0</v>
      </c>
      <c r="AH296" s="370">
        <v>0</v>
      </c>
      <c r="AI296" s="370">
        <v>0</v>
      </c>
      <c r="AJ296" s="370">
        <f>ROUND(0.03*210*C296,2)</f>
        <v>1702.45</v>
      </c>
      <c r="AK296" s="370">
        <f>ROUND(0.015*210*C296,2)</f>
        <v>851.22</v>
      </c>
      <c r="AL296" s="370">
        <v>0</v>
      </c>
      <c r="AM296" s="446"/>
      <c r="AN296" s="446"/>
      <c r="AP296" s="486" t="e">
        <f t="shared" si="242"/>
        <v>#DIV/0!</v>
      </c>
      <c r="AQ296" s="486" t="e">
        <f t="shared" si="244"/>
        <v>#DIV/0!</v>
      </c>
      <c r="AR296" s="486" t="e">
        <f t="shared" si="245"/>
        <v>#DIV/0!</v>
      </c>
      <c r="AS296" s="486">
        <f t="shared" si="246"/>
        <v>763.30464788732388</v>
      </c>
      <c r="AT296" s="486" t="e">
        <f t="shared" si="247"/>
        <v>#DIV/0!</v>
      </c>
      <c r="AU296" s="486" t="e">
        <f t="shared" si="248"/>
        <v>#DIV/0!</v>
      </c>
      <c r="AV296" s="486" t="e">
        <f t="shared" si="249"/>
        <v>#DIV/0!</v>
      </c>
      <c r="AW296" s="486" t="e">
        <f t="shared" si="250"/>
        <v>#DIV/0!</v>
      </c>
      <c r="AX296" s="486" t="e">
        <f t="shared" si="251"/>
        <v>#DIV/0!</v>
      </c>
      <c r="AY296" s="486" t="e">
        <f t="shared" si="252"/>
        <v>#DIV/0!</v>
      </c>
      <c r="AZ296" s="486" t="e">
        <f t="shared" si="253"/>
        <v>#DIV/0!</v>
      </c>
      <c r="BA296" s="486">
        <f t="shared" si="243"/>
        <v>0</v>
      </c>
      <c r="BB296" s="494">
        <v>5155.41</v>
      </c>
      <c r="BC296" s="494">
        <v>2070.12</v>
      </c>
      <c r="BD296" s="494">
        <v>848.92</v>
      </c>
      <c r="BE296" s="494">
        <v>819.73</v>
      </c>
      <c r="BF296" s="494">
        <v>611.5</v>
      </c>
      <c r="BG296" s="494">
        <v>1080.04</v>
      </c>
      <c r="BH296" s="494">
        <v>2671800.0099999998</v>
      </c>
      <c r="BI296" s="494">
        <f t="shared" si="288"/>
        <v>4422.8500000000004</v>
      </c>
      <c r="BJ296" s="494">
        <v>14289.54</v>
      </c>
      <c r="BK296" s="494">
        <v>3389.61</v>
      </c>
      <c r="BL296" s="494">
        <v>5995.76</v>
      </c>
      <c r="BM296" s="494">
        <v>548.62</v>
      </c>
      <c r="BN296" s="495" t="e">
        <f t="shared" si="254"/>
        <v>#DIV/0!</v>
      </c>
      <c r="BO296" s="495" t="e">
        <f t="shared" si="255"/>
        <v>#DIV/0!</v>
      </c>
      <c r="BP296" s="495" t="e">
        <f t="shared" si="256"/>
        <v>#DIV/0!</v>
      </c>
      <c r="BQ296" s="495" t="str">
        <f t="shared" si="257"/>
        <v xml:space="preserve"> </v>
      </c>
      <c r="BR296" s="495" t="e">
        <f t="shared" si="258"/>
        <v>#DIV/0!</v>
      </c>
      <c r="BS296" s="495" t="e">
        <f t="shared" si="259"/>
        <v>#DIV/0!</v>
      </c>
      <c r="BT296" s="495" t="e">
        <f t="shared" si="260"/>
        <v>#DIV/0!</v>
      </c>
      <c r="BU296" s="495" t="e">
        <f t="shared" si="261"/>
        <v>#DIV/0!</v>
      </c>
      <c r="BV296" s="495" t="e">
        <f t="shared" si="262"/>
        <v>#DIV/0!</v>
      </c>
      <c r="BW296" s="495" t="e">
        <f t="shared" si="263"/>
        <v>#DIV/0!</v>
      </c>
      <c r="BX296" s="495" t="e">
        <f t="shared" si="264"/>
        <v>#DIV/0!</v>
      </c>
      <c r="BY296" s="495" t="str">
        <f t="shared" si="265"/>
        <v xml:space="preserve"> </v>
      </c>
    </row>
    <row r="297" spans="1:77" s="28" customFormat="1" ht="9" customHeight="1">
      <c r="A297" s="184">
        <v>235</v>
      </c>
      <c r="B297" s="277" t="s">
        <v>934</v>
      </c>
      <c r="C297" s="400">
        <v>724.7</v>
      </c>
      <c r="D297" s="376"/>
      <c r="E297" s="189"/>
      <c r="F297" s="400"/>
      <c r="G297" s="400"/>
      <c r="H297" s="189">
        <f>I297+AI297+AJ297+AK297</f>
        <v>234012.88</v>
      </c>
      <c r="I297" s="368">
        <f t="shared" si="291"/>
        <v>0</v>
      </c>
      <c r="J297" s="217">
        <v>0</v>
      </c>
      <c r="K297" s="469">
        <v>0</v>
      </c>
      <c r="L297" s="217">
        <v>0</v>
      </c>
      <c r="M297" s="469">
        <v>0</v>
      </c>
      <c r="N297" s="217">
        <v>0</v>
      </c>
      <c r="O297" s="249">
        <v>0</v>
      </c>
      <c r="P297" s="368">
        <v>0</v>
      </c>
      <c r="Q297" s="249">
        <v>0</v>
      </c>
      <c r="R297" s="368">
        <v>0</v>
      </c>
      <c r="S297" s="249">
        <v>0</v>
      </c>
      <c r="T297" s="368">
        <v>0</v>
      </c>
      <c r="U297" s="130">
        <v>0</v>
      </c>
      <c r="V297" s="368">
        <v>0</v>
      </c>
      <c r="W297" s="370">
        <v>0</v>
      </c>
      <c r="X297" s="368">
        <v>0</v>
      </c>
      <c r="Y297" s="370">
        <v>0</v>
      </c>
      <c r="Z297" s="370">
        <v>0</v>
      </c>
      <c r="AA297" s="370">
        <v>0</v>
      </c>
      <c r="AB297" s="370">
        <v>0</v>
      </c>
      <c r="AC297" s="370">
        <v>0</v>
      </c>
      <c r="AD297" s="370">
        <v>0</v>
      </c>
      <c r="AE297" s="370">
        <v>0</v>
      </c>
      <c r="AF297" s="370">
        <v>0</v>
      </c>
      <c r="AG297" s="370">
        <v>0</v>
      </c>
      <c r="AH297" s="370">
        <v>0</v>
      </c>
      <c r="AI297" s="368">
        <f>ROUND(0.955*C297*322.91,2)</f>
        <v>223482.3</v>
      </c>
      <c r="AJ297" s="370">
        <f>ROUND((0.03*322.91)*C297,2)</f>
        <v>7020.39</v>
      </c>
      <c r="AK297" s="370">
        <f>ROUND((0.015*(322.91)*C297),2)</f>
        <v>3510.19</v>
      </c>
      <c r="AL297" s="370">
        <v>0</v>
      </c>
      <c r="AM297" s="446"/>
      <c r="AN297" s="446"/>
      <c r="AP297" s="486" t="e">
        <f t="shared" si="242"/>
        <v>#DIV/0!</v>
      </c>
      <c r="AQ297" s="486" t="e">
        <f t="shared" si="244"/>
        <v>#DIV/0!</v>
      </c>
      <c r="AR297" s="486" t="e">
        <f t="shared" si="245"/>
        <v>#DIV/0!</v>
      </c>
      <c r="AS297" s="486" t="e">
        <f t="shared" si="246"/>
        <v>#DIV/0!</v>
      </c>
      <c r="AT297" s="486" t="e">
        <f t="shared" si="247"/>
        <v>#DIV/0!</v>
      </c>
      <c r="AU297" s="486" t="e">
        <f t="shared" si="248"/>
        <v>#DIV/0!</v>
      </c>
      <c r="AV297" s="486" t="e">
        <f t="shared" si="249"/>
        <v>#DIV/0!</v>
      </c>
      <c r="AW297" s="486" t="e">
        <f t="shared" si="250"/>
        <v>#DIV/0!</v>
      </c>
      <c r="AX297" s="486" t="e">
        <f t="shared" si="251"/>
        <v>#DIV/0!</v>
      </c>
      <c r="AY297" s="486" t="e">
        <f t="shared" si="252"/>
        <v>#DIV/0!</v>
      </c>
      <c r="AZ297" s="486" t="e">
        <f t="shared" si="253"/>
        <v>#DIV/0!</v>
      </c>
      <c r="BA297" s="486">
        <f t="shared" si="243"/>
        <v>308.37905340140742</v>
      </c>
      <c r="BB297" s="494">
        <v>5155.41</v>
      </c>
      <c r="BC297" s="494">
        <v>2070.12</v>
      </c>
      <c r="BD297" s="494">
        <v>848.92</v>
      </c>
      <c r="BE297" s="494">
        <v>819.73</v>
      </c>
      <c r="BF297" s="494">
        <v>611.5</v>
      </c>
      <c r="BG297" s="494">
        <v>1080.04</v>
      </c>
      <c r="BH297" s="494">
        <v>2671800.0099999998</v>
      </c>
      <c r="BI297" s="494">
        <f t="shared" si="288"/>
        <v>4422.8500000000004</v>
      </c>
      <c r="BJ297" s="494">
        <v>14289.54</v>
      </c>
      <c r="BK297" s="494">
        <v>3389.61</v>
      </c>
      <c r="BL297" s="494">
        <v>5995.76</v>
      </c>
      <c r="BM297" s="494">
        <v>548.62</v>
      </c>
      <c r="BN297" s="495" t="e">
        <f t="shared" si="254"/>
        <v>#DIV/0!</v>
      </c>
      <c r="BO297" s="495" t="e">
        <f t="shared" si="255"/>
        <v>#DIV/0!</v>
      </c>
      <c r="BP297" s="495" t="e">
        <f t="shared" si="256"/>
        <v>#DIV/0!</v>
      </c>
      <c r="BQ297" s="495" t="e">
        <f t="shared" si="257"/>
        <v>#DIV/0!</v>
      </c>
      <c r="BR297" s="495" t="e">
        <f t="shared" si="258"/>
        <v>#DIV/0!</v>
      </c>
      <c r="BS297" s="495" t="e">
        <f t="shared" si="259"/>
        <v>#DIV/0!</v>
      </c>
      <c r="BT297" s="495" t="e">
        <f t="shared" si="260"/>
        <v>#DIV/0!</v>
      </c>
      <c r="BU297" s="495" t="e">
        <f t="shared" si="261"/>
        <v>#DIV/0!</v>
      </c>
      <c r="BV297" s="495" t="e">
        <f t="shared" si="262"/>
        <v>#DIV/0!</v>
      </c>
      <c r="BW297" s="495" t="e">
        <f t="shared" si="263"/>
        <v>#DIV/0!</v>
      </c>
      <c r="BX297" s="495" t="e">
        <f t="shared" si="264"/>
        <v>#DIV/0!</v>
      </c>
      <c r="BY297" s="495" t="str">
        <f t="shared" si="265"/>
        <v xml:space="preserve"> </v>
      </c>
    </row>
    <row r="298" spans="1:77" s="28" customFormat="1" ht="9" customHeight="1">
      <c r="A298" s="184">
        <v>236</v>
      </c>
      <c r="B298" s="277" t="s">
        <v>935</v>
      </c>
      <c r="C298" s="400">
        <v>274.32</v>
      </c>
      <c r="D298" s="376"/>
      <c r="E298" s="189"/>
      <c r="F298" s="400"/>
      <c r="G298" s="400"/>
      <c r="H298" s="189">
        <f>I298+AI298+AJ298+AK298</f>
        <v>57607.21</v>
      </c>
      <c r="I298" s="368">
        <f t="shared" ref="I298" si="292">J298+L298+N298+P298+R298+T298</f>
        <v>55014.879999999997</v>
      </c>
      <c r="J298" s="217">
        <v>0</v>
      </c>
      <c r="K298" s="469">
        <v>0</v>
      </c>
      <c r="L298" s="217">
        <v>0</v>
      </c>
      <c r="M298" s="469">
        <v>0</v>
      </c>
      <c r="N298" s="217">
        <v>0</v>
      </c>
      <c r="O298" s="249">
        <v>27</v>
      </c>
      <c r="P298" s="368">
        <f>ROUND(0.955*(C298*210),2)</f>
        <v>55014.879999999997</v>
      </c>
      <c r="Q298" s="249">
        <v>0</v>
      </c>
      <c r="R298" s="368">
        <v>0</v>
      </c>
      <c r="S298" s="249">
        <v>0</v>
      </c>
      <c r="T298" s="368">
        <v>0</v>
      </c>
      <c r="U298" s="130">
        <v>0</v>
      </c>
      <c r="V298" s="368">
        <v>0</v>
      </c>
      <c r="W298" s="370">
        <v>0</v>
      </c>
      <c r="X298" s="368">
        <v>0</v>
      </c>
      <c r="Y298" s="370">
        <v>0</v>
      </c>
      <c r="Z298" s="370">
        <v>0</v>
      </c>
      <c r="AA298" s="370">
        <v>0</v>
      </c>
      <c r="AB298" s="370">
        <v>0</v>
      </c>
      <c r="AC298" s="370">
        <v>0</v>
      </c>
      <c r="AD298" s="370">
        <v>0</v>
      </c>
      <c r="AE298" s="370">
        <v>0</v>
      </c>
      <c r="AF298" s="370">
        <v>0</v>
      </c>
      <c r="AG298" s="370">
        <v>0</v>
      </c>
      <c r="AH298" s="370">
        <v>0</v>
      </c>
      <c r="AI298" s="370">
        <v>0</v>
      </c>
      <c r="AJ298" s="370">
        <f>ROUND(0.03*210*C298,2)</f>
        <v>1728.22</v>
      </c>
      <c r="AK298" s="370">
        <f>ROUND(0.015*210*C298,2)</f>
        <v>864.11</v>
      </c>
      <c r="AL298" s="370">
        <v>0</v>
      </c>
      <c r="AM298" s="446"/>
      <c r="AN298" s="446"/>
      <c r="AP298" s="486" t="e">
        <f t="shared" si="242"/>
        <v>#DIV/0!</v>
      </c>
      <c r="AQ298" s="486" t="e">
        <f t="shared" si="244"/>
        <v>#DIV/0!</v>
      </c>
      <c r="AR298" s="486" t="e">
        <f t="shared" si="245"/>
        <v>#DIV/0!</v>
      </c>
      <c r="AS298" s="486">
        <f t="shared" si="246"/>
        <v>2037.5881481481481</v>
      </c>
      <c r="AT298" s="486" t="e">
        <f t="shared" si="247"/>
        <v>#DIV/0!</v>
      </c>
      <c r="AU298" s="486" t="e">
        <f t="shared" si="248"/>
        <v>#DIV/0!</v>
      </c>
      <c r="AV298" s="486" t="e">
        <f t="shared" si="249"/>
        <v>#DIV/0!</v>
      </c>
      <c r="AW298" s="486" t="e">
        <f t="shared" si="250"/>
        <v>#DIV/0!</v>
      </c>
      <c r="AX298" s="486" t="e">
        <f t="shared" si="251"/>
        <v>#DIV/0!</v>
      </c>
      <c r="AY298" s="486" t="e">
        <f t="shared" si="252"/>
        <v>#DIV/0!</v>
      </c>
      <c r="AZ298" s="486" t="e">
        <f t="shared" si="253"/>
        <v>#DIV/0!</v>
      </c>
      <c r="BA298" s="486">
        <f t="shared" si="243"/>
        <v>0</v>
      </c>
      <c r="BB298" s="494">
        <v>5155.41</v>
      </c>
      <c r="BC298" s="494">
        <v>2070.12</v>
      </c>
      <c r="BD298" s="494">
        <v>848.92</v>
      </c>
      <c r="BE298" s="494">
        <v>819.73</v>
      </c>
      <c r="BF298" s="494">
        <v>611.5</v>
      </c>
      <c r="BG298" s="494">
        <v>1080.04</v>
      </c>
      <c r="BH298" s="494">
        <v>2671800.0099999998</v>
      </c>
      <c r="BI298" s="494">
        <f t="shared" si="288"/>
        <v>4422.8500000000004</v>
      </c>
      <c r="BJ298" s="494">
        <v>14289.54</v>
      </c>
      <c r="BK298" s="494">
        <v>3389.61</v>
      </c>
      <c r="BL298" s="494">
        <v>5995.76</v>
      </c>
      <c r="BM298" s="494">
        <v>548.62</v>
      </c>
      <c r="BN298" s="495" t="e">
        <f t="shared" si="254"/>
        <v>#DIV/0!</v>
      </c>
      <c r="BO298" s="495" t="e">
        <f t="shared" si="255"/>
        <v>#DIV/0!</v>
      </c>
      <c r="BP298" s="495" t="e">
        <f t="shared" si="256"/>
        <v>#DIV/0!</v>
      </c>
      <c r="BQ298" s="495" t="str">
        <f t="shared" si="257"/>
        <v>+</v>
      </c>
      <c r="BR298" s="495" t="e">
        <f t="shared" si="258"/>
        <v>#DIV/0!</v>
      </c>
      <c r="BS298" s="495" t="e">
        <f t="shared" si="259"/>
        <v>#DIV/0!</v>
      </c>
      <c r="BT298" s="495" t="e">
        <f t="shared" si="260"/>
        <v>#DIV/0!</v>
      </c>
      <c r="BU298" s="495" t="e">
        <f t="shared" si="261"/>
        <v>#DIV/0!</v>
      </c>
      <c r="BV298" s="495" t="e">
        <f t="shared" si="262"/>
        <v>#DIV/0!</v>
      </c>
      <c r="BW298" s="495" t="e">
        <f t="shared" si="263"/>
        <v>#DIV/0!</v>
      </c>
      <c r="BX298" s="495" t="e">
        <f t="shared" si="264"/>
        <v>#DIV/0!</v>
      </c>
      <c r="BY298" s="495" t="str">
        <f t="shared" si="265"/>
        <v xml:space="preserve"> </v>
      </c>
    </row>
    <row r="299" spans="1:77" s="28" customFormat="1" ht="36" customHeight="1">
      <c r="A299" s="958" t="s">
        <v>434</v>
      </c>
      <c r="B299" s="958"/>
      <c r="C299" s="189">
        <f>SUM(C294:C298)</f>
        <v>3110.93</v>
      </c>
      <c r="D299" s="401"/>
      <c r="E299" s="189" t="s">
        <v>391</v>
      </c>
      <c r="F299" s="400"/>
      <c r="G299" s="400"/>
      <c r="H299" s="189">
        <f>SUM(H294:H298)</f>
        <v>906489.51</v>
      </c>
      <c r="I299" s="189">
        <f t="shared" ref="I299:AL299" si="293">SUM(I294:I298)</f>
        <v>642215.17999999993</v>
      </c>
      <c r="J299" s="189">
        <f t="shared" si="293"/>
        <v>0</v>
      </c>
      <c r="K299" s="189">
        <f t="shared" si="293"/>
        <v>0</v>
      </c>
      <c r="L299" s="189">
        <f t="shared" si="293"/>
        <v>0</v>
      </c>
      <c r="M299" s="189">
        <f t="shared" si="293"/>
        <v>241</v>
      </c>
      <c r="N299" s="189">
        <f t="shared" si="293"/>
        <v>533005.66999999993</v>
      </c>
      <c r="O299" s="189">
        <f t="shared" si="293"/>
        <v>98</v>
      </c>
      <c r="P299" s="189">
        <f t="shared" si="293"/>
        <v>109209.51</v>
      </c>
      <c r="Q299" s="189">
        <f t="shared" si="293"/>
        <v>0</v>
      </c>
      <c r="R299" s="189">
        <f t="shared" si="293"/>
        <v>0</v>
      </c>
      <c r="S299" s="189">
        <f t="shared" si="293"/>
        <v>0</v>
      </c>
      <c r="T299" s="189">
        <f t="shared" si="293"/>
        <v>0</v>
      </c>
      <c r="U299" s="219">
        <f t="shared" si="293"/>
        <v>0</v>
      </c>
      <c r="V299" s="189">
        <f t="shared" si="293"/>
        <v>0</v>
      </c>
      <c r="W299" s="189">
        <f t="shared" si="293"/>
        <v>0</v>
      </c>
      <c r="X299" s="189">
        <f t="shared" si="293"/>
        <v>0</v>
      </c>
      <c r="Y299" s="189">
        <f t="shared" si="293"/>
        <v>0</v>
      </c>
      <c r="Z299" s="189">
        <f t="shared" si="293"/>
        <v>0</v>
      </c>
      <c r="AA299" s="189">
        <f t="shared" si="293"/>
        <v>0</v>
      </c>
      <c r="AB299" s="189">
        <f t="shared" si="293"/>
        <v>0</v>
      </c>
      <c r="AC299" s="189">
        <f t="shared" si="293"/>
        <v>0</v>
      </c>
      <c r="AD299" s="189">
        <f t="shared" si="293"/>
        <v>0</v>
      </c>
      <c r="AE299" s="189">
        <f t="shared" si="293"/>
        <v>0</v>
      </c>
      <c r="AF299" s="189">
        <f t="shared" si="293"/>
        <v>0</v>
      </c>
      <c r="AG299" s="189">
        <f t="shared" si="293"/>
        <v>0</v>
      </c>
      <c r="AH299" s="189">
        <f t="shared" si="293"/>
        <v>0</v>
      </c>
      <c r="AI299" s="189">
        <f t="shared" si="293"/>
        <v>223482.3</v>
      </c>
      <c r="AJ299" s="189">
        <f t="shared" si="293"/>
        <v>27194.690000000002</v>
      </c>
      <c r="AK299" s="189">
        <f t="shared" si="293"/>
        <v>13597.34</v>
      </c>
      <c r="AL299" s="189">
        <f t="shared" si="293"/>
        <v>0</v>
      </c>
      <c r="AM299" s="280"/>
      <c r="AN299" s="280"/>
      <c r="AP299" s="486" t="e">
        <f t="shared" si="242"/>
        <v>#DIV/0!</v>
      </c>
      <c r="AQ299" s="486" t="e">
        <f t="shared" si="244"/>
        <v>#DIV/0!</v>
      </c>
      <c r="AR299" s="497">
        <f t="shared" si="245"/>
        <v>2211.6417842323649</v>
      </c>
      <c r="AS299" s="497">
        <f t="shared" si="246"/>
        <v>1114.3827551020408</v>
      </c>
      <c r="AT299" s="497" t="e">
        <f t="shared" si="247"/>
        <v>#DIV/0!</v>
      </c>
      <c r="AU299" s="497" t="e">
        <f t="shared" si="248"/>
        <v>#DIV/0!</v>
      </c>
      <c r="AV299" s="497" t="e">
        <f t="shared" si="249"/>
        <v>#DIV/0!</v>
      </c>
      <c r="AW299" s="497" t="e">
        <f t="shared" si="250"/>
        <v>#DIV/0!</v>
      </c>
      <c r="AX299" s="497" t="e">
        <f t="shared" si="251"/>
        <v>#DIV/0!</v>
      </c>
      <c r="AY299" s="486" t="e">
        <f t="shared" si="252"/>
        <v>#DIV/0!</v>
      </c>
      <c r="AZ299" s="497" t="e">
        <f t="shared" si="253"/>
        <v>#DIV/0!</v>
      </c>
      <c r="BA299" s="486">
        <f t="shared" si="243"/>
        <v>71.83777841352908</v>
      </c>
      <c r="BB299" s="494">
        <v>5155.41</v>
      </c>
      <c r="BC299" s="494">
        <v>2070.12</v>
      </c>
      <c r="BD299" s="494">
        <v>848.92</v>
      </c>
      <c r="BE299" s="494">
        <v>819.73</v>
      </c>
      <c r="BF299" s="494">
        <v>611.5</v>
      </c>
      <c r="BG299" s="494">
        <v>1080.04</v>
      </c>
      <c r="BH299" s="494">
        <v>2671800.0099999998</v>
      </c>
      <c r="BI299" s="494">
        <f t="shared" si="288"/>
        <v>4422.8500000000004</v>
      </c>
      <c r="BJ299" s="494">
        <v>14289.54</v>
      </c>
      <c r="BK299" s="494">
        <v>3389.61</v>
      </c>
      <c r="BL299" s="494">
        <v>5995.76</v>
      </c>
      <c r="BM299" s="494">
        <v>548.62</v>
      </c>
      <c r="BN299" s="493" t="e">
        <f t="shared" si="254"/>
        <v>#DIV/0!</v>
      </c>
      <c r="BO299" s="493" t="e">
        <f t="shared" si="255"/>
        <v>#DIV/0!</v>
      </c>
      <c r="BP299" s="493" t="str">
        <f t="shared" si="256"/>
        <v>+</v>
      </c>
      <c r="BQ299" s="493" t="str">
        <f t="shared" si="257"/>
        <v>+</v>
      </c>
      <c r="BR299" s="493" t="e">
        <f t="shared" si="258"/>
        <v>#DIV/0!</v>
      </c>
      <c r="BS299" s="493" t="e">
        <f t="shared" si="259"/>
        <v>#DIV/0!</v>
      </c>
      <c r="BT299" s="493" t="e">
        <f t="shared" si="260"/>
        <v>#DIV/0!</v>
      </c>
      <c r="BU299" s="493" t="e">
        <f t="shared" si="261"/>
        <v>#DIV/0!</v>
      </c>
      <c r="BV299" s="493" t="e">
        <f t="shared" si="262"/>
        <v>#DIV/0!</v>
      </c>
      <c r="BW299" s="493" t="e">
        <f t="shared" si="263"/>
        <v>#DIV/0!</v>
      </c>
      <c r="BX299" s="493" t="e">
        <f t="shared" si="264"/>
        <v>#DIV/0!</v>
      </c>
      <c r="BY299" s="493" t="str">
        <f t="shared" si="265"/>
        <v xml:space="preserve"> </v>
      </c>
    </row>
    <row r="300" spans="1:77" s="28" customFormat="1" ht="12.75" customHeight="1">
      <c r="A300" s="833" t="s">
        <v>937</v>
      </c>
      <c r="B300" s="834"/>
      <c r="C300" s="834"/>
      <c r="D300" s="834"/>
      <c r="E300" s="834"/>
      <c r="F300" s="834"/>
      <c r="G300" s="834"/>
      <c r="H300" s="834"/>
      <c r="I300" s="834"/>
      <c r="J300" s="834"/>
      <c r="K300" s="834"/>
      <c r="L300" s="834"/>
      <c r="M300" s="834"/>
      <c r="N300" s="834"/>
      <c r="O300" s="834"/>
      <c r="P300" s="834"/>
      <c r="Q300" s="834"/>
      <c r="R300" s="834"/>
      <c r="S300" s="834"/>
      <c r="T300" s="834"/>
      <c r="U300" s="834"/>
      <c r="V300" s="834"/>
      <c r="W300" s="834"/>
      <c r="X300" s="834"/>
      <c r="Y300" s="834"/>
      <c r="Z300" s="834"/>
      <c r="AA300" s="834"/>
      <c r="AB300" s="834"/>
      <c r="AC300" s="834"/>
      <c r="AD300" s="834"/>
      <c r="AE300" s="834"/>
      <c r="AF300" s="834"/>
      <c r="AG300" s="834"/>
      <c r="AH300" s="834"/>
      <c r="AI300" s="834"/>
      <c r="AJ300" s="834"/>
      <c r="AK300" s="834"/>
      <c r="AL300" s="835"/>
      <c r="AM300" s="280"/>
      <c r="AN300" s="280"/>
      <c r="AP300" s="486" t="e">
        <f t="shared" si="242"/>
        <v>#DIV/0!</v>
      </c>
      <c r="AQ300" s="486" t="e">
        <f t="shared" si="244"/>
        <v>#DIV/0!</v>
      </c>
      <c r="AR300" s="497" t="e">
        <f t="shared" si="245"/>
        <v>#DIV/0!</v>
      </c>
      <c r="AS300" s="497" t="e">
        <f t="shared" si="246"/>
        <v>#DIV/0!</v>
      </c>
      <c r="AT300" s="497" t="e">
        <f t="shared" si="247"/>
        <v>#DIV/0!</v>
      </c>
      <c r="AU300" s="497" t="e">
        <f t="shared" si="248"/>
        <v>#DIV/0!</v>
      </c>
      <c r="AV300" s="497" t="e">
        <f t="shared" si="249"/>
        <v>#DIV/0!</v>
      </c>
      <c r="AW300" s="497" t="e">
        <f t="shared" si="250"/>
        <v>#DIV/0!</v>
      </c>
      <c r="AX300" s="497" t="e">
        <f t="shared" si="251"/>
        <v>#DIV/0!</v>
      </c>
      <c r="AY300" s="486" t="e">
        <f t="shared" si="252"/>
        <v>#DIV/0!</v>
      </c>
      <c r="AZ300" s="497" t="e">
        <f t="shared" si="253"/>
        <v>#DIV/0!</v>
      </c>
      <c r="BA300" s="486" t="e">
        <f t="shared" si="243"/>
        <v>#DIV/0!</v>
      </c>
      <c r="BB300" s="494">
        <v>5155.41</v>
      </c>
      <c r="BC300" s="494">
        <v>2070.12</v>
      </c>
      <c r="BD300" s="494">
        <v>848.92</v>
      </c>
      <c r="BE300" s="494">
        <v>819.73</v>
      </c>
      <c r="BF300" s="494">
        <v>611.5</v>
      </c>
      <c r="BG300" s="494">
        <v>1080.04</v>
      </c>
      <c r="BH300" s="494">
        <v>2671800.0099999998</v>
      </c>
      <c r="BI300" s="494">
        <f t="shared" si="288"/>
        <v>4422.8500000000004</v>
      </c>
      <c r="BJ300" s="494">
        <v>14289.54</v>
      </c>
      <c r="BK300" s="494">
        <v>3389.61</v>
      </c>
      <c r="BL300" s="494">
        <v>5995.76</v>
      </c>
      <c r="BM300" s="494">
        <v>548.62</v>
      </c>
      <c r="BN300" s="493" t="e">
        <f t="shared" si="254"/>
        <v>#DIV/0!</v>
      </c>
      <c r="BO300" s="493" t="e">
        <f t="shared" si="255"/>
        <v>#DIV/0!</v>
      </c>
      <c r="BP300" s="493" t="e">
        <f t="shared" si="256"/>
        <v>#DIV/0!</v>
      </c>
      <c r="BQ300" s="493" t="e">
        <f t="shared" si="257"/>
        <v>#DIV/0!</v>
      </c>
      <c r="BR300" s="493" t="e">
        <f t="shared" si="258"/>
        <v>#DIV/0!</v>
      </c>
      <c r="BS300" s="493" t="e">
        <f t="shared" si="259"/>
        <v>#DIV/0!</v>
      </c>
      <c r="BT300" s="493" t="e">
        <f t="shared" si="260"/>
        <v>#DIV/0!</v>
      </c>
      <c r="BU300" s="493" t="e">
        <f t="shared" si="261"/>
        <v>#DIV/0!</v>
      </c>
      <c r="BV300" s="493" t="e">
        <f t="shared" si="262"/>
        <v>#DIV/0!</v>
      </c>
      <c r="BW300" s="493" t="e">
        <f t="shared" si="263"/>
        <v>#DIV/0!</v>
      </c>
      <c r="BX300" s="493" t="e">
        <f t="shared" si="264"/>
        <v>#DIV/0!</v>
      </c>
      <c r="BY300" s="493" t="e">
        <f t="shared" si="265"/>
        <v>#DIV/0!</v>
      </c>
    </row>
    <row r="301" spans="1:77" s="28" customFormat="1" ht="9" customHeight="1">
      <c r="A301" s="166">
        <v>237</v>
      </c>
      <c r="B301" s="275" t="s">
        <v>940</v>
      </c>
      <c r="C301" s="399">
        <v>590.20000000000005</v>
      </c>
      <c r="D301" s="376"/>
      <c r="E301" s="368" t="s">
        <v>1006</v>
      </c>
      <c r="F301" s="249"/>
      <c r="G301" s="249"/>
      <c r="H301" s="167">
        <v>1667579.76</v>
      </c>
      <c r="I301" s="368">
        <f t="shared" ref="I301" si="294">J301+L301+N301+P301+R301+T301</f>
        <v>0</v>
      </c>
      <c r="J301" s="217">
        <v>0</v>
      </c>
      <c r="K301" s="469">
        <v>0</v>
      </c>
      <c r="L301" s="217">
        <v>0</v>
      </c>
      <c r="M301" s="469">
        <v>0</v>
      </c>
      <c r="N301" s="217">
        <v>0</v>
      </c>
      <c r="O301" s="249">
        <v>0</v>
      </c>
      <c r="P301" s="368">
        <v>0</v>
      </c>
      <c r="Q301" s="249">
        <v>0</v>
      </c>
      <c r="R301" s="368">
        <v>0</v>
      </c>
      <c r="S301" s="249">
        <v>0</v>
      </c>
      <c r="T301" s="368">
        <v>0</v>
      </c>
      <c r="U301" s="130">
        <v>0</v>
      </c>
      <c r="V301" s="368">
        <v>0</v>
      </c>
      <c r="W301" s="25">
        <v>515.64</v>
      </c>
      <c r="X301" s="368">
        <f t="shared" ref="X301" si="295">ROUND(H301/100*95.5,2)</f>
        <v>1592538.67</v>
      </c>
      <c r="Y301" s="370">
        <v>0</v>
      </c>
      <c r="Z301" s="370">
        <v>0</v>
      </c>
      <c r="AA301" s="370">
        <v>0</v>
      </c>
      <c r="AB301" s="370">
        <v>0</v>
      </c>
      <c r="AC301" s="370">
        <v>0</v>
      </c>
      <c r="AD301" s="370">
        <v>0</v>
      </c>
      <c r="AE301" s="370">
        <v>0</v>
      </c>
      <c r="AF301" s="370">
        <v>0</v>
      </c>
      <c r="AG301" s="370">
        <v>0</v>
      </c>
      <c r="AH301" s="370">
        <v>0</v>
      </c>
      <c r="AI301" s="370">
        <v>0</v>
      </c>
      <c r="AJ301" s="370">
        <f t="shared" ref="AJ301" si="296">ROUND(H301/100*3,2)</f>
        <v>50027.39</v>
      </c>
      <c r="AK301" s="370">
        <f t="shared" ref="AK301" si="297">ROUND(H301/100*1.5,2)</f>
        <v>25013.7</v>
      </c>
      <c r="AL301" s="370">
        <v>0</v>
      </c>
      <c r="AM301" s="446"/>
      <c r="AN301" s="446"/>
      <c r="AP301" s="486" t="e">
        <f t="shared" si="242"/>
        <v>#DIV/0!</v>
      </c>
      <c r="AQ301" s="486" t="e">
        <f t="shared" si="244"/>
        <v>#DIV/0!</v>
      </c>
      <c r="AR301" s="486" t="e">
        <f t="shared" si="245"/>
        <v>#DIV/0!</v>
      </c>
      <c r="AS301" s="486" t="e">
        <f t="shared" si="246"/>
        <v>#DIV/0!</v>
      </c>
      <c r="AT301" s="486" t="e">
        <f t="shared" si="247"/>
        <v>#DIV/0!</v>
      </c>
      <c r="AU301" s="486" t="e">
        <f t="shared" si="248"/>
        <v>#DIV/0!</v>
      </c>
      <c r="AV301" s="486" t="e">
        <f t="shared" si="249"/>
        <v>#DIV/0!</v>
      </c>
      <c r="AW301" s="486">
        <f t="shared" si="250"/>
        <v>3088.4699984485301</v>
      </c>
      <c r="AX301" s="486" t="e">
        <f t="shared" si="251"/>
        <v>#DIV/0!</v>
      </c>
      <c r="AY301" s="486" t="e">
        <f t="shared" si="252"/>
        <v>#DIV/0!</v>
      </c>
      <c r="AZ301" s="486" t="e">
        <f t="shared" si="253"/>
        <v>#DIV/0!</v>
      </c>
      <c r="BA301" s="486">
        <f t="shared" si="243"/>
        <v>0</v>
      </c>
      <c r="BB301" s="494">
        <v>5155.41</v>
      </c>
      <c r="BC301" s="494">
        <v>2070.12</v>
      </c>
      <c r="BD301" s="494">
        <v>848.92</v>
      </c>
      <c r="BE301" s="494">
        <v>819.73</v>
      </c>
      <c r="BF301" s="494">
        <v>611.5</v>
      </c>
      <c r="BG301" s="494">
        <v>1080.04</v>
      </c>
      <c r="BH301" s="494">
        <v>2671800.0099999998</v>
      </c>
      <c r="BI301" s="494">
        <f t="shared" si="288"/>
        <v>4422.8500000000004</v>
      </c>
      <c r="BJ301" s="494">
        <v>14289.54</v>
      </c>
      <c r="BK301" s="494">
        <v>3389.61</v>
      </c>
      <c r="BL301" s="494">
        <v>5995.76</v>
      </c>
      <c r="BM301" s="494">
        <v>548.62</v>
      </c>
      <c r="BN301" s="495" t="e">
        <f t="shared" si="254"/>
        <v>#DIV/0!</v>
      </c>
      <c r="BO301" s="495" t="e">
        <f t="shared" si="255"/>
        <v>#DIV/0!</v>
      </c>
      <c r="BP301" s="495" t="e">
        <f t="shared" si="256"/>
        <v>#DIV/0!</v>
      </c>
      <c r="BQ301" s="495" t="e">
        <f t="shared" si="257"/>
        <v>#DIV/0!</v>
      </c>
      <c r="BR301" s="495" t="e">
        <f t="shared" si="258"/>
        <v>#DIV/0!</v>
      </c>
      <c r="BS301" s="495" t="e">
        <f t="shared" si="259"/>
        <v>#DIV/0!</v>
      </c>
      <c r="BT301" s="495" t="e">
        <f t="shared" si="260"/>
        <v>#DIV/0!</v>
      </c>
      <c r="BU301" s="495" t="str">
        <f t="shared" si="261"/>
        <v xml:space="preserve"> </v>
      </c>
      <c r="BV301" s="495" t="e">
        <f t="shared" si="262"/>
        <v>#DIV/0!</v>
      </c>
      <c r="BW301" s="495" t="e">
        <f t="shared" si="263"/>
        <v>#DIV/0!</v>
      </c>
      <c r="BX301" s="495" t="e">
        <f t="shared" si="264"/>
        <v>#DIV/0!</v>
      </c>
      <c r="BY301" s="495" t="str">
        <f t="shared" si="265"/>
        <v xml:space="preserve"> </v>
      </c>
    </row>
    <row r="302" spans="1:77" s="28" customFormat="1" ht="36.75" customHeight="1">
      <c r="A302" s="958" t="s">
        <v>939</v>
      </c>
      <c r="B302" s="958"/>
      <c r="C302" s="189">
        <f>SUM(C301)</f>
        <v>590.20000000000005</v>
      </c>
      <c r="D302" s="401"/>
      <c r="E302" s="189" t="s">
        <v>391</v>
      </c>
      <c r="F302" s="400"/>
      <c r="G302" s="400"/>
      <c r="H302" s="189">
        <f>SUM(H301)</f>
        <v>1667579.76</v>
      </c>
      <c r="I302" s="189">
        <f t="shared" ref="I302:AN302" si="298">SUM(I301)</f>
        <v>0</v>
      </c>
      <c r="J302" s="189">
        <f t="shared" si="298"/>
        <v>0</v>
      </c>
      <c r="K302" s="189">
        <f t="shared" si="298"/>
        <v>0</v>
      </c>
      <c r="L302" s="189">
        <f t="shared" si="298"/>
        <v>0</v>
      </c>
      <c r="M302" s="189">
        <f t="shared" si="298"/>
        <v>0</v>
      </c>
      <c r="N302" s="189">
        <f t="shared" si="298"/>
        <v>0</v>
      </c>
      <c r="O302" s="189">
        <f t="shared" si="298"/>
        <v>0</v>
      </c>
      <c r="P302" s="189">
        <f t="shared" si="298"/>
        <v>0</v>
      </c>
      <c r="Q302" s="189">
        <f t="shared" si="298"/>
        <v>0</v>
      </c>
      <c r="R302" s="189">
        <f t="shared" si="298"/>
        <v>0</v>
      </c>
      <c r="S302" s="189">
        <f t="shared" si="298"/>
        <v>0</v>
      </c>
      <c r="T302" s="189">
        <f t="shared" si="298"/>
        <v>0</v>
      </c>
      <c r="U302" s="219">
        <f t="shared" si="298"/>
        <v>0</v>
      </c>
      <c r="V302" s="189">
        <f t="shared" si="298"/>
        <v>0</v>
      </c>
      <c r="W302" s="189">
        <f t="shared" si="298"/>
        <v>515.64</v>
      </c>
      <c r="X302" s="189">
        <f t="shared" si="298"/>
        <v>1592538.67</v>
      </c>
      <c r="Y302" s="189">
        <f t="shared" si="298"/>
        <v>0</v>
      </c>
      <c r="Z302" s="189">
        <f t="shared" si="298"/>
        <v>0</v>
      </c>
      <c r="AA302" s="189">
        <f t="shared" si="298"/>
        <v>0</v>
      </c>
      <c r="AB302" s="189">
        <f t="shared" si="298"/>
        <v>0</v>
      </c>
      <c r="AC302" s="189">
        <f t="shared" si="298"/>
        <v>0</v>
      </c>
      <c r="AD302" s="189">
        <f t="shared" si="298"/>
        <v>0</v>
      </c>
      <c r="AE302" s="189">
        <f t="shared" si="298"/>
        <v>0</v>
      </c>
      <c r="AF302" s="189">
        <f t="shared" si="298"/>
        <v>0</v>
      </c>
      <c r="AG302" s="189">
        <f t="shared" si="298"/>
        <v>0</v>
      </c>
      <c r="AH302" s="189">
        <f t="shared" si="298"/>
        <v>0</v>
      </c>
      <c r="AI302" s="189">
        <f t="shared" si="298"/>
        <v>0</v>
      </c>
      <c r="AJ302" s="189">
        <f t="shared" si="298"/>
        <v>50027.39</v>
      </c>
      <c r="AK302" s="189">
        <f t="shared" si="298"/>
        <v>25013.7</v>
      </c>
      <c r="AL302" s="189">
        <f t="shared" si="298"/>
        <v>0</v>
      </c>
      <c r="AM302" s="189">
        <f t="shared" si="298"/>
        <v>0</v>
      </c>
      <c r="AN302" s="189">
        <f t="shared" si="298"/>
        <v>0</v>
      </c>
      <c r="AP302" s="486" t="e">
        <f t="shared" si="242"/>
        <v>#DIV/0!</v>
      </c>
      <c r="AQ302" s="486" t="e">
        <f t="shared" si="244"/>
        <v>#DIV/0!</v>
      </c>
      <c r="AR302" s="497" t="e">
        <f t="shared" si="245"/>
        <v>#DIV/0!</v>
      </c>
      <c r="AS302" s="497" t="e">
        <f t="shared" si="246"/>
        <v>#DIV/0!</v>
      </c>
      <c r="AT302" s="497" t="e">
        <f t="shared" si="247"/>
        <v>#DIV/0!</v>
      </c>
      <c r="AU302" s="497" t="e">
        <f t="shared" si="248"/>
        <v>#DIV/0!</v>
      </c>
      <c r="AV302" s="497" t="e">
        <f t="shared" si="249"/>
        <v>#DIV/0!</v>
      </c>
      <c r="AW302" s="497">
        <f t="shared" si="250"/>
        <v>3088.4699984485301</v>
      </c>
      <c r="AX302" s="497" t="e">
        <f t="shared" si="251"/>
        <v>#DIV/0!</v>
      </c>
      <c r="AY302" s="486" t="e">
        <f t="shared" si="252"/>
        <v>#DIV/0!</v>
      </c>
      <c r="AZ302" s="497" t="e">
        <f t="shared" si="253"/>
        <v>#DIV/0!</v>
      </c>
      <c r="BA302" s="486">
        <f t="shared" si="243"/>
        <v>0</v>
      </c>
      <c r="BB302" s="494">
        <v>5155.41</v>
      </c>
      <c r="BC302" s="494">
        <v>2070.12</v>
      </c>
      <c r="BD302" s="494">
        <v>848.92</v>
      </c>
      <c r="BE302" s="494">
        <v>819.73</v>
      </c>
      <c r="BF302" s="494">
        <v>611.5</v>
      </c>
      <c r="BG302" s="494">
        <v>1080.04</v>
      </c>
      <c r="BH302" s="494">
        <v>2671800.0099999998</v>
      </c>
      <c r="BI302" s="494">
        <f t="shared" si="288"/>
        <v>4422.8500000000004</v>
      </c>
      <c r="BJ302" s="494">
        <v>14289.54</v>
      </c>
      <c r="BK302" s="494">
        <v>3389.61</v>
      </c>
      <c r="BL302" s="494">
        <v>5995.76</v>
      </c>
      <c r="BM302" s="494">
        <v>548.62</v>
      </c>
      <c r="BN302" s="493" t="e">
        <f t="shared" si="254"/>
        <v>#DIV/0!</v>
      </c>
      <c r="BO302" s="493" t="e">
        <f t="shared" si="255"/>
        <v>#DIV/0!</v>
      </c>
      <c r="BP302" s="493" t="e">
        <f t="shared" si="256"/>
        <v>#DIV/0!</v>
      </c>
      <c r="BQ302" s="493" t="e">
        <f t="shared" si="257"/>
        <v>#DIV/0!</v>
      </c>
      <c r="BR302" s="493" t="e">
        <f t="shared" si="258"/>
        <v>#DIV/0!</v>
      </c>
      <c r="BS302" s="493" t="e">
        <f t="shared" si="259"/>
        <v>#DIV/0!</v>
      </c>
      <c r="BT302" s="493" t="e">
        <f t="shared" si="260"/>
        <v>#DIV/0!</v>
      </c>
      <c r="BU302" s="493" t="str">
        <f t="shared" si="261"/>
        <v xml:space="preserve"> </v>
      </c>
      <c r="BV302" s="493" t="e">
        <f t="shared" si="262"/>
        <v>#DIV/0!</v>
      </c>
      <c r="BW302" s="493" t="e">
        <f t="shared" si="263"/>
        <v>#DIV/0!</v>
      </c>
      <c r="BX302" s="493" t="e">
        <f t="shared" si="264"/>
        <v>#DIV/0!</v>
      </c>
      <c r="BY302" s="493" t="str">
        <f t="shared" si="265"/>
        <v xml:space="preserve"> </v>
      </c>
    </row>
    <row r="303" spans="1:77" s="28" customFormat="1" ht="13.5" customHeight="1">
      <c r="A303" s="833" t="s">
        <v>1033</v>
      </c>
      <c r="B303" s="834"/>
      <c r="C303" s="834"/>
      <c r="D303" s="834"/>
      <c r="E303" s="834"/>
      <c r="F303" s="834"/>
      <c r="G303" s="834"/>
      <c r="H303" s="834"/>
      <c r="I303" s="834"/>
      <c r="J303" s="834"/>
      <c r="K303" s="834"/>
      <c r="L303" s="834"/>
      <c r="M303" s="834"/>
      <c r="N303" s="834"/>
      <c r="O303" s="834"/>
      <c r="P303" s="834"/>
      <c r="Q303" s="834"/>
      <c r="R303" s="834"/>
      <c r="S303" s="834"/>
      <c r="T303" s="834"/>
      <c r="U303" s="834"/>
      <c r="V303" s="834"/>
      <c r="W303" s="834"/>
      <c r="X303" s="834"/>
      <c r="Y303" s="834"/>
      <c r="Z303" s="834"/>
      <c r="AA303" s="834"/>
      <c r="AB303" s="834"/>
      <c r="AC303" s="834"/>
      <c r="AD303" s="834"/>
      <c r="AE303" s="834"/>
      <c r="AF303" s="834"/>
      <c r="AG303" s="834"/>
      <c r="AH303" s="834"/>
      <c r="AI303" s="834"/>
      <c r="AJ303" s="834"/>
      <c r="AK303" s="834"/>
      <c r="AL303" s="835"/>
      <c r="AM303" s="280"/>
      <c r="AN303" s="280"/>
      <c r="AP303" s="486" t="e">
        <f t="shared" si="242"/>
        <v>#DIV/0!</v>
      </c>
      <c r="AQ303" s="486" t="e">
        <f t="shared" si="244"/>
        <v>#DIV/0!</v>
      </c>
      <c r="AR303" s="497" t="e">
        <f t="shared" si="245"/>
        <v>#DIV/0!</v>
      </c>
      <c r="AS303" s="497" t="e">
        <f t="shared" si="246"/>
        <v>#DIV/0!</v>
      </c>
      <c r="AT303" s="497" t="e">
        <f t="shared" si="247"/>
        <v>#DIV/0!</v>
      </c>
      <c r="AU303" s="497" t="e">
        <f t="shared" si="248"/>
        <v>#DIV/0!</v>
      </c>
      <c r="AV303" s="497" t="e">
        <f t="shared" si="249"/>
        <v>#DIV/0!</v>
      </c>
      <c r="AW303" s="497" t="e">
        <f t="shared" si="250"/>
        <v>#DIV/0!</v>
      </c>
      <c r="AX303" s="497" t="e">
        <f t="shared" si="251"/>
        <v>#DIV/0!</v>
      </c>
      <c r="AY303" s="486" t="e">
        <f t="shared" si="252"/>
        <v>#DIV/0!</v>
      </c>
      <c r="AZ303" s="497" t="e">
        <f t="shared" si="253"/>
        <v>#DIV/0!</v>
      </c>
      <c r="BA303" s="486" t="e">
        <f t="shared" si="243"/>
        <v>#DIV/0!</v>
      </c>
      <c r="BB303" s="494">
        <v>5155.41</v>
      </c>
      <c r="BC303" s="494">
        <v>2070.12</v>
      </c>
      <c r="BD303" s="494">
        <v>848.92</v>
      </c>
      <c r="BE303" s="494">
        <v>819.73</v>
      </c>
      <c r="BF303" s="494">
        <v>611.5</v>
      </c>
      <c r="BG303" s="494">
        <v>1080.04</v>
      </c>
      <c r="BH303" s="494">
        <v>2671800.0099999998</v>
      </c>
      <c r="BI303" s="494">
        <f t="shared" si="288"/>
        <v>4422.8500000000004</v>
      </c>
      <c r="BJ303" s="494">
        <v>14289.54</v>
      </c>
      <c r="BK303" s="494">
        <v>3389.61</v>
      </c>
      <c r="BL303" s="494">
        <v>5995.76</v>
      </c>
      <c r="BM303" s="494">
        <v>548.62</v>
      </c>
      <c r="BN303" s="493" t="e">
        <f t="shared" si="254"/>
        <v>#DIV/0!</v>
      </c>
      <c r="BO303" s="493" t="e">
        <f t="shared" si="255"/>
        <v>#DIV/0!</v>
      </c>
      <c r="BP303" s="493" t="e">
        <f t="shared" si="256"/>
        <v>#DIV/0!</v>
      </c>
      <c r="BQ303" s="493" t="e">
        <f t="shared" si="257"/>
        <v>#DIV/0!</v>
      </c>
      <c r="BR303" s="493" t="e">
        <f t="shared" si="258"/>
        <v>#DIV/0!</v>
      </c>
      <c r="BS303" s="493" t="e">
        <f t="shared" si="259"/>
        <v>#DIV/0!</v>
      </c>
      <c r="BT303" s="493" t="e">
        <f t="shared" si="260"/>
        <v>#DIV/0!</v>
      </c>
      <c r="BU303" s="493" t="e">
        <f t="shared" si="261"/>
        <v>#DIV/0!</v>
      </c>
      <c r="BV303" s="493" t="e">
        <f t="shared" si="262"/>
        <v>#DIV/0!</v>
      </c>
      <c r="BW303" s="493" t="e">
        <f t="shared" si="263"/>
        <v>#DIV/0!</v>
      </c>
      <c r="BX303" s="493" t="e">
        <f t="shared" si="264"/>
        <v>#DIV/0!</v>
      </c>
      <c r="BY303" s="493" t="e">
        <f t="shared" si="265"/>
        <v>#DIV/0!</v>
      </c>
    </row>
    <row r="304" spans="1:77" s="28" customFormat="1" ht="9" customHeight="1">
      <c r="A304" s="184">
        <v>238</v>
      </c>
      <c r="B304" s="277" t="s">
        <v>941</v>
      </c>
      <c r="C304" s="400">
        <v>862.8</v>
      </c>
      <c r="D304" s="376"/>
      <c r="E304" s="189" t="s">
        <v>1005</v>
      </c>
      <c r="F304" s="400"/>
      <c r="G304" s="400"/>
      <c r="H304" s="195">
        <v>3121624.2</v>
      </c>
      <c r="I304" s="368">
        <f t="shared" ref="I304:I305" si="299">J304+L304+N304+P304+R304+T304</f>
        <v>0</v>
      </c>
      <c r="J304" s="217">
        <v>0</v>
      </c>
      <c r="K304" s="469">
        <v>0</v>
      </c>
      <c r="L304" s="217">
        <v>0</v>
      </c>
      <c r="M304" s="469">
        <v>0</v>
      </c>
      <c r="N304" s="217">
        <v>0</v>
      </c>
      <c r="O304" s="249">
        <v>0</v>
      </c>
      <c r="P304" s="368">
        <v>0</v>
      </c>
      <c r="Q304" s="249">
        <v>0</v>
      </c>
      <c r="R304" s="368">
        <v>0</v>
      </c>
      <c r="S304" s="249">
        <v>0</v>
      </c>
      <c r="T304" s="368">
        <v>0</v>
      </c>
      <c r="U304" s="130">
        <v>0</v>
      </c>
      <c r="V304" s="368">
        <v>0</v>
      </c>
      <c r="W304" s="25">
        <v>936.3</v>
      </c>
      <c r="X304" s="368">
        <f t="shared" ref="X304:X305" si="300">ROUND(H304/100*95.5,2)</f>
        <v>2981151.11</v>
      </c>
      <c r="Y304" s="370">
        <v>0</v>
      </c>
      <c r="Z304" s="370">
        <v>0</v>
      </c>
      <c r="AA304" s="370">
        <v>0</v>
      </c>
      <c r="AB304" s="370">
        <v>0</v>
      </c>
      <c r="AC304" s="370">
        <v>0</v>
      </c>
      <c r="AD304" s="370">
        <v>0</v>
      </c>
      <c r="AE304" s="370">
        <v>0</v>
      </c>
      <c r="AF304" s="370">
        <v>0</v>
      </c>
      <c r="AG304" s="370">
        <v>0</v>
      </c>
      <c r="AH304" s="370">
        <v>0</v>
      </c>
      <c r="AI304" s="370">
        <v>0</v>
      </c>
      <c r="AJ304" s="370">
        <f t="shared" ref="AJ304:AJ305" si="301">ROUND(H304/100*3,2)</f>
        <v>93648.73</v>
      </c>
      <c r="AK304" s="370">
        <f t="shared" ref="AK304:AK305" si="302">ROUND(H304/100*1.5,2)</f>
        <v>46824.36</v>
      </c>
      <c r="AL304" s="370">
        <v>0</v>
      </c>
      <c r="AM304" s="446"/>
      <c r="AN304" s="446"/>
      <c r="AP304" s="486" t="e">
        <f t="shared" si="242"/>
        <v>#DIV/0!</v>
      </c>
      <c r="AQ304" s="486" t="e">
        <f t="shared" si="244"/>
        <v>#DIV/0!</v>
      </c>
      <c r="AR304" s="486" t="e">
        <f t="shared" si="245"/>
        <v>#DIV/0!</v>
      </c>
      <c r="AS304" s="486" t="e">
        <f t="shared" si="246"/>
        <v>#DIV/0!</v>
      </c>
      <c r="AT304" s="486" t="e">
        <f t="shared" si="247"/>
        <v>#DIV/0!</v>
      </c>
      <c r="AU304" s="486" t="e">
        <f t="shared" si="248"/>
        <v>#DIV/0!</v>
      </c>
      <c r="AV304" s="486" t="e">
        <f t="shared" si="249"/>
        <v>#DIV/0!</v>
      </c>
      <c r="AW304" s="486">
        <f t="shared" si="250"/>
        <v>3183.9699989319661</v>
      </c>
      <c r="AX304" s="486" t="e">
        <f t="shared" si="251"/>
        <v>#DIV/0!</v>
      </c>
      <c r="AY304" s="486" t="e">
        <f t="shared" si="252"/>
        <v>#DIV/0!</v>
      </c>
      <c r="AZ304" s="486" t="e">
        <f t="shared" si="253"/>
        <v>#DIV/0!</v>
      </c>
      <c r="BA304" s="486">
        <f t="shared" si="243"/>
        <v>0</v>
      </c>
      <c r="BB304" s="494">
        <v>5155.41</v>
      </c>
      <c r="BC304" s="494">
        <v>2070.12</v>
      </c>
      <c r="BD304" s="494">
        <v>848.92</v>
      </c>
      <c r="BE304" s="494">
        <v>819.73</v>
      </c>
      <c r="BF304" s="494">
        <v>611.5</v>
      </c>
      <c r="BG304" s="494">
        <v>1080.04</v>
      </c>
      <c r="BH304" s="494">
        <v>2671800.0099999998</v>
      </c>
      <c r="BI304" s="494">
        <f t="shared" si="288"/>
        <v>4607.6000000000004</v>
      </c>
      <c r="BJ304" s="494">
        <v>14289.54</v>
      </c>
      <c r="BK304" s="494">
        <v>3389.61</v>
      </c>
      <c r="BL304" s="494">
        <v>5995.76</v>
      </c>
      <c r="BM304" s="494">
        <v>548.62</v>
      </c>
      <c r="BN304" s="495" t="e">
        <f t="shared" si="254"/>
        <v>#DIV/0!</v>
      </c>
      <c r="BO304" s="495" t="e">
        <f t="shared" si="255"/>
        <v>#DIV/0!</v>
      </c>
      <c r="BP304" s="495" t="e">
        <f t="shared" si="256"/>
        <v>#DIV/0!</v>
      </c>
      <c r="BQ304" s="495" t="e">
        <f t="shared" si="257"/>
        <v>#DIV/0!</v>
      </c>
      <c r="BR304" s="495" t="e">
        <f t="shared" si="258"/>
        <v>#DIV/0!</v>
      </c>
      <c r="BS304" s="495" t="e">
        <f t="shared" si="259"/>
        <v>#DIV/0!</v>
      </c>
      <c r="BT304" s="495" t="e">
        <f t="shared" si="260"/>
        <v>#DIV/0!</v>
      </c>
      <c r="BU304" s="495" t="str">
        <f t="shared" si="261"/>
        <v xml:space="preserve"> </v>
      </c>
      <c r="BV304" s="495" t="e">
        <f t="shared" si="262"/>
        <v>#DIV/0!</v>
      </c>
      <c r="BW304" s="495" t="e">
        <f t="shared" si="263"/>
        <v>#DIV/0!</v>
      </c>
      <c r="BX304" s="495" t="e">
        <f t="shared" si="264"/>
        <v>#DIV/0!</v>
      </c>
      <c r="BY304" s="495" t="str">
        <f t="shared" si="265"/>
        <v xml:space="preserve"> </v>
      </c>
    </row>
    <row r="305" spans="1:77" s="28" customFormat="1" ht="9" customHeight="1">
      <c r="A305" s="184">
        <v>239</v>
      </c>
      <c r="B305" s="277" t="s">
        <v>1035</v>
      </c>
      <c r="C305" s="400">
        <v>2734.24</v>
      </c>
      <c r="D305" s="376"/>
      <c r="E305" s="189" t="s">
        <v>1005</v>
      </c>
      <c r="F305" s="400"/>
      <c r="G305" s="400"/>
      <c r="H305" s="195">
        <v>2590518</v>
      </c>
      <c r="I305" s="368">
        <f t="shared" si="299"/>
        <v>0</v>
      </c>
      <c r="J305" s="217">
        <v>0</v>
      </c>
      <c r="K305" s="469">
        <v>0</v>
      </c>
      <c r="L305" s="217">
        <v>0</v>
      </c>
      <c r="M305" s="469">
        <v>0</v>
      </c>
      <c r="N305" s="217">
        <v>0</v>
      </c>
      <c r="O305" s="249">
        <v>0</v>
      </c>
      <c r="P305" s="368">
        <v>0</v>
      </c>
      <c r="Q305" s="249">
        <v>0</v>
      </c>
      <c r="R305" s="368">
        <v>0</v>
      </c>
      <c r="S305" s="249">
        <v>0</v>
      </c>
      <c r="T305" s="368">
        <v>0</v>
      </c>
      <c r="U305" s="130">
        <v>0</v>
      </c>
      <c r="V305" s="368">
        <v>0</v>
      </c>
      <c r="W305" s="25">
        <v>777</v>
      </c>
      <c r="X305" s="368">
        <f t="shared" si="300"/>
        <v>2473944.69</v>
      </c>
      <c r="Y305" s="370">
        <v>0</v>
      </c>
      <c r="Z305" s="370">
        <v>0</v>
      </c>
      <c r="AA305" s="370">
        <v>0</v>
      </c>
      <c r="AB305" s="370">
        <v>0</v>
      </c>
      <c r="AC305" s="370">
        <v>0</v>
      </c>
      <c r="AD305" s="370">
        <v>0</v>
      </c>
      <c r="AE305" s="370">
        <v>0</v>
      </c>
      <c r="AF305" s="370">
        <v>0</v>
      </c>
      <c r="AG305" s="370">
        <v>0</v>
      </c>
      <c r="AH305" s="370">
        <v>0</v>
      </c>
      <c r="AI305" s="370">
        <v>0</v>
      </c>
      <c r="AJ305" s="370">
        <f t="shared" si="301"/>
        <v>77715.539999999994</v>
      </c>
      <c r="AK305" s="370">
        <f t="shared" si="302"/>
        <v>38857.769999999997</v>
      </c>
      <c r="AL305" s="370">
        <v>0</v>
      </c>
      <c r="AM305" s="446"/>
      <c r="AN305" s="446"/>
      <c r="AP305" s="486" t="e">
        <f t="shared" si="242"/>
        <v>#DIV/0!</v>
      </c>
      <c r="AQ305" s="486" t="e">
        <f t="shared" si="244"/>
        <v>#DIV/0!</v>
      </c>
      <c r="AR305" s="486" t="e">
        <f t="shared" si="245"/>
        <v>#DIV/0!</v>
      </c>
      <c r="AS305" s="486" t="e">
        <f t="shared" si="246"/>
        <v>#DIV/0!</v>
      </c>
      <c r="AT305" s="486" t="e">
        <f t="shared" si="247"/>
        <v>#DIV/0!</v>
      </c>
      <c r="AU305" s="486" t="e">
        <f t="shared" si="248"/>
        <v>#DIV/0!</v>
      </c>
      <c r="AV305" s="486" t="e">
        <f t="shared" si="249"/>
        <v>#DIV/0!</v>
      </c>
      <c r="AW305" s="486">
        <f t="shared" si="250"/>
        <v>3183.97</v>
      </c>
      <c r="AX305" s="486" t="e">
        <f t="shared" si="251"/>
        <v>#DIV/0!</v>
      </c>
      <c r="AY305" s="486" t="e">
        <f t="shared" si="252"/>
        <v>#DIV/0!</v>
      </c>
      <c r="AZ305" s="486" t="e">
        <f t="shared" si="253"/>
        <v>#DIV/0!</v>
      </c>
      <c r="BA305" s="486">
        <f t="shared" si="243"/>
        <v>0</v>
      </c>
      <c r="BB305" s="494">
        <v>5155.41</v>
      </c>
      <c r="BC305" s="494">
        <v>2070.12</v>
      </c>
      <c r="BD305" s="494">
        <v>848.92</v>
      </c>
      <c r="BE305" s="494">
        <v>819.73</v>
      </c>
      <c r="BF305" s="494">
        <v>611.5</v>
      </c>
      <c r="BG305" s="494">
        <v>1080.04</v>
      </c>
      <c r="BH305" s="494">
        <v>2671800.0099999998</v>
      </c>
      <c r="BI305" s="494">
        <f t="shared" si="288"/>
        <v>4607.6000000000004</v>
      </c>
      <c r="BJ305" s="494">
        <v>14289.54</v>
      </c>
      <c r="BK305" s="494">
        <v>3389.61</v>
      </c>
      <c r="BL305" s="494">
        <v>5995.76</v>
      </c>
      <c r="BM305" s="494">
        <v>548.62</v>
      </c>
      <c r="BN305" s="495" t="e">
        <f t="shared" si="254"/>
        <v>#DIV/0!</v>
      </c>
      <c r="BO305" s="495" t="e">
        <f t="shared" si="255"/>
        <v>#DIV/0!</v>
      </c>
      <c r="BP305" s="495" t="e">
        <f t="shared" si="256"/>
        <v>#DIV/0!</v>
      </c>
      <c r="BQ305" s="495" t="e">
        <f t="shared" si="257"/>
        <v>#DIV/0!</v>
      </c>
      <c r="BR305" s="495" t="e">
        <f t="shared" si="258"/>
        <v>#DIV/0!</v>
      </c>
      <c r="BS305" s="495" t="e">
        <f t="shared" si="259"/>
        <v>#DIV/0!</v>
      </c>
      <c r="BT305" s="495" t="e">
        <f t="shared" si="260"/>
        <v>#DIV/0!</v>
      </c>
      <c r="BU305" s="495" t="str">
        <f t="shared" si="261"/>
        <v xml:space="preserve"> </v>
      </c>
      <c r="BV305" s="495" t="e">
        <f t="shared" si="262"/>
        <v>#DIV/0!</v>
      </c>
      <c r="BW305" s="495" t="e">
        <f t="shared" si="263"/>
        <v>#DIV/0!</v>
      </c>
      <c r="BX305" s="495" t="e">
        <f t="shared" si="264"/>
        <v>#DIV/0!</v>
      </c>
      <c r="BY305" s="495" t="str">
        <f t="shared" si="265"/>
        <v xml:space="preserve"> </v>
      </c>
    </row>
    <row r="306" spans="1:77" s="28" customFormat="1" ht="36.75" customHeight="1">
      <c r="A306" s="958" t="s">
        <v>1034</v>
      </c>
      <c r="B306" s="958"/>
      <c r="C306" s="189">
        <f>SUM(C304:C305)</f>
        <v>3597.04</v>
      </c>
      <c r="D306" s="401"/>
      <c r="E306" s="189" t="s">
        <v>391</v>
      </c>
      <c r="F306" s="400"/>
      <c r="G306" s="400"/>
      <c r="H306" s="189">
        <f>SUM(H304:H305)</f>
        <v>5712142.2000000002</v>
      </c>
      <c r="I306" s="189">
        <f t="shared" ref="I306:AN306" si="303">SUM(I304:I305)</f>
        <v>0</v>
      </c>
      <c r="J306" s="189">
        <f t="shared" si="303"/>
        <v>0</v>
      </c>
      <c r="K306" s="189">
        <f t="shared" si="303"/>
        <v>0</v>
      </c>
      <c r="L306" s="189">
        <f t="shared" si="303"/>
        <v>0</v>
      </c>
      <c r="M306" s="189">
        <f t="shared" si="303"/>
        <v>0</v>
      </c>
      <c r="N306" s="189">
        <f t="shared" si="303"/>
        <v>0</v>
      </c>
      <c r="O306" s="189">
        <f t="shared" si="303"/>
        <v>0</v>
      </c>
      <c r="P306" s="189">
        <f t="shared" si="303"/>
        <v>0</v>
      </c>
      <c r="Q306" s="189">
        <f t="shared" si="303"/>
        <v>0</v>
      </c>
      <c r="R306" s="189">
        <f t="shared" si="303"/>
        <v>0</v>
      </c>
      <c r="S306" s="189">
        <f t="shared" si="303"/>
        <v>0</v>
      </c>
      <c r="T306" s="189">
        <f t="shared" si="303"/>
        <v>0</v>
      </c>
      <c r="U306" s="219">
        <f t="shared" si="303"/>
        <v>0</v>
      </c>
      <c r="V306" s="189">
        <f t="shared" si="303"/>
        <v>0</v>
      </c>
      <c r="W306" s="189">
        <f t="shared" si="303"/>
        <v>1713.3</v>
      </c>
      <c r="X306" s="189">
        <f t="shared" si="303"/>
        <v>5455095.7999999998</v>
      </c>
      <c r="Y306" s="189">
        <f t="shared" si="303"/>
        <v>0</v>
      </c>
      <c r="Z306" s="189">
        <f t="shared" si="303"/>
        <v>0</v>
      </c>
      <c r="AA306" s="189">
        <f t="shared" si="303"/>
        <v>0</v>
      </c>
      <c r="AB306" s="189">
        <f t="shared" si="303"/>
        <v>0</v>
      </c>
      <c r="AC306" s="189">
        <f t="shared" si="303"/>
        <v>0</v>
      </c>
      <c r="AD306" s="189">
        <f t="shared" si="303"/>
        <v>0</v>
      </c>
      <c r="AE306" s="189">
        <f t="shared" si="303"/>
        <v>0</v>
      </c>
      <c r="AF306" s="189">
        <f t="shared" si="303"/>
        <v>0</v>
      </c>
      <c r="AG306" s="189">
        <f t="shared" si="303"/>
        <v>0</v>
      </c>
      <c r="AH306" s="189">
        <f t="shared" si="303"/>
        <v>0</v>
      </c>
      <c r="AI306" s="189">
        <f t="shared" si="303"/>
        <v>0</v>
      </c>
      <c r="AJ306" s="189">
        <f t="shared" si="303"/>
        <v>171364.27</v>
      </c>
      <c r="AK306" s="189">
        <f t="shared" si="303"/>
        <v>85682.13</v>
      </c>
      <c r="AL306" s="189">
        <f t="shared" si="303"/>
        <v>0</v>
      </c>
      <c r="AM306" s="189">
        <f t="shared" si="303"/>
        <v>0</v>
      </c>
      <c r="AN306" s="189">
        <f t="shared" si="303"/>
        <v>0</v>
      </c>
      <c r="AP306" s="486" t="e">
        <f t="shared" si="242"/>
        <v>#DIV/0!</v>
      </c>
      <c r="AQ306" s="486" t="e">
        <f t="shared" si="244"/>
        <v>#DIV/0!</v>
      </c>
      <c r="AR306" s="497" t="e">
        <f t="shared" si="245"/>
        <v>#DIV/0!</v>
      </c>
      <c r="AS306" s="497" t="e">
        <f t="shared" si="246"/>
        <v>#DIV/0!</v>
      </c>
      <c r="AT306" s="497" t="e">
        <f t="shared" si="247"/>
        <v>#DIV/0!</v>
      </c>
      <c r="AU306" s="497" t="e">
        <f t="shared" si="248"/>
        <v>#DIV/0!</v>
      </c>
      <c r="AV306" s="497" t="e">
        <f t="shared" si="249"/>
        <v>#DIV/0!</v>
      </c>
      <c r="AW306" s="497">
        <f t="shared" si="250"/>
        <v>3183.9699994163311</v>
      </c>
      <c r="AX306" s="497" t="e">
        <f t="shared" si="251"/>
        <v>#DIV/0!</v>
      </c>
      <c r="AY306" s="486" t="e">
        <f t="shared" si="252"/>
        <v>#DIV/0!</v>
      </c>
      <c r="AZ306" s="497" t="e">
        <f t="shared" si="253"/>
        <v>#DIV/0!</v>
      </c>
      <c r="BA306" s="486">
        <f t="shared" si="243"/>
        <v>0</v>
      </c>
      <c r="BB306" s="494">
        <v>5155.41</v>
      </c>
      <c r="BC306" s="494">
        <v>2070.12</v>
      </c>
      <c r="BD306" s="494">
        <v>848.92</v>
      </c>
      <c r="BE306" s="494">
        <v>819.73</v>
      </c>
      <c r="BF306" s="494">
        <v>611.5</v>
      </c>
      <c r="BG306" s="494">
        <v>1080.04</v>
      </c>
      <c r="BH306" s="494">
        <v>2671800.0099999998</v>
      </c>
      <c r="BI306" s="494">
        <f t="shared" si="288"/>
        <v>4422.8500000000004</v>
      </c>
      <c r="BJ306" s="494">
        <v>14289.54</v>
      </c>
      <c r="BK306" s="494">
        <v>3389.61</v>
      </c>
      <c r="BL306" s="494">
        <v>5995.76</v>
      </c>
      <c r="BM306" s="494">
        <v>548.62</v>
      </c>
      <c r="BN306" s="493" t="e">
        <f t="shared" si="254"/>
        <v>#DIV/0!</v>
      </c>
      <c r="BO306" s="493" t="e">
        <f t="shared" si="255"/>
        <v>#DIV/0!</v>
      </c>
      <c r="BP306" s="493" t="e">
        <f t="shared" si="256"/>
        <v>#DIV/0!</v>
      </c>
      <c r="BQ306" s="493" t="e">
        <f t="shared" si="257"/>
        <v>#DIV/0!</v>
      </c>
      <c r="BR306" s="493" t="e">
        <f t="shared" si="258"/>
        <v>#DIV/0!</v>
      </c>
      <c r="BS306" s="493" t="e">
        <f t="shared" si="259"/>
        <v>#DIV/0!</v>
      </c>
      <c r="BT306" s="493" t="e">
        <f t="shared" si="260"/>
        <v>#DIV/0!</v>
      </c>
      <c r="BU306" s="493" t="str">
        <f t="shared" si="261"/>
        <v xml:space="preserve"> </v>
      </c>
      <c r="BV306" s="493" t="e">
        <f t="shared" si="262"/>
        <v>#DIV/0!</v>
      </c>
      <c r="BW306" s="493" t="e">
        <f t="shared" si="263"/>
        <v>#DIV/0!</v>
      </c>
      <c r="BX306" s="493" t="e">
        <f t="shared" si="264"/>
        <v>#DIV/0!</v>
      </c>
      <c r="BY306" s="493" t="str">
        <f t="shared" si="265"/>
        <v xml:space="preserve"> </v>
      </c>
    </row>
    <row r="307" spans="1:77" s="28" customFormat="1" ht="14.25" customHeight="1">
      <c r="A307" s="874" t="s">
        <v>3</v>
      </c>
      <c r="B307" s="875"/>
      <c r="C307" s="875"/>
      <c r="D307" s="875"/>
      <c r="E307" s="875"/>
      <c r="F307" s="875"/>
      <c r="G307" s="875"/>
      <c r="H307" s="875"/>
      <c r="I307" s="875"/>
      <c r="J307" s="875"/>
      <c r="K307" s="875"/>
      <c r="L307" s="875"/>
      <c r="M307" s="875"/>
      <c r="N307" s="875"/>
      <c r="O307" s="875"/>
      <c r="P307" s="875"/>
      <c r="Q307" s="875"/>
      <c r="R307" s="875"/>
      <c r="S307" s="875"/>
      <c r="T307" s="875"/>
      <c r="U307" s="875"/>
      <c r="V307" s="875"/>
      <c r="W307" s="875"/>
      <c r="X307" s="875"/>
      <c r="Y307" s="875"/>
      <c r="Z307" s="875"/>
      <c r="AA307" s="875"/>
      <c r="AB307" s="875"/>
      <c r="AC307" s="875"/>
      <c r="AD307" s="875"/>
      <c r="AE307" s="875"/>
      <c r="AF307" s="875"/>
      <c r="AG307" s="875"/>
      <c r="AH307" s="875"/>
      <c r="AI307" s="875"/>
      <c r="AJ307" s="875"/>
      <c r="AK307" s="875"/>
      <c r="AL307" s="876"/>
      <c r="AM307" s="280"/>
      <c r="AN307" s="280"/>
      <c r="AP307" s="486" t="e">
        <f t="shared" si="242"/>
        <v>#DIV/0!</v>
      </c>
      <c r="AQ307" s="486" t="e">
        <f t="shared" si="244"/>
        <v>#DIV/0!</v>
      </c>
      <c r="AR307" s="497" t="e">
        <f t="shared" si="245"/>
        <v>#DIV/0!</v>
      </c>
      <c r="AS307" s="497" t="e">
        <f t="shared" si="246"/>
        <v>#DIV/0!</v>
      </c>
      <c r="AT307" s="497" t="e">
        <f t="shared" si="247"/>
        <v>#DIV/0!</v>
      </c>
      <c r="AU307" s="497" t="e">
        <f t="shared" si="248"/>
        <v>#DIV/0!</v>
      </c>
      <c r="AV307" s="497" t="e">
        <f t="shared" si="249"/>
        <v>#DIV/0!</v>
      </c>
      <c r="AW307" s="497" t="e">
        <f t="shared" si="250"/>
        <v>#DIV/0!</v>
      </c>
      <c r="AX307" s="497" t="e">
        <f t="shared" si="251"/>
        <v>#DIV/0!</v>
      </c>
      <c r="AY307" s="486" t="e">
        <f t="shared" si="252"/>
        <v>#DIV/0!</v>
      </c>
      <c r="AZ307" s="497" t="e">
        <f t="shared" si="253"/>
        <v>#DIV/0!</v>
      </c>
      <c r="BA307" s="486" t="e">
        <f t="shared" si="243"/>
        <v>#DIV/0!</v>
      </c>
      <c r="BB307" s="494">
        <v>5155.41</v>
      </c>
      <c r="BC307" s="494">
        <v>2070.12</v>
      </c>
      <c r="BD307" s="494">
        <v>848.92</v>
      </c>
      <c r="BE307" s="494">
        <v>819.73</v>
      </c>
      <c r="BF307" s="494">
        <v>611.5</v>
      </c>
      <c r="BG307" s="494">
        <v>1080.04</v>
      </c>
      <c r="BH307" s="494">
        <v>2671800.0099999998</v>
      </c>
      <c r="BI307" s="494">
        <f t="shared" si="288"/>
        <v>4422.8500000000004</v>
      </c>
      <c r="BJ307" s="494">
        <v>14289.54</v>
      </c>
      <c r="BK307" s="494">
        <v>3389.61</v>
      </c>
      <c r="BL307" s="494">
        <v>5995.76</v>
      </c>
      <c r="BM307" s="494">
        <v>548.62</v>
      </c>
      <c r="BN307" s="493" t="e">
        <f t="shared" si="254"/>
        <v>#DIV/0!</v>
      </c>
      <c r="BO307" s="493" t="e">
        <f t="shared" si="255"/>
        <v>#DIV/0!</v>
      </c>
      <c r="BP307" s="493" t="e">
        <f t="shared" si="256"/>
        <v>#DIV/0!</v>
      </c>
      <c r="BQ307" s="493" t="e">
        <f t="shared" si="257"/>
        <v>#DIV/0!</v>
      </c>
      <c r="BR307" s="493" t="e">
        <f t="shared" si="258"/>
        <v>#DIV/0!</v>
      </c>
      <c r="BS307" s="493" t="e">
        <f t="shared" si="259"/>
        <v>#DIV/0!</v>
      </c>
      <c r="BT307" s="493" t="e">
        <f t="shared" si="260"/>
        <v>#DIV/0!</v>
      </c>
      <c r="BU307" s="493" t="e">
        <f t="shared" si="261"/>
        <v>#DIV/0!</v>
      </c>
      <c r="BV307" s="493" t="e">
        <f t="shared" si="262"/>
        <v>#DIV/0!</v>
      </c>
      <c r="BW307" s="493" t="e">
        <f t="shared" si="263"/>
        <v>#DIV/0!</v>
      </c>
      <c r="BX307" s="493" t="e">
        <f t="shared" si="264"/>
        <v>#DIV/0!</v>
      </c>
      <c r="BY307" s="493" t="e">
        <f t="shared" si="265"/>
        <v>#DIV/0!</v>
      </c>
    </row>
    <row r="308" spans="1:77" s="28" customFormat="1" ht="9" customHeight="1">
      <c r="A308" s="191">
        <v>240</v>
      </c>
      <c r="B308" s="192" t="s">
        <v>944</v>
      </c>
      <c r="C308" s="402">
        <v>577.1</v>
      </c>
      <c r="D308" s="376"/>
      <c r="E308" s="195" t="s">
        <v>1006</v>
      </c>
      <c r="F308" s="402"/>
      <c r="G308" s="402"/>
      <c r="H308" s="195">
        <v>1699790.4</v>
      </c>
      <c r="I308" s="368">
        <f t="shared" ref="I308:I309" si="304">J308+L308+N308+P308+R308+T308</f>
        <v>0</v>
      </c>
      <c r="J308" s="217">
        <v>0</v>
      </c>
      <c r="K308" s="469">
        <v>0</v>
      </c>
      <c r="L308" s="217">
        <v>0</v>
      </c>
      <c r="M308" s="469">
        <v>0</v>
      </c>
      <c r="N308" s="217">
        <v>0</v>
      </c>
      <c r="O308" s="249">
        <v>0</v>
      </c>
      <c r="P308" s="368">
        <v>0</v>
      </c>
      <c r="Q308" s="249">
        <v>0</v>
      </c>
      <c r="R308" s="368">
        <v>0</v>
      </c>
      <c r="S308" s="249">
        <v>0</v>
      </c>
      <c r="T308" s="368">
        <v>0</v>
      </c>
      <c r="U308" s="130">
        <v>0</v>
      </c>
      <c r="V308" s="368">
        <v>0</v>
      </c>
      <c r="W308" s="49">
        <v>525.6</v>
      </c>
      <c r="X308" s="368">
        <f t="shared" ref="X308:X309" si="305">ROUND(H308/100*95.5,2)</f>
        <v>1623299.83</v>
      </c>
      <c r="Y308" s="370">
        <v>0</v>
      </c>
      <c r="Z308" s="370">
        <v>0</v>
      </c>
      <c r="AA308" s="370">
        <v>0</v>
      </c>
      <c r="AB308" s="370">
        <v>0</v>
      </c>
      <c r="AC308" s="370">
        <v>0</v>
      </c>
      <c r="AD308" s="370">
        <v>0</v>
      </c>
      <c r="AE308" s="370">
        <v>0</v>
      </c>
      <c r="AF308" s="370">
        <v>0</v>
      </c>
      <c r="AG308" s="370">
        <v>0</v>
      </c>
      <c r="AH308" s="370">
        <v>0</v>
      </c>
      <c r="AI308" s="370">
        <v>0</v>
      </c>
      <c r="AJ308" s="370">
        <f t="shared" ref="AJ308:AJ309" si="306">ROUND(H308/100*3,2)</f>
        <v>50993.71</v>
      </c>
      <c r="AK308" s="370">
        <f t="shared" ref="AK308:AK309" si="307">ROUND(H308/100*1.5,2)</f>
        <v>25496.86</v>
      </c>
      <c r="AL308" s="370">
        <v>0</v>
      </c>
      <c r="AM308" s="446"/>
      <c r="AN308" s="446"/>
      <c r="AP308" s="486" t="e">
        <f t="shared" si="242"/>
        <v>#DIV/0!</v>
      </c>
      <c r="AQ308" s="486" t="e">
        <f t="shared" si="244"/>
        <v>#DIV/0!</v>
      </c>
      <c r="AR308" s="486" t="e">
        <f t="shared" si="245"/>
        <v>#DIV/0!</v>
      </c>
      <c r="AS308" s="486" t="e">
        <f t="shared" si="246"/>
        <v>#DIV/0!</v>
      </c>
      <c r="AT308" s="486" t="e">
        <f t="shared" si="247"/>
        <v>#DIV/0!</v>
      </c>
      <c r="AU308" s="486" t="e">
        <f t="shared" si="248"/>
        <v>#DIV/0!</v>
      </c>
      <c r="AV308" s="486" t="e">
        <f t="shared" si="249"/>
        <v>#DIV/0!</v>
      </c>
      <c r="AW308" s="486">
        <f t="shared" si="250"/>
        <v>3088.4699961948249</v>
      </c>
      <c r="AX308" s="486" t="e">
        <f t="shared" si="251"/>
        <v>#DIV/0!</v>
      </c>
      <c r="AY308" s="486" t="e">
        <f t="shared" si="252"/>
        <v>#DIV/0!</v>
      </c>
      <c r="AZ308" s="486" t="e">
        <f t="shared" si="253"/>
        <v>#DIV/0!</v>
      </c>
      <c r="BA308" s="486">
        <f t="shared" si="243"/>
        <v>0</v>
      </c>
      <c r="BB308" s="494">
        <v>5155.41</v>
      </c>
      <c r="BC308" s="494">
        <v>2070.12</v>
      </c>
      <c r="BD308" s="494">
        <v>848.92</v>
      </c>
      <c r="BE308" s="494">
        <v>819.73</v>
      </c>
      <c r="BF308" s="494">
        <v>611.5</v>
      </c>
      <c r="BG308" s="494">
        <v>1080.04</v>
      </c>
      <c r="BH308" s="494">
        <v>2671800.0099999998</v>
      </c>
      <c r="BI308" s="494">
        <f t="shared" si="288"/>
        <v>4422.8500000000004</v>
      </c>
      <c r="BJ308" s="494">
        <v>14289.54</v>
      </c>
      <c r="BK308" s="494">
        <v>3389.61</v>
      </c>
      <c r="BL308" s="494">
        <v>5995.76</v>
      </c>
      <c r="BM308" s="494">
        <v>548.62</v>
      </c>
      <c r="BN308" s="495" t="e">
        <f t="shared" si="254"/>
        <v>#DIV/0!</v>
      </c>
      <c r="BO308" s="495" t="e">
        <f t="shared" si="255"/>
        <v>#DIV/0!</v>
      </c>
      <c r="BP308" s="495" t="e">
        <f t="shared" si="256"/>
        <v>#DIV/0!</v>
      </c>
      <c r="BQ308" s="495" t="e">
        <f t="shared" si="257"/>
        <v>#DIV/0!</v>
      </c>
      <c r="BR308" s="495" t="e">
        <f t="shared" si="258"/>
        <v>#DIV/0!</v>
      </c>
      <c r="BS308" s="495" t="e">
        <f t="shared" si="259"/>
        <v>#DIV/0!</v>
      </c>
      <c r="BT308" s="495" t="e">
        <f t="shared" si="260"/>
        <v>#DIV/0!</v>
      </c>
      <c r="BU308" s="495" t="str">
        <f t="shared" si="261"/>
        <v xml:space="preserve"> </v>
      </c>
      <c r="BV308" s="495" t="e">
        <f t="shared" si="262"/>
        <v>#DIV/0!</v>
      </c>
      <c r="BW308" s="495" t="e">
        <f t="shared" si="263"/>
        <v>#DIV/0!</v>
      </c>
      <c r="BX308" s="495" t="e">
        <f t="shared" si="264"/>
        <v>#DIV/0!</v>
      </c>
      <c r="BY308" s="495" t="str">
        <f t="shared" si="265"/>
        <v xml:space="preserve"> </v>
      </c>
    </row>
    <row r="309" spans="1:77" s="28" customFormat="1" ht="9" customHeight="1">
      <c r="A309" s="191">
        <v>241</v>
      </c>
      <c r="B309" s="192" t="s">
        <v>945</v>
      </c>
      <c r="C309" s="402">
        <v>995.08</v>
      </c>
      <c r="D309" s="376"/>
      <c r="E309" s="195" t="s">
        <v>1006</v>
      </c>
      <c r="F309" s="402"/>
      <c r="G309" s="402"/>
      <c r="H309" s="195">
        <v>2858856</v>
      </c>
      <c r="I309" s="368">
        <f t="shared" si="304"/>
        <v>0</v>
      </c>
      <c r="J309" s="217">
        <v>0</v>
      </c>
      <c r="K309" s="469">
        <v>0</v>
      </c>
      <c r="L309" s="217">
        <v>0</v>
      </c>
      <c r="M309" s="469">
        <v>0</v>
      </c>
      <c r="N309" s="217">
        <v>0</v>
      </c>
      <c r="O309" s="249">
        <v>0</v>
      </c>
      <c r="P309" s="368">
        <v>0</v>
      </c>
      <c r="Q309" s="249">
        <v>0</v>
      </c>
      <c r="R309" s="368">
        <v>0</v>
      </c>
      <c r="S309" s="249">
        <v>0</v>
      </c>
      <c r="T309" s="368">
        <v>0</v>
      </c>
      <c r="U309" s="130">
        <v>0</v>
      </c>
      <c r="V309" s="368">
        <v>0</v>
      </c>
      <c r="W309" s="49">
        <v>884</v>
      </c>
      <c r="X309" s="368">
        <f t="shared" si="305"/>
        <v>2730207.48</v>
      </c>
      <c r="Y309" s="370">
        <v>0</v>
      </c>
      <c r="Z309" s="370">
        <v>0</v>
      </c>
      <c r="AA309" s="370">
        <v>0</v>
      </c>
      <c r="AB309" s="370">
        <v>0</v>
      </c>
      <c r="AC309" s="370">
        <v>0</v>
      </c>
      <c r="AD309" s="370">
        <v>0</v>
      </c>
      <c r="AE309" s="370">
        <v>0</v>
      </c>
      <c r="AF309" s="370">
        <v>0</v>
      </c>
      <c r="AG309" s="370">
        <v>0</v>
      </c>
      <c r="AH309" s="370">
        <v>0</v>
      </c>
      <c r="AI309" s="370">
        <v>0</v>
      </c>
      <c r="AJ309" s="370">
        <f t="shared" si="306"/>
        <v>85765.68</v>
      </c>
      <c r="AK309" s="370">
        <f t="shared" si="307"/>
        <v>42882.84</v>
      </c>
      <c r="AL309" s="370">
        <v>0</v>
      </c>
      <c r="AM309" s="446"/>
      <c r="AN309" s="446"/>
      <c r="AP309" s="486" t="e">
        <f t="shared" si="242"/>
        <v>#DIV/0!</v>
      </c>
      <c r="AQ309" s="486" t="e">
        <f t="shared" si="244"/>
        <v>#DIV/0!</v>
      </c>
      <c r="AR309" s="486" t="e">
        <f t="shared" si="245"/>
        <v>#DIV/0!</v>
      </c>
      <c r="AS309" s="486" t="e">
        <f t="shared" si="246"/>
        <v>#DIV/0!</v>
      </c>
      <c r="AT309" s="486" t="e">
        <f t="shared" si="247"/>
        <v>#DIV/0!</v>
      </c>
      <c r="AU309" s="486" t="e">
        <f t="shared" si="248"/>
        <v>#DIV/0!</v>
      </c>
      <c r="AV309" s="486" t="e">
        <f t="shared" si="249"/>
        <v>#DIV/0!</v>
      </c>
      <c r="AW309" s="486">
        <f t="shared" si="250"/>
        <v>3088.47</v>
      </c>
      <c r="AX309" s="486" t="e">
        <f t="shared" si="251"/>
        <v>#DIV/0!</v>
      </c>
      <c r="AY309" s="486" t="e">
        <f t="shared" si="252"/>
        <v>#DIV/0!</v>
      </c>
      <c r="AZ309" s="486" t="e">
        <f t="shared" si="253"/>
        <v>#DIV/0!</v>
      </c>
      <c r="BA309" s="486">
        <f t="shared" si="243"/>
        <v>0</v>
      </c>
      <c r="BB309" s="494">
        <v>5155.41</v>
      </c>
      <c r="BC309" s="494">
        <v>2070.12</v>
      </c>
      <c r="BD309" s="494">
        <v>848.92</v>
      </c>
      <c r="BE309" s="494">
        <v>819.73</v>
      </c>
      <c r="BF309" s="494">
        <v>611.5</v>
      </c>
      <c r="BG309" s="494">
        <v>1080.04</v>
      </c>
      <c r="BH309" s="494">
        <v>2671800.0099999998</v>
      </c>
      <c r="BI309" s="494">
        <f t="shared" si="288"/>
        <v>4422.8500000000004</v>
      </c>
      <c r="BJ309" s="494">
        <v>14289.54</v>
      </c>
      <c r="BK309" s="494">
        <v>3389.61</v>
      </c>
      <c r="BL309" s="494">
        <v>5995.76</v>
      </c>
      <c r="BM309" s="494">
        <v>548.62</v>
      </c>
      <c r="BN309" s="495" t="e">
        <f t="shared" si="254"/>
        <v>#DIV/0!</v>
      </c>
      <c r="BO309" s="495" t="e">
        <f t="shared" si="255"/>
        <v>#DIV/0!</v>
      </c>
      <c r="BP309" s="495" t="e">
        <f t="shared" si="256"/>
        <v>#DIV/0!</v>
      </c>
      <c r="BQ309" s="495" t="e">
        <f t="shared" si="257"/>
        <v>#DIV/0!</v>
      </c>
      <c r="BR309" s="495" t="e">
        <f t="shared" si="258"/>
        <v>#DIV/0!</v>
      </c>
      <c r="BS309" s="495" t="e">
        <f t="shared" si="259"/>
        <v>#DIV/0!</v>
      </c>
      <c r="BT309" s="495" t="e">
        <f t="shared" si="260"/>
        <v>#DIV/0!</v>
      </c>
      <c r="BU309" s="495" t="str">
        <f t="shared" si="261"/>
        <v xml:space="preserve"> </v>
      </c>
      <c r="BV309" s="495" t="e">
        <f t="shared" si="262"/>
        <v>#DIV/0!</v>
      </c>
      <c r="BW309" s="495" t="e">
        <f t="shared" si="263"/>
        <v>#DIV/0!</v>
      </c>
      <c r="BX309" s="495" t="e">
        <f t="shared" si="264"/>
        <v>#DIV/0!</v>
      </c>
      <c r="BY309" s="495" t="str">
        <f t="shared" si="265"/>
        <v xml:space="preserve"> </v>
      </c>
    </row>
    <row r="310" spans="1:77" s="28" customFormat="1" ht="23.25" customHeight="1">
      <c r="A310" s="957" t="s">
        <v>6</v>
      </c>
      <c r="B310" s="957"/>
      <c r="C310" s="195">
        <f>SUM(C308:C309)</f>
        <v>1572.18</v>
      </c>
      <c r="D310" s="403"/>
      <c r="E310" s="362" t="s">
        <v>391</v>
      </c>
      <c r="F310" s="374"/>
      <c r="G310" s="374"/>
      <c r="H310" s="195">
        <f>SUM(H308:H309)</f>
        <v>4558646.4000000004</v>
      </c>
      <c r="I310" s="195">
        <f t="shared" ref="I310:AN310" si="308">SUM(I308:I309)</f>
        <v>0</v>
      </c>
      <c r="J310" s="195">
        <f t="shared" si="308"/>
        <v>0</v>
      </c>
      <c r="K310" s="195">
        <f t="shared" si="308"/>
        <v>0</v>
      </c>
      <c r="L310" s="195">
        <f t="shared" si="308"/>
        <v>0</v>
      </c>
      <c r="M310" s="195">
        <f t="shared" si="308"/>
        <v>0</v>
      </c>
      <c r="N310" s="195">
        <f t="shared" si="308"/>
        <v>0</v>
      </c>
      <c r="O310" s="195">
        <f t="shared" si="308"/>
        <v>0</v>
      </c>
      <c r="P310" s="195">
        <f t="shared" si="308"/>
        <v>0</v>
      </c>
      <c r="Q310" s="195">
        <f t="shared" si="308"/>
        <v>0</v>
      </c>
      <c r="R310" s="195">
        <f t="shared" si="308"/>
        <v>0</v>
      </c>
      <c r="S310" s="195">
        <f t="shared" si="308"/>
        <v>0</v>
      </c>
      <c r="T310" s="195">
        <f t="shared" si="308"/>
        <v>0</v>
      </c>
      <c r="U310" s="220">
        <f t="shared" si="308"/>
        <v>0</v>
      </c>
      <c r="V310" s="195">
        <f t="shared" si="308"/>
        <v>0</v>
      </c>
      <c r="W310" s="195">
        <f t="shared" si="308"/>
        <v>1409.6</v>
      </c>
      <c r="X310" s="195">
        <f t="shared" si="308"/>
        <v>4353507.3100000005</v>
      </c>
      <c r="Y310" s="195">
        <f t="shared" si="308"/>
        <v>0</v>
      </c>
      <c r="Z310" s="195">
        <f t="shared" si="308"/>
        <v>0</v>
      </c>
      <c r="AA310" s="195">
        <f t="shared" si="308"/>
        <v>0</v>
      </c>
      <c r="AB310" s="195">
        <f t="shared" si="308"/>
        <v>0</v>
      </c>
      <c r="AC310" s="195">
        <f t="shared" si="308"/>
        <v>0</v>
      </c>
      <c r="AD310" s="195">
        <f t="shared" si="308"/>
        <v>0</v>
      </c>
      <c r="AE310" s="195">
        <f t="shared" si="308"/>
        <v>0</v>
      </c>
      <c r="AF310" s="195">
        <f t="shared" si="308"/>
        <v>0</v>
      </c>
      <c r="AG310" s="195">
        <f t="shared" si="308"/>
        <v>0</v>
      </c>
      <c r="AH310" s="195">
        <f t="shared" si="308"/>
        <v>0</v>
      </c>
      <c r="AI310" s="195">
        <f t="shared" si="308"/>
        <v>0</v>
      </c>
      <c r="AJ310" s="195">
        <f t="shared" si="308"/>
        <v>136759.38999999998</v>
      </c>
      <c r="AK310" s="195">
        <f t="shared" si="308"/>
        <v>68379.7</v>
      </c>
      <c r="AL310" s="195">
        <f t="shared" si="308"/>
        <v>0</v>
      </c>
      <c r="AM310" s="195">
        <f t="shared" si="308"/>
        <v>0</v>
      </c>
      <c r="AN310" s="195">
        <f t="shared" si="308"/>
        <v>0</v>
      </c>
      <c r="AP310" s="486" t="e">
        <f t="shared" si="242"/>
        <v>#DIV/0!</v>
      </c>
      <c r="AQ310" s="486" t="e">
        <f t="shared" si="244"/>
        <v>#DIV/0!</v>
      </c>
      <c r="AR310" s="497" t="e">
        <f t="shared" si="245"/>
        <v>#DIV/0!</v>
      </c>
      <c r="AS310" s="497" t="e">
        <f t="shared" si="246"/>
        <v>#DIV/0!</v>
      </c>
      <c r="AT310" s="497" t="e">
        <f t="shared" si="247"/>
        <v>#DIV/0!</v>
      </c>
      <c r="AU310" s="497" t="e">
        <f t="shared" si="248"/>
        <v>#DIV/0!</v>
      </c>
      <c r="AV310" s="497" t="e">
        <f t="shared" si="249"/>
        <v>#DIV/0!</v>
      </c>
      <c r="AW310" s="497">
        <f t="shared" si="250"/>
        <v>3088.4699985811585</v>
      </c>
      <c r="AX310" s="497" t="e">
        <f t="shared" si="251"/>
        <v>#DIV/0!</v>
      </c>
      <c r="AY310" s="486" t="e">
        <f t="shared" si="252"/>
        <v>#DIV/0!</v>
      </c>
      <c r="AZ310" s="497" t="e">
        <f t="shared" si="253"/>
        <v>#DIV/0!</v>
      </c>
      <c r="BA310" s="486">
        <f t="shared" si="243"/>
        <v>0</v>
      </c>
      <c r="BB310" s="494">
        <v>5155.41</v>
      </c>
      <c r="BC310" s="494">
        <v>2070.12</v>
      </c>
      <c r="BD310" s="494">
        <v>848.92</v>
      </c>
      <c r="BE310" s="494">
        <v>819.73</v>
      </c>
      <c r="BF310" s="494">
        <v>611.5</v>
      </c>
      <c r="BG310" s="494">
        <v>1080.04</v>
      </c>
      <c r="BH310" s="494">
        <v>2671800.0099999998</v>
      </c>
      <c r="BI310" s="494">
        <f t="shared" si="288"/>
        <v>4422.8500000000004</v>
      </c>
      <c r="BJ310" s="494">
        <v>14289.54</v>
      </c>
      <c r="BK310" s="494">
        <v>3389.61</v>
      </c>
      <c r="BL310" s="494">
        <v>5995.76</v>
      </c>
      <c r="BM310" s="494">
        <v>548.62</v>
      </c>
      <c r="BN310" s="493" t="e">
        <f t="shared" si="254"/>
        <v>#DIV/0!</v>
      </c>
      <c r="BO310" s="493" t="e">
        <f t="shared" si="255"/>
        <v>#DIV/0!</v>
      </c>
      <c r="BP310" s="493" t="e">
        <f t="shared" si="256"/>
        <v>#DIV/0!</v>
      </c>
      <c r="BQ310" s="493" t="e">
        <f t="shared" si="257"/>
        <v>#DIV/0!</v>
      </c>
      <c r="BR310" s="493" t="e">
        <f t="shared" si="258"/>
        <v>#DIV/0!</v>
      </c>
      <c r="BS310" s="493" t="e">
        <f t="shared" si="259"/>
        <v>#DIV/0!</v>
      </c>
      <c r="BT310" s="493" t="e">
        <f t="shared" si="260"/>
        <v>#DIV/0!</v>
      </c>
      <c r="BU310" s="493" t="str">
        <f t="shared" si="261"/>
        <v xml:space="preserve"> </v>
      </c>
      <c r="BV310" s="493" t="e">
        <f t="shared" si="262"/>
        <v>#DIV/0!</v>
      </c>
      <c r="BW310" s="493" t="e">
        <f t="shared" si="263"/>
        <v>#DIV/0!</v>
      </c>
      <c r="BX310" s="493" t="e">
        <f t="shared" si="264"/>
        <v>#DIV/0!</v>
      </c>
      <c r="BY310" s="493" t="str">
        <f t="shared" si="265"/>
        <v xml:space="preserve"> </v>
      </c>
    </row>
    <row r="311" spans="1:77" s="28" customFormat="1" ht="12" customHeight="1">
      <c r="A311" s="833" t="s">
        <v>9</v>
      </c>
      <c r="B311" s="834"/>
      <c r="C311" s="834"/>
      <c r="D311" s="834"/>
      <c r="E311" s="834"/>
      <c r="F311" s="834"/>
      <c r="G311" s="834"/>
      <c r="H311" s="834"/>
      <c r="I311" s="834"/>
      <c r="J311" s="834"/>
      <c r="K311" s="834"/>
      <c r="L311" s="834"/>
      <c r="M311" s="834"/>
      <c r="N311" s="834"/>
      <c r="O311" s="834"/>
      <c r="P311" s="834"/>
      <c r="Q311" s="834"/>
      <c r="R311" s="834"/>
      <c r="S311" s="834"/>
      <c r="T311" s="834"/>
      <c r="U311" s="834"/>
      <c r="V311" s="834"/>
      <c r="W311" s="834"/>
      <c r="X311" s="834"/>
      <c r="Y311" s="834"/>
      <c r="Z311" s="834"/>
      <c r="AA311" s="834"/>
      <c r="AB311" s="834"/>
      <c r="AC311" s="834"/>
      <c r="AD311" s="834"/>
      <c r="AE311" s="834"/>
      <c r="AF311" s="834"/>
      <c r="AG311" s="834"/>
      <c r="AH311" s="834"/>
      <c r="AI311" s="834"/>
      <c r="AJ311" s="834"/>
      <c r="AK311" s="834"/>
      <c r="AL311" s="835"/>
      <c r="AM311" s="280"/>
      <c r="AN311" s="280"/>
      <c r="AP311" s="486" t="e">
        <f t="shared" si="242"/>
        <v>#DIV/0!</v>
      </c>
      <c r="AQ311" s="486" t="e">
        <f t="shared" si="244"/>
        <v>#DIV/0!</v>
      </c>
      <c r="AR311" s="497" t="e">
        <f t="shared" si="245"/>
        <v>#DIV/0!</v>
      </c>
      <c r="AS311" s="497" t="e">
        <f t="shared" si="246"/>
        <v>#DIV/0!</v>
      </c>
      <c r="AT311" s="497" t="e">
        <f t="shared" si="247"/>
        <v>#DIV/0!</v>
      </c>
      <c r="AU311" s="497" t="e">
        <f t="shared" si="248"/>
        <v>#DIV/0!</v>
      </c>
      <c r="AV311" s="497" t="e">
        <f t="shared" si="249"/>
        <v>#DIV/0!</v>
      </c>
      <c r="AW311" s="497" t="e">
        <f t="shared" si="250"/>
        <v>#DIV/0!</v>
      </c>
      <c r="AX311" s="497" t="e">
        <f t="shared" si="251"/>
        <v>#DIV/0!</v>
      </c>
      <c r="AY311" s="486" t="e">
        <f t="shared" si="252"/>
        <v>#DIV/0!</v>
      </c>
      <c r="AZ311" s="497" t="e">
        <f t="shared" si="253"/>
        <v>#DIV/0!</v>
      </c>
      <c r="BA311" s="486" t="e">
        <f t="shared" si="243"/>
        <v>#DIV/0!</v>
      </c>
      <c r="BB311" s="494">
        <v>5155.41</v>
      </c>
      <c r="BC311" s="494">
        <v>2070.12</v>
      </c>
      <c r="BD311" s="494">
        <v>848.92</v>
      </c>
      <c r="BE311" s="494">
        <v>819.73</v>
      </c>
      <c r="BF311" s="494">
        <v>611.5</v>
      </c>
      <c r="BG311" s="494">
        <v>1080.04</v>
      </c>
      <c r="BH311" s="494">
        <v>2671800.0099999998</v>
      </c>
      <c r="BI311" s="494">
        <f t="shared" si="288"/>
        <v>4422.8500000000004</v>
      </c>
      <c r="BJ311" s="494">
        <v>14289.54</v>
      </c>
      <c r="BK311" s="494">
        <v>3389.61</v>
      </c>
      <c r="BL311" s="494">
        <v>5995.76</v>
      </c>
      <c r="BM311" s="494">
        <v>548.62</v>
      </c>
      <c r="BN311" s="493" t="e">
        <f t="shared" si="254"/>
        <v>#DIV/0!</v>
      </c>
      <c r="BO311" s="493" t="e">
        <f t="shared" si="255"/>
        <v>#DIV/0!</v>
      </c>
      <c r="BP311" s="493" t="e">
        <f t="shared" si="256"/>
        <v>#DIV/0!</v>
      </c>
      <c r="BQ311" s="493" t="e">
        <f t="shared" si="257"/>
        <v>#DIV/0!</v>
      </c>
      <c r="BR311" s="493" t="e">
        <f t="shared" si="258"/>
        <v>#DIV/0!</v>
      </c>
      <c r="BS311" s="493" t="e">
        <f t="shared" si="259"/>
        <v>#DIV/0!</v>
      </c>
      <c r="BT311" s="493" t="e">
        <f t="shared" si="260"/>
        <v>#DIV/0!</v>
      </c>
      <c r="BU311" s="493" t="e">
        <f t="shared" si="261"/>
        <v>#DIV/0!</v>
      </c>
      <c r="BV311" s="493" t="e">
        <f t="shared" si="262"/>
        <v>#DIV/0!</v>
      </c>
      <c r="BW311" s="493" t="e">
        <f t="shared" si="263"/>
        <v>#DIV/0!</v>
      </c>
      <c r="BX311" s="493" t="e">
        <f t="shared" si="264"/>
        <v>#DIV/0!</v>
      </c>
      <c r="BY311" s="493" t="e">
        <f t="shared" si="265"/>
        <v>#DIV/0!</v>
      </c>
    </row>
    <row r="312" spans="1:77" s="28" customFormat="1" ht="9" customHeight="1">
      <c r="A312" s="166">
        <v>242</v>
      </c>
      <c r="B312" s="170" t="s">
        <v>947</v>
      </c>
      <c r="C312" s="399">
        <v>615.70000000000005</v>
      </c>
      <c r="D312" s="376"/>
      <c r="E312" s="167" t="s">
        <v>1006</v>
      </c>
      <c r="F312" s="399"/>
      <c r="G312" s="399"/>
      <c r="H312" s="195">
        <v>1512929.88</v>
      </c>
      <c r="I312" s="368">
        <f t="shared" ref="I312:I313" si="309">J312+L312+N312+P312+R312+T312</f>
        <v>0</v>
      </c>
      <c r="J312" s="217">
        <v>0</v>
      </c>
      <c r="K312" s="469">
        <v>0</v>
      </c>
      <c r="L312" s="217">
        <v>0</v>
      </c>
      <c r="M312" s="469">
        <v>0</v>
      </c>
      <c r="N312" s="217">
        <v>0</v>
      </c>
      <c r="O312" s="249">
        <v>0</v>
      </c>
      <c r="P312" s="368">
        <v>0</v>
      </c>
      <c r="Q312" s="249">
        <v>0</v>
      </c>
      <c r="R312" s="368">
        <v>0</v>
      </c>
      <c r="S312" s="249">
        <v>0</v>
      </c>
      <c r="T312" s="368">
        <v>0</v>
      </c>
      <c r="U312" s="130">
        <v>0</v>
      </c>
      <c r="V312" s="368">
        <v>0</v>
      </c>
      <c r="W312" s="20">
        <v>467.82</v>
      </c>
      <c r="X312" s="368">
        <f>ROUND(H312/100*95.5-0.01,2)</f>
        <v>1444848.03</v>
      </c>
      <c r="Y312" s="370">
        <v>0</v>
      </c>
      <c r="Z312" s="370">
        <v>0</v>
      </c>
      <c r="AA312" s="370">
        <v>0</v>
      </c>
      <c r="AB312" s="370">
        <v>0</v>
      </c>
      <c r="AC312" s="370">
        <v>0</v>
      </c>
      <c r="AD312" s="370">
        <v>0</v>
      </c>
      <c r="AE312" s="370">
        <v>0</v>
      </c>
      <c r="AF312" s="370">
        <v>0</v>
      </c>
      <c r="AG312" s="370">
        <v>0</v>
      </c>
      <c r="AH312" s="370">
        <v>0</v>
      </c>
      <c r="AI312" s="370">
        <v>0</v>
      </c>
      <c r="AJ312" s="370">
        <f t="shared" ref="AJ312:AJ313" si="310">ROUND(H312/100*3,2)</f>
        <v>45387.9</v>
      </c>
      <c r="AK312" s="370">
        <f t="shared" ref="AK312:AK313" si="311">ROUND(H312/100*1.5,2)</f>
        <v>22693.95</v>
      </c>
      <c r="AL312" s="370">
        <v>0</v>
      </c>
      <c r="AM312" s="446"/>
      <c r="AN312" s="446"/>
      <c r="AP312" s="486" t="e">
        <f t="shared" si="242"/>
        <v>#DIV/0!</v>
      </c>
      <c r="AQ312" s="486" t="e">
        <f t="shared" si="244"/>
        <v>#DIV/0!</v>
      </c>
      <c r="AR312" s="486" t="e">
        <f t="shared" si="245"/>
        <v>#DIV/0!</v>
      </c>
      <c r="AS312" s="486" t="e">
        <f t="shared" si="246"/>
        <v>#DIV/0!</v>
      </c>
      <c r="AT312" s="486" t="e">
        <f t="shared" si="247"/>
        <v>#DIV/0!</v>
      </c>
      <c r="AU312" s="486" t="e">
        <f t="shared" si="248"/>
        <v>#DIV/0!</v>
      </c>
      <c r="AV312" s="486" t="e">
        <f t="shared" si="249"/>
        <v>#DIV/0!</v>
      </c>
      <c r="AW312" s="486">
        <f t="shared" si="250"/>
        <v>3088.4699884570991</v>
      </c>
      <c r="AX312" s="486" t="e">
        <f t="shared" si="251"/>
        <v>#DIV/0!</v>
      </c>
      <c r="AY312" s="486" t="e">
        <f t="shared" si="252"/>
        <v>#DIV/0!</v>
      </c>
      <c r="AZ312" s="486" t="e">
        <f t="shared" si="253"/>
        <v>#DIV/0!</v>
      </c>
      <c r="BA312" s="486">
        <f t="shared" si="243"/>
        <v>0</v>
      </c>
      <c r="BB312" s="494">
        <v>5155.41</v>
      </c>
      <c r="BC312" s="494">
        <v>2070.12</v>
      </c>
      <c r="BD312" s="494">
        <v>848.92</v>
      </c>
      <c r="BE312" s="494">
        <v>819.73</v>
      </c>
      <c r="BF312" s="494">
        <v>611.5</v>
      </c>
      <c r="BG312" s="494">
        <v>1080.04</v>
      </c>
      <c r="BH312" s="494">
        <v>2671800.0099999998</v>
      </c>
      <c r="BI312" s="494">
        <f t="shared" si="288"/>
        <v>4422.8500000000004</v>
      </c>
      <c r="BJ312" s="494">
        <v>14289.54</v>
      </c>
      <c r="BK312" s="494">
        <v>3389.61</v>
      </c>
      <c r="BL312" s="494">
        <v>5995.76</v>
      </c>
      <c r="BM312" s="494">
        <v>548.62</v>
      </c>
      <c r="BN312" s="495" t="e">
        <f t="shared" si="254"/>
        <v>#DIV/0!</v>
      </c>
      <c r="BO312" s="495" t="e">
        <f t="shared" si="255"/>
        <v>#DIV/0!</v>
      </c>
      <c r="BP312" s="495" t="e">
        <f t="shared" si="256"/>
        <v>#DIV/0!</v>
      </c>
      <c r="BQ312" s="495" t="e">
        <f t="shared" si="257"/>
        <v>#DIV/0!</v>
      </c>
      <c r="BR312" s="495" t="e">
        <f t="shared" si="258"/>
        <v>#DIV/0!</v>
      </c>
      <c r="BS312" s="495" t="e">
        <f t="shared" si="259"/>
        <v>#DIV/0!</v>
      </c>
      <c r="BT312" s="495" t="e">
        <f t="shared" si="260"/>
        <v>#DIV/0!</v>
      </c>
      <c r="BU312" s="495" t="str">
        <f t="shared" si="261"/>
        <v xml:space="preserve"> </v>
      </c>
      <c r="BV312" s="495" t="e">
        <f t="shared" si="262"/>
        <v>#DIV/0!</v>
      </c>
      <c r="BW312" s="495" t="e">
        <f t="shared" si="263"/>
        <v>#DIV/0!</v>
      </c>
      <c r="BX312" s="495" t="e">
        <f t="shared" si="264"/>
        <v>#DIV/0!</v>
      </c>
      <c r="BY312" s="495" t="str">
        <f t="shared" si="265"/>
        <v xml:space="preserve"> </v>
      </c>
    </row>
    <row r="313" spans="1:77" s="28" customFormat="1" ht="9" customHeight="1">
      <c r="A313" s="166">
        <v>243</v>
      </c>
      <c r="B313" s="170" t="s">
        <v>948</v>
      </c>
      <c r="C313" s="399">
        <v>648.1</v>
      </c>
      <c r="D313" s="376"/>
      <c r="E313" s="167" t="s">
        <v>1006</v>
      </c>
      <c r="F313" s="399"/>
      <c r="G313" s="399"/>
      <c r="H313" s="195">
        <v>1667127</v>
      </c>
      <c r="I313" s="368">
        <f t="shared" si="309"/>
        <v>0</v>
      </c>
      <c r="J313" s="217">
        <v>0</v>
      </c>
      <c r="K313" s="469">
        <v>0</v>
      </c>
      <c r="L313" s="217">
        <v>0</v>
      </c>
      <c r="M313" s="469">
        <v>0</v>
      </c>
      <c r="N313" s="217">
        <v>0</v>
      </c>
      <c r="O313" s="249">
        <v>0</v>
      </c>
      <c r="P313" s="368">
        <v>0</v>
      </c>
      <c r="Q313" s="249">
        <v>0</v>
      </c>
      <c r="R313" s="368">
        <v>0</v>
      </c>
      <c r="S313" s="249">
        <v>0</v>
      </c>
      <c r="T313" s="368">
        <v>0</v>
      </c>
      <c r="U313" s="130">
        <v>0</v>
      </c>
      <c r="V313" s="368">
        <v>0</v>
      </c>
      <c r="W313" s="20">
        <v>515.5</v>
      </c>
      <c r="X313" s="368">
        <f>ROUND(H313/100*95.5-0.01,2)</f>
        <v>1592106.28</v>
      </c>
      <c r="Y313" s="370">
        <v>0</v>
      </c>
      <c r="Z313" s="370">
        <v>0</v>
      </c>
      <c r="AA313" s="370">
        <v>0</v>
      </c>
      <c r="AB313" s="370">
        <v>0</v>
      </c>
      <c r="AC313" s="370">
        <v>0</v>
      </c>
      <c r="AD313" s="370">
        <v>0</v>
      </c>
      <c r="AE313" s="370">
        <v>0</v>
      </c>
      <c r="AF313" s="370">
        <v>0</v>
      </c>
      <c r="AG313" s="370">
        <v>0</v>
      </c>
      <c r="AH313" s="370">
        <v>0</v>
      </c>
      <c r="AI313" s="370">
        <v>0</v>
      </c>
      <c r="AJ313" s="370">
        <f t="shared" si="310"/>
        <v>50013.81</v>
      </c>
      <c r="AK313" s="370">
        <f t="shared" si="311"/>
        <v>25006.91</v>
      </c>
      <c r="AL313" s="370">
        <v>0</v>
      </c>
      <c r="AM313" s="446"/>
      <c r="AN313" s="446"/>
      <c r="AP313" s="486" t="e">
        <f t="shared" si="242"/>
        <v>#DIV/0!</v>
      </c>
      <c r="AQ313" s="486" t="e">
        <f t="shared" si="244"/>
        <v>#DIV/0!</v>
      </c>
      <c r="AR313" s="486" t="e">
        <f t="shared" si="245"/>
        <v>#DIV/0!</v>
      </c>
      <c r="AS313" s="486" t="e">
        <f t="shared" si="246"/>
        <v>#DIV/0!</v>
      </c>
      <c r="AT313" s="486" t="e">
        <f t="shared" si="247"/>
        <v>#DIV/0!</v>
      </c>
      <c r="AU313" s="486" t="e">
        <f t="shared" si="248"/>
        <v>#DIV/0!</v>
      </c>
      <c r="AV313" s="486" t="e">
        <f t="shared" si="249"/>
        <v>#DIV/0!</v>
      </c>
      <c r="AW313" s="486">
        <f t="shared" si="250"/>
        <v>3088.469990300679</v>
      </c>
      <c r="AX313" s="486" t="e">
        <f t="shared" si="251"/>
        <v>#DIV/0!</v>
      </c>
      <c r="AY313" s="486" t="e">
        <f t="shared" si="252"/>
        <v>#DIV/0!</v>
      </c>
      <c r="AZ313" s="486" t="e">
        <f t="shared" si="253"/>
        <v>#DIV/0!</v>
      </c>
      <c r="BA313" s="486">
        <f t="shared" si="243"/>
        <v>0</v>
      </c>
      <c r="BB313" s="494">
        <v>5155.41</v>
      </c>
      <c r="BC313" s="494">
        <v>2070.12</v>
      </c>
      <c r="BD313" s="494">
        <v>848.92</v>
      </c>
      <c r="BE313" s="494">
        <v>819.73</v>
      </c>
      <c r="BF313" s="494">
        <v>611.5</v>
      </c>
      <c r="BG313" s="494">
        <v>1080.04</v>
      </c>
      <c r="BH313" s="494">
        <v>2671800.0099999998</v>
      </c>
      <c r="BI313" s="494">
        <f t="shared" si="288"/>
        <v>4422.8500000000004</v>
      </c>
      <c r="BJ313" s="494">
        <v>14289.54</v>
      </c>
      <c r="BK313" s="494">
        <v>3389.61</v>
      </c>
      <c r="BL313" s="494">
        <v>5995.76</v>
      </c>
      <c r="BM313" s="494">
        <v>548.62</v>
      </c>
      <c r="BN313" s="495" t="e">
        <f t="shared" si="254"/>
        <v>#DIV/0!</v>
      </c>
      <c r="BO313" s="495" t="e">
        <f t="shared" si="255"/>
        <v>#DIV/0!</v>
      </c>
      <c r="BP313" s="495" t="e">
        <f t="shared" si="256"/>
        <v>#DIV/0!</v>
      </c>
      <c r="BQ313" s="495" t="e">
        <f t="shared" si="257"/>
        <v>#DIV/0!</v>
      </c>
      <c r="BR313" s="495" t="e">
        <f t="shared" si="258"/>
        <v>#DIV/0!</v>
      </c>
      <c r="BS313" s="495" t="e">
        <f t="shared" si="259"/>
        <v>#DIV/0!</v>
      </c>
      <c r="BT313" s="495" t="e">
        <f t="shared" si="260"/>
        <v>#DIV/0!</v>
      </c>
      <c r="BU313" s="495" t="str">
        <f t="shared" si="261"/>
        <v xml:space="preserve"> </v>
      </c>
      <c r="BV313" s="495" t="e">
        <f t="shared" si="262"/>
        <v>#DIV/0!</v>
      </c>
      <c r="BW313" s="495" t="e">
        <f t="shared" si="263"/>
        <v>#DIV/0!</v>
      </c>
      <c r="BX313" s="495" t="e">
        <f t="shared" si="264"/>
        <v>#DIV/0!</v>
      </c>
      <c r="BY313" s="495" t="str">
        <f t="shared" si="265"/>
        <v xml:space="preserve"> </v>
      </c>
    </row>
    <row r="314" spans="1:77" s="28" customFormat="1" ht="24.75" customHeight="1">
      <c r="A314" s="956" t="s">
        <v>10</v>
      </c>
      <c r="B314" s="956"/>
      <c r="C314" s="167">
        <f>SUM(C312:C313)</f>
        <v>1263.8000000000002</v>
      </c>
      <c r="D314" s="397"/>
      <c r="E314" s="362" t="s">
        <v>391</v>
      </c>
      <c r="F314" s="374"/>
      <c r="G314" s="374"/>
      <c r="H314" s="167">
        <f>SUM(H312:H313)</f>
        <v>3180056.88</v>
      </c>
      <c r="I314" s="167">
        <f t="shared" ref="I314:AL314" si="312">SUM(I312:I313)</f>
        <v>0</v>
      </c>
      <c r="J314" s="167">
        <f t="shared" si="312"/>
        <v>0</v>
      </c>
      <c r="K314" s="167">
        <f t="shared" si="312"/>
        <v>0</v>
      </c>
      <c r="L314" s="167">
        <f t="shared" si="312"/>
        <v>0</v>
      </c>
      <c r="M314" s="167">
        <f t="shared" si="312"/>
        <v>0</v>
      </c>
      <c r="N314" s="167">
        <f t="shared" si="312"/>
        <v>0</v>
      </c>
      <c r="O314" s="167">
        <f t="shared" si="312"/>
        <v>0</v>
      </c>
      <c r="P314" s="167">
        <f t="shared" si="312"/>
        <v>0</v>
      </c>
      <c r="Q314" s="167">
        <f t="shared" si="312"/>
        <v>0</v>
      </c>
      <c r="R314" s="167">
        <f t="shared" si="312"/>
        <v>0</v>
      </c>
      <c r="S314" s="167">
        <f t="shared" si="312"/>
        <v>0</v>
      </c>
      <c r="T314" s="167">
        <f t="shared" si="312"/>
        <v>0</v>
      </c>
      <c r="U314" s="190">
        <v>0</v>
      </c>
      <c r="V314" s="167">
        <f t="shared" si="312"/>
        <v>0</v>
      </c>
      <c r="W314" s="167">
        <f t="shared" si="312"/>
        <v>983.31999999999994</v>
      </c>
      <c r="X314" s="167">
        <f t="shared" si="312"/>
        <v>3036954.31</v>
      </c>
      <c r="Y314" s="167">
        <f t="shared" si="312"/>
        <v>0</v>
      </c>
      <c r="Z314" s="167">
        <f t="shared" si="312"/>
        <v>0</v>
      </c>
      <c r="AA314" s="167">
        <f t="shared" si="312"/>
        <v>0</v>
      </c>
      <c r="AB314" s="167">
        <f t="shared" si="312"/>
        <v>0</v>
      </c>
      <c r="AC314" s="167">
        <f t="shared" si="312"/>
        <v>0</v>
      </c>
      <c r="AD314" s="167">
        <f t="shared" si="312"/>
        <v>0</v>
      </c>
      <c r="AE314" s="167">
        <f t="shared" si="312"/>
        <v>0</v>
      </c>
      <c r="AF314" s="167">
        <f t="shared" si="312"/>
        <v>0</v>
      </c>
      <c r="AG314" s="167">
        <f t="shared" si="312"/>
        <v>0</v>
      </c>
      <c r="AH314" s="167">
        <f t="shared" si="312"/>
        <v>0</v>
      </c>
      <c r="AI314" s="167">
        <f t="shared" si="312"/>
        <v>0</v>
      </c>
      <c r="AJ314" s="167">
        <f t="shared" si="312"/>
        <v>95401.709999999992</v>
      </c>
      <c r="AK314" s="167">
        <f t="shared" si="312"/>
        <v>47700.86</v>
      </c>
      <c r="AL314" s="167">
        <f t="shared" si="312"/>
        <v>0</v>
      </c>
      <c r="AM314" s="280"/>
      <c r="AN314" s="280"/>
      <c r="AP314" s="486" t="e">
        <f t="shared" si="242"/>
        <v>#DIV/0!</v>
      </c>
      <c r="AQ314" s="486" t="e">
        <f t="shared" si="244"/>
        <v>#DIV/0!</v>
      </c>
      <c r="AR314" s="497" t="e">
        <f t="shared" si="245"/>
        <v>#DIV/0!</v>
      </c>
      <c r="AS314" s="497" t="e">
        <f t="shared" si="246"/>
        <v>#DIV/0!</v>
      </c>
      <c r="AT314" s="497" t="e">
        <f t="shared" si="247"/>
        <v>#DIV/0!</v>
      </c>
      <c r="AU314" s="497" t="e">
        <f t="shared" si="248"/>
        <v>#DIV/0!</v>
      </c>
      <c r="AV314" s="497" t="e">
        <f t="shared" si="249"/>
        <v>#DIV/0!</v>
      </c>
      <c r="AW314" s="497">
        <f t="shared" si="250"/>
        <v>3088.4699894235855</v>
      </c>
      <c r="AX314" s="497" t="e">
        <f t="shared" si="251"/>
        <v>#DIV/0!</v>
      </c>
      <c r="AY314" s="486" t="e">
        <f t="shared" si="252"/>
        <v>#DIV/0!</v>
      </c>
      <c r="AZ314" s="497" t="e">
        <f t="shared" si="253"/>
        <v>#DIV/0!</v>
      </c>
      <c r="BA314" s="486">
        <f t="shared" si="243"/>
        <v>0</v>
      </c>
      <c r="BB314" s="494">
        <v>5155.41</v>
      </c>
      <c r="BC314" s="494">
        <v>2070.12</v>
      </c>
      <c r="BD314" s="494">
        <v>848.92</v>
      </c>
      <c r="BE314" s="494">
        <v>819.73</v>
      </c>
      <c r="BF314" s="494">
        <v>611.5</v>
      </c>
      <c r="BG314" s="494">
        <v>1080.04</v>
      </c>
      <c r="BH314" s="494">
        <v>2671800.0099999998</v>
      </c>
      <c r="BI314" s="494">
        <f t="shared" si="288"/>
        <v>4422.8500000000004</v>
      </c>
      <c r="BJ314" s="494">
        <v>14289.54</v>
      </c>
      <c r="BK314" s="494">
        <v>3389.61</v>
      </c>
      <c r="BL314" s="494">
        <v>5995.76</v>
      </c>
      <c r="BM314" s="494">
        <v>548.62</v>
      </c>
      <c r="BN314" s="493" t="e">
        <f t="shared" si="254"/>
        <v>#DIV/0!</v>
      </c>
      <c r="BO314" s="493" t="e">
        <f t="shared" si="255"/>
        <v>#DIV/0!</v>
      </c>
      <c r="BP314" s="493" t="e">
        <f t="shared" si="256"/>
        <v>#DIV/0!</v>
      </c>
      <c r="BQ314" s="493" t="e">
        <f t="shared" si="257"/>
        <v>#DIV/0!</v>
      </c>
      <c r="BR314" s="493" t="e">
        <f t="shared" si="258"/>
        <v>#DIV/0!</v>
      </c>
      <c r="BS314" s="493" t="e">
        <f t="shared" si="259"/>
        <v>#DIV/0!</v>
      </c>
      <c r="BT314" s="493" t="e">
        <f t="shared" si="260"/>
        <v>#DIV/0!</v>
      </c>
      <c r="BU314" s="493" t="str">
        <f t="shared" si="261"/>
        <v xml:space="preserve"> </v>
      </c>
      <c r="BV314" s="493" t="e">
        <f t="shared" si="262"/>
        <v>#DIV/0!</v>
      </c>
      <c r="BW314" s="493" t="e">
        <f t="shared" si="263"/>
        <v>#DIV/0!</v>
      </c>
      <c r="BX314" s="493" t="e">
        <f t="shared" si="264"/>
        <v>#DIV/0!</v>
      </c>
      <c r="BY314" s="493" t="str">
        <f t="shared" si="265"/>
        <v xml:space="preserve"> </v>
      </c>
    </row>
    <row r="315" spans="1:77" s="28" customFormat="1" ht="12" customHeight="1">
      <c r="A315" s="833" t="s">
        <v>11</v>
      </c>
      <c r="B315" s="834"/>
      <c r="C315" s="834"/>
      <c r="D315" s="834"/>
      <c r="E315" s="834"/>
      <c r="F315" s="834"/>
      <c r="G315" s="834"/>
      <c r="H315" s="834"/>
      <c r="I315" s="834"/>
      <c r="J315" s="834"/>
      <c r="K315" s="834"/>
      <c r="L315" s="834"/>
      <c r="M315" s="834"/>
      <c r="N315" s="834"/>
      <c r="O315" s="834"/>
      <c r="P315" s="834"/>
      <c r="Q315" s="834"/>
      <c r="R315" s="834"/>
      <c r="S315" s="834"/>
      <c r="T315" s="834"/>
      <c r="U315" s="834"/>
      <c r="V315" s="834"/>
      <c r="W315" s="834"/>
      <c r="X315" s="834"/>
      <c r="Y315" s="834"/>
      <c r="Z315" s="834"/>
      <c r="AA315" s="834"/>
      <c r="AB315" s="834"/>
      <c r="AC315" s="834"/>
      <c r="AD315" s="834"/>
      <c r="AE315" s="834"/>
      <c r="AF315" s="834"/>
      <c r="AG315" s="834"/>
      <c r="AH315" s="834"/>
      <c r="AI315" s="834"/>
      <c r="AJ315" s="834"/>
      <c r="AK315" s="834"/>
      <c r="AL315" s="835"/>
      <c r="AM315" s="280"/>
      <c r="AN315" s="280"/>
      <c r="AP315" s="486" t="e">
        <f t="shared" si="242"/>
        <v>#DIV/0!</v>
      </c>
      <c r="AQ315" s="486" t="e">
        <f t="shared" si="244"/>
        <v>#DIV/0!</v>
      </c>
      <c r="AR315" s="497" t="e">
        <f t="shared" si="245"/>
        <v>#DIV/0!</v>
      </c>
      <c r="AS315" s="497" t="e">
        <f t="shared" si="246"/>
        <v>#DIV/0!</v>
      </c>
      <c r="AT315" s="497" t="e">
        <f t="shared" si="247"/>
        <v>#DIV/0!</v>
      </c>
      <c r="AU315" s="497" t="e">
        <f t="shared" si="248"/>
        <v>#DIV/0!</v>
      </c>
      <c r="AV315" s="497" t="e">
        <f t="shared" si="249"/>
        <v>#DIV/0!</v>
      </c>
      <c r="AW315" s="497" t="e">
        <f t="shared" si="250"/>
        <v>#DIV/0!</v>
      </c>
      <c r="AX315" s="497" t="e">
        <f t="shared" si="251"/>
        <v>#DIV/0!</v>
      </c>
      <c r="AY315" s="486" t="e">
        <f t="shared" si="252"/>
        <v>#DIV/0!</v>
      </c>
      <c r="AZ315" s="497" t="e">
        <f t="shared" si="253"/>
        <v>#DIV/0!</v>
      </c>
      <c r="BA315" s="486" t="e">
        <f t="shared" si="243"/>
        <v>#DIV/0!</v>
      </c>
      <c r="BB315" s="494">
        <v>5155.41</v>
      </c>
      <c r="BC315" s="494">
        <v>2070.12</v>
      </c>
      <c r="BD315" s="494">
        <v>848.92</v>
      </c>
      <c r="BE315" s="494">
        <v>819.73</v>
      </c>
      <c r="BF315" s="494">
        <v>611.5</v>
      </c>
      <c r="BG315" s="494">
        <v>1080.04</v>
      </c>
      <c r="BH315" s="494">
        <v>2671800.0099999998</v>
      </c>
      <c r="BI315" s="494">
        <f t="shared" si="288"/>
        <v>4422.8500000000004</v>
      </c>
      <c r="BJ315" s="494">
        <v>14289.54</v>
      </c>
      <c r="BK315" s="494">
        <v>3389.61</v>
      </c>
      <c r="BL315" s="494">
        <v>5995.76</v>
      </c>
      <c r="BM315" s="494">
        <v>548.62</v>
      </c>
      <c r="BN315" s="493" t="e">
        <f t="shared" si="254"/>
        <v>#DIV/0!</v>
      </c>
      <c r="BO315" s="493" t="e">
        <f t="shared" si="255"/>
        <v>#DIV/0!</v>
      </c>
      <c r="BP315" s="493" t="e">
        <f t="shared" si="256"/>
        <v>#DIV/0!</v>
      </c>
      <c r="BQ315" s="493" t="e">
        <f t="shared" si="257"/>
        <v>#DIV/0!</v>
      </c>
      <c r="BR315" s="493" t="e">
        <f t="shared" si="258"/>
        <v>#DIV/0!</v>
      </c>
      <c r="BS315" s="493" t="e">
        <f t="shared" si="259"/>
        <v>#DIV/0!</v>
      </c>
      <c r="BT315" s="493" t="e">
        <f t="shared" si="260"/>
        <v>#DIV/0!</v>
      </c>
      <c r="BU315" s="493" t="e">
        <f t="shared" si="261"/>
        <v>#DIV/0!</v>
      </c>
      <c r="BV315" s="493" t="e">
        <f t="shared" si="262"/>
        <v>#DIV/0!</v>
      </c>
      <c r="BW315" s="493" t="e">
        <f t="shared" si="263"/>
        <v>#DIV/0!</v>
      </c>
      <c r="BX315" s="493" t="e">
        <f t="shared" si="264"/>
        <v>#DIV/0!</v>
      </c>
      <c r="BY315" s="493" t="e">
        <f t="shared" si="265"/>
        <v>#DIV/0!</v>
      </c>
    </row>
    <row r="316" spans="1:77" s="28" customFormat="1" ht="9" customHeight="1">
      <c r="A316" s="166">
        <v>244</v>
      </c>
      <c r="B316" s="170" t="s">
        <v>949</v>
      </c>
      <c r="C316" s="399">
        <v>366.6</v>
      </c>
      <c r="D316" s="376"/>
      <c r="E316" s="167" t="s">
        <v>1006</v>
      </c>
      <c r="F316" s="399"/>
      <c r="G316" s="399"/>
      <c r="H316" s="195">
        <v>543312</v>
      </c>
      <c r="I316" s="368">
        <f t="shared" ref="I316:I318" si="313">J316+L316+N316+P316+R316+T316</f>
        <v>0</v>
      </c>
      <c r="J316" s="217">
        <v>0</v>
      </c>
      <c r="K316" s="469">
        <v>0</v>
      </c>
      <c r="L316" s="217">
        <v>0</v>
      </c>
      <c r="M316" s="469">
        <v>0</v>
      </c>
      <c r="N316" s="217">
        <v>0</v>
      </c>
      <c r="O316" s="249">
        <v>0</v>
      </c>
      <c r="P316" s="368">
        <v>0</v>
      </c>
      <c r="Q316" s="249">
        <v>0</v>
      </c>
      <c r="R316" s="368">
        <v>0</v>
      </c>
      <c r="S316" s="249">
        <v>0</v>
      </c>
      <c r="T316" s="368">
        <v>0</v>
      </c>
      <c r="U316" s="130">
        <v>0</v>
      </c>
      <c r="V316" s="368">
        <v>0</v>
      </c>
      <c r="W316" s="20">
        <v>168</v>
      </c>
      <c r="X316" s="368">
        <f t="shared" ref="X316:X318" si="314">ROUND(H316/100*95.5,2)</f>
        <v>518862.96</v>
      </c>
      <c r="Y316" s="370">
        <v>0</v>
      </c>
      <c r="Z316" s="370">
        <v>0</v>
      </c>
      <c r="AA316" s="370">
        <v>0</v>
      </c>
      <c r="AB316" s="370">
        <v>0</v>
      </c>
      <c r="AC316" s="370">
        <v>0</v>
      </c>
      <c r="AD316" s="370">
        <v>0</v>
      </c>
      <c r="AE316" s="370">
        <v>0</v>
      </c>
      <c r="AF316" s="370">
        <v>0</v>
      </c>
      <c r="AG316" s="370">
        <v>0</v>
      </c>
      <c r="AH316" s="370">
        <v>0</v>
      </c>
      <c r="AI316" s="370">
        <v>0</v>
      </c>
      <c r="AJ316" s="370">
        <f t="shared" ref="AJ316:AJ318" si="315">ROUND(H316/100*3,2)</f>
        <v>16299.36</v>
      </c>
      <c r="AK316" s="370">
        <f t="shared" ref="AK316:AK318" si="316">ROUND(H316/100*1.5,2)</f>
        <v>8149.68</v>
      </c>
      <c r="AL316" s="370">
        <v>0</v>
      </c>
      <c r="AM316" s="480"/>
      <c r="AN316" s="480"/>
      <c r="AP316" s="486" t="e">
        <f t="shared" si="242"/>
        <v>#DIV/0!</v>
      </c>
      <c r="AQ316" s="486" t="e">
        <f t="shared" si="244"/>
        <v>#DIV/0!</v>
      </c>
      <c r="AR316" s="486" t="e">
        <f t="shared" si="245"/>
        <v>#DIV/0!</v>
      </c>
      <c r="AS316" s="486" t="e">
        <f t="shared" si="246"/>
        <v>#DIV/0!</v>
      </c>
      <c r="AT316" s="486" t="e">
        <f t="shared" si="247"/>
        <v>#DIV/0!</v>
      </c>
      <c r="AU316" s="486" t="e">
        <f t="shared" si="248"/>
        <v>#DIV/0!</v>
      </c>
      <c r="AV316" s="486" t="e">
        <f t="shared" si="249"/>
        <v>#DIV/0!</v>
      </c>
      <c r="AW316" s="486">
        <f t="shared" si="250"/>
        <v>3088.4700000000003</v>
      </c>
      <c r="AX316" s="486" t="e">
        <f t="shared" si="251"/>
        <v>#DIV/0!</v>
      </c>
      <c r="AY316" s="486" t="e">
        <f t="shared" si="252"/>
        <v>#DIV/0!</v>
      </c>
      <c r="AZ316" s="486" t="e">
        <f t="shared" si="253"/>
        <v>#DIV/0!</v>
      </c>
      <c r="BA316" s="486">
        <f t="shared" si="243"/>
        <v>0</v>
      </c>
      <c r="BB316" s="494">
        <v>5155.41</v>
      </c>
      <c r="BC316" s="494">
        <v>2070.12</v>
      </c>
      <c r="BD316" s="494">
        <v>848.92</v>
      </c>
      <c r="BE316" s="494">
        <v>819.73</v>
      </c>
      <c r="BF316" s="494">
        <v>611.5</v>
      </c>
      <c r="BG316" s="494">
        <v>1080.04</v>
      </c>
      <c r="BH316" s="494">
        <v>2671800.0099999998</v>
      </c>
      <c r="BI316" s="494">
        <f t="shared" si="288"/>
        <v>4422.8500000000004</v>
      </c>
      <c r="BJ316" s="494">
        <v>14289.54</v>
      </c>
      <c r="BK316" s="494">
        <v>3389.61</v>
      </c>
      <c r="BL316" s="494">
        <v>5995.76</v>
      </c>
      <c r="BM316" s="494">
        <v>548.62</v>
      </c>
      <c r="BN316" s="495" t="e">
        <f t="shared" si="254"/>
        <v>#DIV/0!</v>
      </c>
      <c r="BO316" s="495" t="e">
        <f t="shared" si="255"/>
        <v>#DIV/0!</v>
      </c>
      <c r="BP316" s="495" t="e">
        <f t="shared" si="256"/>
        <v>#DIV/0!</v>
      </c>
      <c r="BQ316" s="495" t="e">
        <f t="shared" si="257"/>
        <v>#DIV/0!</v>
      </c>
      <c r="BR316" s="495" t="e">
        <f t="shared" si="258"/>
        <v>#DIV/0!</v>
      </c>
      <c r="BS316" s="495" t="e">
        <f t="shared" si="259"/>
        <v>#DIV/0!</v>
      </c>
      <c r="BT316" s="495" t="e">
        <f t="shared" si="260"/>
        <v>#DIV/0!</v>
      </c>
      <c r="BU316" s="495" t="str">
        <f t="shared" si="261"/>
        <v xml:space="preserve"> </v>
      </c>
      <c r="BV316" s="495" t="e">
        <f t="shared" si="262"/>
        <v>#DIV/0!</v>
      </c>
      <c r="BW316" s="495" t="e">
        <f t="shared" si="263"/>
        <v>#DIV/0!</v>
      </c>
      <c r="BX316" s="495" t="e">
        <f t="shared" si="264"/>
        <v>#DIV/0!</v>
      </c>
      <c r="BY316" s="495" t="str">
        <f t="shared" si="265"/>
        <v xml:space="preserve"> </v>
      </c>
    </row>
    <row r="317" spans="1:77" s="28" customFormat="1" ht="9" customHeight="1">
      <c r="A317" s="166">
        <v>245</v>
      </c>
      <c r="B317" s="170" t="s">
        <v>950</v>
      </c>
      <c r="C317" s="399">
        <v>844.1</v>
      </c>
      <c r="D317" s="376"/>
      <c r="E317" s="167" t="s">
        <v>1006</v>
      </c>
      <c r="F317" s="399"/>
      <c r="G317" s="399"/>
      <c r="H317" s="195">
        <v>1775466</v>
      </c>
      <c r="I317" s="368">
        <f t="shared" si="313"/>
        <v>0</v>
      </c>
      <c r="J317" s="217">
        <v>0</v>
      </c>
      <c r="K317" s="469">
        <v>0</v>
      </c>
      <c r="L317" s="217">
        <v>0</v>
      </c>
      <c r="M317" s="469">
        <v>0</v>
      </c>
      <c r="N317" s="217">
        <v>0</v>
      </c>
      <c r="O317" s="249">
        <v>0</v>
      </c>
      <c r="P317" s="368">
        <v>0</v>
      </c>
      <c r="Q317" s="249">
        <v>0</v>
      </c>
      <c r="R317" s="368">
        <v>0</v>
      </c>
      <c r="S317" s="249">
        <v>0</v>
      </c>
      <c r="T317" s="368">
        <v>0</v>
      </c>
      <c r="U317" s="130">
        <v>0</v>
      </c>
      <c r="V317" s="368">
        <v>0</v>
      </c>
      <c r="W317" s="20">
        <v>549</v>
      </c>
      <c r="X317" s="368">
        <f t="shared" si="314"/>
        <v>1695570.03</v>
      </c>
      <c r="Y317" s="370">
        <v>0</v>
      </c>
      <c r="Z317" s="370">
        <v>0</v>
      </c>
      <c r="AA317" s="370">
        <v>0</v>
      </c>
      <c r="AB317" s="370">
        <v>0</v>
      </c>
      <c r="AC317" s="370">
        <v>0</v>
      </c>
      <c r="AD317" s="370">
        <v>0</v>
      </c>
      <c r="AE317" s="370">
        <v>0</v>
      </c>
      <c r="AF317" s="370">
        <v>0</v>
      </c>
      <c r="AG317" s="370">
        <v>0</v>
      </c>
      <c r="AH317" s="370">
        <v>0</v>
      </c>
      <c r="AI317" s="370">
        <v>0</v>
      </c>
      <c r="AJ317" s="370">
        <f t="shared" si="315"/>
        <v>53263.98</v>
      </c>
      <c r="AK317" s="370">
        <f t="shared" si="316"/>
        <v>26631.99</v>
      </c>
      <c r="AL317" s="370">
        <v>0</v>
      </c>
      <c r="AM317" s="480"/>
      <c r="AN317" s="480"/>
      <c r="AP317" s="486" t="e">
        <f t="shared" si="242"/>
        <v>#DIV/0!</v>
      </c>
      <c r="AQ317" s="486" t="e">
        <f t="shared" si="244"/>
        <v>#DIV/0!</v>
      </c>
      <c r="AR317" s="486" t="e">
        <f t="shared" si="245"/>
        <v>#DIV/0!</v>
      </c>
      <c r="AS317" s="486" t="e">
        <f t="shared" si="246"/>
        <v>#DIV/0!</v>
      </c>
      <c r="AT317" s="486" t="e">
        <f t="shared" si="247"/>
        <v>#DIV/0!</v>
      </c>
      <c r="AU317" s="486" t="e">
        <f t="shared" si="248"/>
        <v>#DIV/0!</v>
      </c>
      <c r="AV317" s="486" t="e">
        <f t="shared" si="249"/>
        <v>#DIV/0!</v>
      </c>
      <c r="AW317" s="486">
        <f t="shared" si="250"/>
        <v>3088.4700000000003</v>
      </c>
      <c r="AX317" s="486" t="e">
        <f t="shared" si="251"/>
        <v>#DIV/0!</v>
      </c>
      <c r="AY317" s="486" t="e">
        <f t="shared" si="252"/>
        <v>#DIV/0!</v>
      </c>
      <c r="AZ317" s="486" t="e">
        <f t="shared" si="253"/>
        <v>#DIV/0!</v>
      </c>
      <c r="BA317" s="486">
        <f t="shared" si="243"/>
        <v>0</v>
      </c>
      <c r="BB317" s="494">
        <v>5155.41</v>
      </c>
      <c r="BC317" s="494">
        <v>2070.12</v>
      </c>
      <c r="BD317" s="494">
        <v>848.92</v>
      </c>
      <c r="BE317" s="494">
        <v>819.73</v>
      </c>
      <c r="BF317" s="494">
        <v>611.5</v>
      </c>
      <c r="BG317" s="494">
        <v>1080.04</v>
      </c>
      <c r="BH317" s="494">
        <v>2671800.0099999998</v>
      </c>
      <c r="BI317" s="494">
        <f t="shared" si="288"/>
        <v>4422.8500000000004</v>
      </c>
      <c r="BJ317" s="494">
        <v>14289.54</v>
      </c>
      <c r="BK317" s="494">
        <v>3389.61</v>
      </c>
      <c r="BL317" s="494">
        <v>5995.76</v>
      </c>
      <c r="BM317" s="494">
        <v>548.62</v>
      </c>
      <c r="BN317" s="495" t="e">
        <f t="shared" si="254"/>
        <v>#DIV/0!</v>
      </c>
      <c r="BO317" s="495" t="e">
        <f t="shared" si="255"/>
        <v>#DIV/0!</v>
      </c>
      <c r="BP317" s="495" t="e">
        <f t="shared" si="256"/>
        <v>#DIV/0!</v>
      </c>
      <c r="BQ317" s="495" t="e">
        <f t="shared" si="257"/>
        <v>#DIV/0!</v>
      </c>
      <c r="BR317" s="495" t="e">
        <f t="shared" si="258"/>
        <v>#DIV/0!</v>
      </c>
      <c r="BS317" s="495" t="e">
        <f t="shared" si="259"/>
        <v>#DIV/0!</v>
      </c>
      <c r="BT317" s="495" t="e">
        <f t="shared" si="260"/>
        <v>#DIV/0!</v>
      </c>
      <c r="BU317" s="495" t="str">
        <f t="shared" si="261"/>
        <v xml:space="preserve"> </v>
      </c>
      <c r="BV317" s="495" t="e">
        <f t="shared" si="262"/>
        <v>#DIV/0!</v>
      </c>
      <c r="BW317" s="495" t="e">
        <f t="shared" si="263"/>
        <v>#DIV/0!</v>
      </c>
      <c r="BX317" s="495" t="e">
        <f t="shared" si="264"/>
        <v>#DIV/0!</v>
      </c>
      <c r="BY317" s="495" t="str">
        <f t="shared" si="265"/>
        <v xml:space="preserve"> </v>
      </c>
    </row>
    <row r="318" spans="1:77" s="28" customFormat="1" ht="9" customHeight="1">
      <c r="A318" s="166">
        <v>246</v>
      </c>
      <c r="B318" s="170" t="s">
        <v>951</v>
      </c>
      <c r="C318" s="399">
        <v>335.6</v>
      </c>
      <c r="D318" s="376"/>
      <c r="E318" s="167" t="s">
        <v>1006</v>
      </c>
      <c r="F318" s="399"/>
      <c r="G318" s="399"/>
      <c r="H318" s="195">
        <v>1209516</v>
      </c>
      <c r="I318" s="368">
        <f t="shared" si="313"/>
        <v>0</v>
      </c>
      <c r="J318" s="217">
        <v>0</v>
      </c>
      <c r="K318" s="469">
        <v>0</v>
      </c>
      <c r="L318" s="217">
        <v>0</v>
      </c>
      <c r="M318" s="469">
        <v>0</v>
      </c>
      <c r="N318" s="217">
        <v>0</v>
      </c>
      <c r="O318" s="249">
        <v>0</v>
      </c>
      <c r="P318" s="368">
        <v>0</v>
      </c>
      <c r="Q318" s="249">
        <v>0</v>
      </c>
      <c r="R318" s="368">
        <v>0</v>
      </c>
      <c r="S318" s="249">
        <v>0</v>
      </c>
      <c r="T318" s="368">
        <v>0</v>
      </c>
      <c r="U318" s="130">
        <v>0</v>
      </c>
      <c r="V318" s="368">
        <v>0</v>
      </c>
      <c r="W318" s="20">
        <v>374</v>
      </c>
      <c r="X318" s="368">
        <f t="shared" si="314"/>
        <v>1155087.78</v>
      </c>
      <c r="Y318" s="370">
        <v>0</v>
      </c>
      <c r="Z318" s="370">
        <v>0</v>
      </c>
      <c r="AA318" s="370">
        <v>0</v>
      </c>
      <c r="AB318" s="370">
        <v>0</v>
      </c>
      <c r="AC318" s="370">
        <v>0</v>
      </c>
      <c r="AD318" s="370">
        <v>0</v>
      </c>
      <c r="AE318" s="370">
        <v>0</v>
      </c>
      <c r="AF318" s="370">
        <v>0</v>
      </c>
      <c r="AG318" s="370">
        <v>0</v>
      </c>
      <c r="AH318" s="370">
        <v>0</v>
      </c>
      <c r="AI318" s="370">
        <v>0</v>
      </c>
      <c r="AJ318" s="370">
        <f t="shared" si="315"/>
        <v>36285.480000000003</v>
      </c>
      <c r="AK318" s="370">
        <f t="shared" si="316"/>
        <v>18142.740000000002</v>
      </c>
      <c r="AL318" s="370">
        <v>0</v>
      </c>
      <c r="AM318" s="480"/>
      <c r="AN318" s="480"/>
      <c r="AP318" s="486" t="e">
        <f t="shared" si="242"/>
        <v>#DIV/0!</v>
      </c>
      <c r="AQ318" s="486" t="e">
        <f t="shared" si="244"/>
        <v>#DIV/0!</v>
      </c>
      <c r="AR318" s="486" t="e">
        <f t="shared" si="245"/>
        <v>#DIV/0!</v>
      </c>
      <c r="AS318" s="486" t="e">
        <f t="shared" si="246"/>
        <v>#DIV/0!</v>
      </c>
      <c r="AT318" s="486" t="e">
        <f t="shared" si="247"/>
        <v>#DIV/0!</v>
      </c>
      <c r="AU318" s="486" t="e">
        <f t="shared" si="248"/>
        <v>#DIV/0!</v>
      </c>
      <c r="AV318" s="486" t="e">
        <f t="shared" si="249"/>
        <v>#DIV/0!</v>
      </c>
      <c r="AW318" s="486">
        <f t="shared" si="250"/>
        <v>3088.4700000000003</v>
      </c>
      <c r="AX318" s="486" t="e">
        <f t="shared" si="251"/>
        <v>#DIV/0!</v>
      </c>
      <c r="AY318" s="486" t="e">
        <f t="shared" si="252"/>
        <v>#DIV/0!</v>
      </c>
      <c r="AZ318" s="486" t="e">
        <f t="shared" si="253"/>
        <v>#DIV/0!</v>
      </c>
      <c r="BA318" s="486">
        <f t="shared" si="243"/>
        <v>0</v>
      </c>
      <c r="BB318" s="494">
        <v>5155.41</v>
      </c>
      <c r="BC318" s="494">
        <v>2070.12</v>
      </c>
      <c r="BD318" s="494">
        <v>848.92</v>
      </c>
      <c r="BE318" s="494">
        <v>819.73</v>
      </c>
      <c r="BF318" s="494">
        <v>611.5</v>
      </c>
      <c r="BG318" s="494">
        <v>1080.04</v>
      </c>
      <c r="BH318" s="494">
        <v>2671800.0099999998</v>
      </c>
      <c r="BI318" s="494">
        <f t="shared" si="288"/>
        <v>4422.8500000000004</v>
      </c>
      <c r="BJ318" s="494">
        <v>14289.54</v>
      </c>
      <c r="BK318" s="494">
        <v>3389.61</v>
      </c>
      <c r="BL318" s="494">
        <v>5995.76</v>
      </c>
      <c r="BM318" s="494">
        <v>548.62</v>
      </c>
      <c r="BN318" s="495" t="e">
        <f t="shared" si="254"/>
        <v>#DIV/0!</v>
      </c>
      <c r="BO318" s="495" t="e">
        <f t="shared" si="255"/>
        <v>#DIV/0!</v>
      </c>
      <c r="BP318" s="495" t="e">
        <f t="shared" si="256"/>
        <v>#DIV/0!</v>
      </c>
      <c r="BQ318" s="495" t="e">
        <f t="shared" si="257"/>
        <v>#DIV/0!</v>
      </c>
      <c r="BR318" s="495" t="e">
        <f t="shared" si="258"/>
        <v>#DIV/0!</v>
      </c>
      <c r="BS318" s="495" t="e">
        <f t="shared" si="259"/>
        <v>#DIV/0!</v>
      </c>
      <c r="BT318" s="495" t="e">
        <f t="shared" si="260"/>
        <v>#DIV/0!</v>
      </c>
      <c r="BU318" s="495" t="str">
        <f t="shared" si="261"/>
        <v xml:space="preserve"> </v>
      </c>
      <c r="BV318" s="495" t="e">
        <f t="shared" si="262"/>
        <v>#DIV/0!</v>
      </c>
      <c r="BW318" s="495" t="e">
        <f t="shared" si="263"/>
        <v>#DIV/0!</v>
      </c>
      <c r="BX318" s="495" t="e">
        <f t="shared" si="264"/>
        <v>#DIV/0!</v>
      </c>
      <c r="BY318" s="495" t="str">
        <f t="shared" si="265"/>
        <v xml:space="preserve"> </v>
      </c>
    </row>
    <row r="319" spans="1:77" s="28" customFormat="1" ht="36.75" customHeight="1">
      <c r="A319" s="956" t="s">
        <v>12</v>
      </c>
      <c r="B319" s="956"/>
      <c r="C319" s="167">
        <f>SUM(C316:C318)</f>
        <v>1546.3000000000002</v>
      </c>
      <c r="D319" s="397"/>
      <c r="E319" s="362" t="s">
        <v>391</v>
      </c>
      <c r="F319" s="374"/>
      <c r="G319" s="374"/>
      <c r="H319" s="167">
        <f>SUM(H316:H318)</f>
        <v>3528294</v>
      </c>
      <c r="I319" s="167">
        <f t="shared" ref="I319:AN319" si="317">SUM(I316:I318)</f>
        <v>0</v>
      </c>
      <c r="J319" s="167">
        <f t="shared" si="317"/>
        <v>0</v>
      </c>
      <c r="K319" s="167">
        <f t="shared" si="317"/>
        <v>0</v>
      </c>
      <c r="L319" s="167">
        <f t="shared" si="317"/>
        <v>0</v>
      </c>
      <c r="M319" s="167">
        <f t="shared" si="317"/>
        <v>0</v>
      </c>
      <c r="N319" s="167">
        <f t="shared" si="317"/>
        <v>0</v>
      </c>
      <c r="O319" s="167">
        <f t="shared" si="317"/>
        <v>0</v>
      </c>
      <c r="P319" s="167">
        <f t="shared" si="317"/>
        <v>0</v>
      </c>
      <c r="Q319" s="167">
        <f t="shared" si="317"/>
        <v>0</v>
      </c>
      <c r="R319" s="167">
        <f t="shared" si="317"/>
        <v>0</v>
      </c>
      <c r="S319" s="167">
        <f t="shared" si="317"/>
        <v>0</v>
      </c>
      <c r="T319" s="167">
        <f t="shared" si="317"/>
        <v>0</v>
      </c>
      <c r="U319" s="190">
        <f t="shared" si="317"/>
        <v>0</v>
      </c>
      <c r="V319" s="167">
        <f t="shared" si="317"/>
        <v>0</v>
      </c>
      <c r="W319" s="167">
        <f t="shared" si="317"/>
        <v>1091</v>
      </c>
      <c r="X319" s="167">
        <f t="shared" si="317"/>
        <v>3369520.7700000005</v>
      </c>
      <c r="Y319" s="167">
        <f t="shared" si="317"/>
        <v>0</v>
      </c>
      <c r="Z319" s="167">
        <f t="shared" si="317"/>
        <v>0</v>
      </c>
      <c r="AA319" s="167">
        <f t="shared" si="317"/>
        <v>0</v>
      </c>
      <c r="AB319" s="167">
        <f t="shared" si="317"/>
        <v>0</v>
      </c>
      <c r="AC319" s="167">
        <f t="shared" si="317"/>
        <v>0</v>
      </c>
      <c r="AD319" s="167">
        <f t="shared" si="317"/>
        <v>0</v>
      </c>
      <c r="AE319" s="167">
        <f t="shared" si="317"/>
        <v>0</v>
      </c>
      <c r="AF319" s="167">
        <f t="shared" si="317"/>
        <v>0</v>
      </c>
      <c r="AG319" s="167">
        <f t="shared" si="317"/>
        <v>0</v>
      </c>
      <c r="AH319" s="167">
        <f t="shared" si="317"/>
        <v>0</v>
      </c>
      <c r="AI319" s="167">
        <f t="shared" si="317"/>
        <v>0</v>
      </c>
      <c r="AJ319" s="167">
        <f t="shared" si="317"/>
        <v>105848.82</v>
      </c>
      <c r="AK319" s="167">
        <f t="shared" si="317"/>
        <v>52924.41</v>
      </c>
      <c r="AL319" s="167">
        <f t="shared" si="317"/>
        <v>0</v>
      </c>
      <c r="AM319" s="167">
        <f t="shared" si="317"/>
        <v>0</v>
      </c>
      <c r="AN319" s="167">
        <f t="shared" si="317"/>
        <v>0</v>
      </c>
      <c r="AP319" s="486" t="e">
        <f t="shared" si="242"/>
        <v>#DIV/0!</v>
      </c>
      <c r="AQ319" s="486" t="e">
        <f t="shared" si="244"/>
        <v>#DIV/0!</v>
      </c>
      <c r="AR319" s="497" t="e">
        <f t="shared" si="245"/>
        <v>#DIV/0!</v>
      </c>
      <c r="AS319" s="497" t="e">
        <f t="shared" si="246"/>
        <v>#DIV/0!</v>
      </c>
      <c r="AT319" s="497" t="e">
        <f t="shared" si="247"/>
        <v>#DIV/0!</v>
      </c>
      <c r="AU319" s="497" t="e">
        <f t="shared" si="248"/>
        <v>#DIV/0!</v>
      </c>
      <c r="AV319" s="497" t="e">
        <f t="shared" si="249"/>
        <v>#DIV/0!</v>
      </c>
      <c r="AW319" s="497">
        <f t="shared" si="250"/>
        <v>3088.4700000000003</v>
      </c>
      <c r="AX319" s="497" t="e">
        <f t="shared" si="251"/>
        <v>#DIV/0!</v>
      </c>
      <c r="AY319" s="486" t="e">
        <f t="shared" si="252"/>
        <v>#DIV/0!</v>
      </c>
      <c r="AZ319" s="497" t="e">
        <f t="shared" si="253"/>
        <v>#DIV/0!</v>
      </c>
      <c r="BA319" s="486">
        <f t="shared" si="243"/>
        <v>0</v>
      </c>
      <c r="BB319" s="494">
        <v>5155.41</v>
      </c>
      <c r="BC319" s="494">
        <v>2070.12</v>
      </c>
      <c r="BD319" s="494">
        <v>848.92</v>
      </c>
      <c r="BE319" s="494">
        <v>819.73</v>
      </c>
      <c r="BF319" s="494">
        <v>611.5</v>
      </c>
      <c r="BG319" s="494">
        <v>1080.04</v>
      </c>
      <c r="BH319" s="494">
        <v>2671800.0099999998</v>
      </c>
      <c r="BI319" s="494">
        <f t="shared" si="288"/>
        <v>4422.8500000000004</v>
      </c>
      <c r="BJ319" s="494">
        <v>14289.54</v>
      </c>
      <c r="BK319" s="494">
        <v>3389.61</v>
      </c>
      <c r="BL319" s="494">
        <v>5995.76</v>
      </c>
      <c r="BM319" s="494">
        <v>548.62</v>
      </c>
      <c r="BN319" s="493" t="e">
        <f t="shared" si="254"/>
        <v>#DIV/0!</v>
      </c>
      <c r="BO319" s="493" t="e">
        <f t="shared" si="255"/>
        <v>#DIV/0!</v>
      </c>
      <c r="BP319" s="493" t="e">
        <f t="shared" si="256"/>
        <v>#DIV/0!</v>
      </c>
      <c r="BQ319" s="493" t="e">
        <f t="shared" si="257"/>
        <v>#DIV/0!</v>
      </c>
      <c r="BR319" s="493" t="e">
        <f t="shared" si="258"/>
        <v>#DIV/0!</v>
      </c>
      <c r="BS319" s="493" t="e">
        <f t="shared" si="259"/>
        <v>#DIV/0!</v>
      </c>
      <c r="BT319" s="493" t="e">
        <f t="shared" si="260"/>
        <v>#DIV/0!</v>
      </c>
      <c r="BU319" s="493" t="str">
        <f t="shared" si="261"/>
        <v xml:space="preserve"> </v>
      </c>
      <c r="BV319" s="493" t="e">
        <f t="shared" si="262"/>
        <v>#DIV/0!</v>
      </c>
      <c r="BW319" s="493" t="e">
        <f t="shared" si="263"/>
        <v>#DIV/0!</v>
      </c>
      <c r="BX319" s="493" t="e">
        <f t="shared" si="264"/>
        <v>#DIV/0!</v>
      </c>
      <c r="BY319" s="493" t="str">
        <f t="shared" si="265"/>
        <v xml:space="preserve"> </v>
      </c>
    </row>
    <row r="320" spans="1:77" s="28" customFormat="1" ht="12" customHeight="1">
      <c r="A320" s="833" t="s">
        <v>1062</v>
      </c>
      <c r="B320" s="834"/>
      <c r="C320" s="834"/>
      <c r="D320" s="834"/>
      <c r="E320" s="834"/>
      <c r="F320" s="834"/>
      <c r="G320" s="834"/>
      <c r="H320" s="834"/>
      <c r="I320" s="834"/>
      <c r="J320" s="834"/>
      <c r="K320" s="834"/>
      <c r="L320" s="834"/>
      <c r="M320" s="834"/>
      <c r="N320" s="834"/>
      <c r="O320" s="834"/>
      <c r="P320" s="834"/>
      <c r="Q320" s="834"/>
      <c r="R320" s="834"/>
      <c r="S320" s="834"/>
      <c r="T320" s="834"/>
      <c r="U320" s="834"/>
      <c r="V320" s="834"/>
      <c r="W320" s="834"/>
      <c r="X320" s="834"/>
      <c r="Y320" s="834"/>
      <c r="Z320" s="834"/>
      <c r="AA320" s="834"/>
      <c r="AB320" s="834"/>
      <c r="AC320" s="834"/>
      <c r="AD320" s="834"/>
      <c r="AE320" s="834"/>
      <c r="AF320" s="834"/>
      <c r="AG320" s="834"/>
      <c r="AH320" s="834"/>
      <c r="AI320" s="834"/>
      <c r="AJ320" s="834"/>
      <c r="AK320" s="834"/>
      <c r="AL320" s="835"/>
      <c r="AM320" s="280"/>
      <c r="AN320" s="280"/>
      <c r="AP320" s="486" t="e">
        <f t="shared" si="242"/>
        <v>#DIV/0!</v>
      </c>
      <c r="AQ320" s="486" t="e">
        <f t="shared" si="244"/>
        <v>#DIV/0!</v>
      </c>
      <c r="AR320" s="497" t="e">
        <f t="shared" si="245"/>
        <v>#DIV/0!</v>
      </c>
      <c r="AS320" s="497" t="e">
        <f t="shared" si="246"/>
        <v>#DIV/0!</v>
      </c>
      <c r="AT320" s="497" t="e">
        <f t="shared" si="247"/>
        <v>#DIV/0!</v>
      </c>
      <c r="AU320" s="497" t="e">
        <f t="shared" si="248"/>
        <v>#DIV/0!</v>
      </c>
      <c r="AV320" s="497" t="e">
        <f t="shared" si="249"/>
        <v>#DIV/0!</v>
      </c>
      <c r="AW320" s="497" t="e">
        <f t="shared" si="250"/>
        <v>#DIV/0!</v>
      </c>
      <c r="AX320" s="497" t="e">
        <f t="shared" si="251"/>
        <v>#DIV/0!</v>
      </c>
      <c r="AY320" s="486" t="e">
        <f t="shared" si="252"/>
        <v>#DIV/0!</v>
      </c>
      <c r="AZ320" s="497" t="e">
        <f t="shared" si="253"/>
        <v>#DIV/0!</v>
      </c>
      <c r="BA320" s="486" t="e">
        <f t="shared" si="243"/>
        <v>#DIV/0!</v>
      </c>
      <c r="BB320" s="494">
        <v>5155.41</v>
      </c>
      <c r="BC320" s="494">
        <v>2070.12</v>
      </c>
      <c r="BD320" s="494">
        <v>848.92</v>
      </c>
      <c r="BE320" s="494">
        <v>819.73</v>
      </c>
      <c r="BF320" s="494">
        <v>611.5</v>
      </c>
      <c r="BG320" s="494">
        <v>1080.04</v>
      </c>
      <c r="BH320" s="494">
        <v>2671800.0099999998</v>
      </c>
      <c r="BI320" s="494">
        <f t="shared" si="288"/>
        <v>4422.8500000000004</v>
      </c>
      <c r="BJ320" s="494">
        <v>14289.54</v>
      </c>
      <c r="BK320" s="494">
        <v>3389.61</v>
      </c>
      <c r="BL320" s="494">
        <v>5995.76</v>
      </c>
      <c r="BM320" s="494">
        <v>548.62</v>
      </c>
      <c r="BN320" s="493" t="e">
        <f t="shared" si="254"/>
        <v>#DIV/0!</v>
      </c>
      <c r="BO320" s="493" t="e">
        <f t="shared" si="255"/>
        <v>#DIV/0!</v>
      </c>
      <c r="BP320" s="493" t="e">
        <f t="shared" si="256"/>
        <v>#DIV/0!</v>
      </c>
      <c r="BQ320" s="493" t="e">
        <f t="shared" si="257"/>
        <v>#DIV/0!</v>
      </c>
      <c r="BR320" s="493" t="e">
        <f t="shared" si="258"/>
        <v>#DIV/0!</v>
      </c>
      <c r="BS320" s="493" t="e">
        <f t="shared" si="259"/>
        <v>#DIV/0!</v>
      </c>
      <c r="BT320" s="493" t="e">
        <f t="shared" si="260"/>
        <v>#DIV/0!</v>
      </c>
      <c r="BU320" s="493" t="e">
        <f t="shared" si="261"/>
        <v>#DIV/0!</v>
      </c>
      <c r="BV320" s="493" t="e">
        <f t="shared" si="262"/>
        <v>#DIV/0!</v>
      </c>
      <c r="BW320" s="493" t="e">
        <f t="shared" si="263"/>
        <v>#DIV/0!</v>
      </c>
      <c r="BX320" s="493" t="e">
        <f t="shared" si="264"/>
        <v>#DIV/0!</v>
      </c>
      <c r="BY320" s="493" t="e">
        <f t="shared" si="265"/>
        <v>#DIV/0!</v>
      </c>
    </row>
    <row r="321" spans="1:77" s="28" customFormat="1" ht="9" customHeight="1">
      <c r="A321" s="166">
        <v>247</v>
      </c>
      <c r="B321" s="275" t="s">
        <v>958</v>
      </c>
      <c r="C321" s="399">
        <v>873.5</v>
      </c>
      <c r="D321" s="376"/>
      <c r="E321" s="362" t="s">
        <v>1005</v>
      </c>
      <c r="F321" s="374"/>
      <c r="G321" s="374"/>
      <c r="H321" s="362">
        <v>2790891.4</v>
      </c>
      <c r="I321" s="371">
        <f t="shared" ref="I321" si="318">J321+L321+N321+P321+R321+T321</f>
        <v>0</v>
      </c>
      <c r="J321" s="217">
        <v>0</v>
      </c>
      <c r="K321" s="469">
        <v>0</v>
      </c>
      <c r="L321" s="217">
        <v>0</v>
      </c>
      <c r="M321" s="469">
        <v>0</v>
      </c>
      <c r="N321" s="217">
        <v>0</v>
      </c>
      <c r="O321" s="249">
        <v>0</v>
      </c>
      <c r="P321" s="371">
        <v>0</v>
      </c>
      <c r="Q321" s="249">
        <v>0</v>
      </c>
      <c r="R321" s="371">
        <v>0</v>
      </c>
      <c r="S321" s="249">
        <v>0</v>
      </c>
      <c r="T321" s="371">
        <v>0</v>
      </c>
      <c r="U321" s="130">
        <v>0</v>
      </c>
      <c r="V321" s="371">
        <v>0</v>
      </c>
      <c r="W321" s="20">
        <v>837</v>
      </c>
      <c r="X321" s="371">
        <f t="shared" ref="X321" si="319">ROUND(H321/100*95.5,2)</f>
        <v>2665301.29</v>
      </c>
      <c r="Y321" s="373">
        <v>0</v>
      </c>
      <c r="Z321" s="373">
        <v>0</v>
      </c>
      <c r="AA321" s="373">
        <v>0</v>
      </c>
      <c r="AB321" s="373">
        <v>0</v>
      </c>
      <c r="AC321" s="373">
        <v>0</v>
      </c>
      <c r="AD321" s="373">
        <v>0</v>
      </c>
      <c r="AE321" s="373">
        <v>0</v>
      </c>
      <c r="AF321" s="373">
        <v>0</v>
      </c>
      <c r="AG321" s="373">
        <v>0</v>
      </c>
      <c r="AH321" s="373">
        <v>0</v>
      </c>
      <c r="AI321" s="373">
        <v>0</v>
      </c>
      <c r="AJ321" s="373">
        <f t="shared" ref="AJ321" si="320">ROUND(H321/100*3,2)</f>
        <v>83726.740000000005</v>
      </c>
      <c r="AK321" s="373">
        <f t="shared" ref="AK321" si="321">ROUND(H321/100*1.5,2)</f>
        <v>41863.370000000003</v>
      </c>
      <c r="AL321" s="373">
        <v>0</v>
      </c>
      <c r="AM321" s="446"/>
      <c r="AN321" s="446"/>
      <c r="AP321" s="486" t="e">
        <f t="shared" si="242"/>
        <v>#DIV/0!</v>
      </c>
      <c r="AQ321" s="486" t="e">
        <f t="shared" si="244"/>
        <v>#DIV/0!</v>
      </c>
      <c r="AR321" s="486" t="e">
        <f t="shared" si="245"/>
        <v>#DIV/0!</v>
      </c>
      <c r="AS321" s="486" t="e">
        <f t="shared" si="246"/>
        <v>#DIV/0!</v>
      </c>
      <c r="AT321" s="486" t="e">
        <f t="shared" si="247"/>
        <v>#DIV/0!</v>
      </c>
      <c r="AU321" s="486" t="e">
        <f t="shared" si="248"/>
        <v>#DIV/0!</v>
      </c>
      <c r="AV321" s="486" t="e">
        <f t="shared" si="249"/>
        <v>#DIV/0!</v>
      </c>
      <c r="AW321" s="486">
        <f t="shared" si="250"/>
        <v>3184.3504062126644</v>
      </c>
      <c r="AX321" s="486" t="e">
        <f t="shared" si="251"/>
        <v>#DIV/0!</v>
      </c>
      <c r="AY321" s="486" t="e">
        <f t="shared" si="252"/>
        <v>#DIV/0!</v>
      </c>
      <c r="AZ321" s="486" t="e">
        <f t="shared" si="253"/>
        <v>#DIV/0!</v>
      </c>
      <c r="BA321" s="486">
        <f t="shared" si="243"/>
        <v>0</v>
      </c>
      <c r="BB321" s="494">
        <v>5155.41</v>
      </c>
      <c r="BC321" s="494">
        <v>2070.12</v>
      </c>
      <c r="BD321" s="494">
        <v>848.92</v>
      </c>
      <c r="BE321" s="494">
        <v>819.73</v>
      </c>
      <c r="BF321" s="494">
        <v>611.5</v>
      </c>
      <c r="BG321" s="494">
        <v>1080.04</v>
      </c>
      <c r="BH321" s="494">
        <v>2671800.0099999998</v>
      </c>
      <c r="BI321" s="494">
        <f t="shared" si="288"/>
        <v>4607.6000000000004</v>
      </c>
      <c r="BJ321" s="494">
        <v>14289.54</v>
      </c>
      <c r="BK321" s="494">
        <v>3389.61</v>
      </c>
      <c r="BL321" s="494">
        <v>5995.76</v>
      </c>
      <c r="BM321" s="494">
        <v>548.62</v>
      </c>
      <c r="BN321" s="495" t="e">
        <f t="shared" si="254"/>
        <v>#DIV/0!</v>
      </c>
      <c r="BO321" s="495" t="e">
        <f t="shared" si="255"/>
        <v>#DIV/0!</v>
      </c>
      <c r="BP321" s="495" t="e">
        <f t="shared" si="256"/>
        <v>#DIV/0!</v>
      </c>
      <c r="BQ321" s="495" t="e">
        <f t="shared" si="257"/>
        <v>#DIV/0!</v>
      </c>
      <c r="BR321" s="495" t="e">
        <f t="shared" si="258"/>
        <v>#DIV/0!</v>
      </c>
      <c r="BS321" s="495" t="e">
        <f t="shared" si="259"/>
        <v>#DIV/0!</v>
      </c>
      <c r="BT321" s="495" t="e">
        <f t="shared" si="260"/>
        <v>#DIV/0!</v>
      </c>
      <c r="BU321" s="495" t="str">
        <f t="shared" si="261"/>
        <v xml:space="preserve"> </v>
      </c>
      <c r="BV321" s="495" t="e">
        <f t="shared" si="262"/>
        <v>#DIV/0!</v>
      </c>
      <c r="BW321" s="495" t="e">
        <f t="shared" si="263"/>
        <v>#DIV/0!</v>
      </c>
      <c r="BX321" s="495" t="e">
        <f t="shared" si="264"/>
        <v>#DIV/0!</v>
      </c>
      <c r="BY321" s="495" t="str">
        <f t="shared" si="265"/>
        <v xml:space="preserve"> </v>
      </c>
    </row>
    <row r="322" spans="1:77" s="28" customFormat="1" ht="36.75" customHeight="1">
      <c r="A322" s="956" t="s">
        <v>1063</v>
      </c>
      <c r="B322" s="956"/>
      <c r="C322" s="167">
        <f>SUM(C321)</f>
        <v>873.5</v>
      </c>
      <c r="D322" s="397"/>
      <c r="E322" s="362" t="s">
        <v>391</v>
      </c>
      <c r="F322" s="374"/>
      <c r="G322" s="374"/>
      <c r="H322" s="167">
        <f>SUM(H321)</f>
        <v>2790891.4</v>
      </c>
      <c r="I322" s="167">
        <f t="shared" ref="I322:AL322" si="322">SUM(I321)</f>
        <v>0</v>
      </c>
      <c r="J322" s="167">
        <f t="shared" si="322"/>
        <v>0</v>
      </c>
      <c r="K322" s="167">
        <f t="shared" si="322"/>
        <v>0</v>
      </c>
      <c r="L322" s="167">
        <f t="shared" si="322"/>
        <v>0</v>
      </c>
      <c r="M322" s="167">
        <f t="shared" si="322"/>
        <v>0</v>
      </c>
      <c r="N322" s="167">
        <f t="shared" si="322"/>
        <v>0</v>
      </c>
      <c r="O322" s="167">
        <f t="shared" si="322"/>
        <v>0</v>
      </c>
      <c r="P322" s="167">
        <f t="shared" si="322"/>
        <v>0</v>
      </c>
      <c r="Q322" s="167">
        <f t="shared" si="322"/>
        <v>0</v>
      </c>
      <c r="R322" s="167">
        <f t="shared" si="322"/>
        <v>0</v>
      </c>
      <c r="S322" s="167">
        <f t="shared" si="322"/>
        <v>0</v>
      </c>
      <c r="T322" s="167">
        <f t="shared" si="322"/>
        <v>0</v>
      </c>
      <c r="U322" s="190">
        <f t="shared" si="322"/>
        <v>0</v>
      </c>
      <c r="V322" s="167">
        <f t="shared" si="322"/>
        <v>0</v>
      </c>
      <c r="W322" s="167">
        <f t="shared" si="322"/>
        <v>837</v>
      </c>
      <c r="X322" s="167">
        <f t="shared" si="322"/>
        <v>2665301.29</v>
      </c>
      <c r="Y322" s="167">
        <f t="shared" si="322"/>
        <v>0</v>
      </c>
      <c r="Z322" s="167">
        <f t="shared" si="322"/>
        <v>0</v>
      </c>
      <c r="AA322" s="167">
        <f t="shared" si="322"/>
        <v>0</v>
      </c>
      <c r="AB322" s="167">
        <f t="shared" si="322"/>
        <v>0</v>
      </c>
      <c r="AC322" s="167">
        <f t="shared" si="322"/>
        <v>0</v>
      </c>
      <c r="AD322" s="167">
        <f t="shared" si="322"/>
        <v>0</v>
      </c>
      <c r="AE322" s="167">
        <f t="shared" si="322"/>
        <v>0</v>
      </c>
      <c r="AF322" s="167">
        <f t="shared" si="322"/>
        <v>0</v>
      </c>
      <c r="AG322" s="167">
        <f t="shared" si="322"/>
        <v>0</v>
      </c>
      <c r="AH322" s="167">
        <f t="shared" si="322"/>
        <v>0</v>
      </c>
      <c r="AI322" s="167">
        <f t="shared" si="322"/>
        <v>0</v>
      </c>
      <c r="AJ322" s="167">
        <f t="shared" si="322"/>
        <v>83726.740000000005</v>
      </c>
      <c r="AK322" s="167">
        <f t="shared" si="322"/>
        <v>41863.370000000003</v>
      </c>
      <c r="AL322" s="167">
        <f t="shared" si="322"/>
        <v>0</v>
      </c>
      <c r="AM322" s="280"/>
      <c r="AN322" s="280"/>
      <c r="AP322" s="486" t="e">
        <f t="shared" si="242"/>
        <v>#DIV/0!</v>
      </c>
      <c r="AQ322" s="486" t="e">
        <f t="shared" si="244"/>
        <v>#DIV/0!</v>
      </c>
      <c r="AR322" s="497" t="e">
        <f t="shared" si="245"/>
        <v>#DIV/0!</v>
      </c>
      <c r="AS322" s="497" t="e">
        <f t="shared" si="246"/>
        <v>#DIV/0!</v>
      </c>
      <c r="AT322" s="497" t="e">
        <f t="shared" si="247"/>
        <v>#DIV/0!</v>
      </c>
      <c r="AU322" s="497" t="e">
        <f t="shared" si="248"/>
        <v>#DIV/0!</v>
      </c>
      <c r="AV322" s="497" t="e">
        <f t="shared" si="249"/>
        <v>#DIV/0!</v>
      </c>
      <c r="AW322" s="497">
        <f t="shared" si="250"/>
        <v>3184.3504062126644</v>
      </c>
      <c r="AX322" s="497" t="e">
        <f t="shared" si="251"/>
        <v>#DIV/0!</v>
      </c>
      <c r="AY322" s="486" t="e">
        <f t="shared" si="252"/>
        <v>#DIV/0!</v>
      </c>
      <c r="AZ322" s="497" t="e">
        <f t="shared" si="253"/>
        <v>#DIV/0!</v>
      </c>
      <c r="BA322" s="486">
        <f t="shared" si="243"/>
        <v>0</v>
      </c>
      <c r="BB322" s="494">
        <v>5155.41</v>
      </c>
      <c r="BC322" s="494">
        <v>2070.12</v>
      </c>
      <c r="BD322" s="494">
        <v>848.92</v>
      </c>
      <c r="BE322" s="494">
        <v>819.73</v>
      </c>
      <c r="BF322" s="494">
        <v>611.5</v>
      </c>
      <c r="BG322" s="494">
        <v>1080.04</v>
      </c>
      <c r="BH322" s="494">
        <v>2671800.0099999998</v>
      </c>
      <c r="BI322" s="494">
        <f t="shared" si="288"/>
        <v>4422.8500000000004</v>
      </c>
      <c r="BJ322" s="494">
        <v>14289.54</v>
      </c>
      <c r="BK322" s="494">
        <v>3389.61</v>
      </c>
      <c r="BL322" s="494">
        <v>5995.76</v>
      </c>
      <c r="BM322" s="494">
        <v>548.62</v>
      </c>
      <c r="BN322" s="493" t="e">
        <f t="shared" si="254"/>
        <v>#DIV/0!</v>
      </c>
      <c r="BO322" s="493" t="e">
        <f t="shared" si="255"/>
        <v>#DIV/0!</v>
      </c>
      <c r="BP322" s="493" t="e">
        <f t="shared" si="256"/>
        <v>#DIV/0!</v>
      </c>
      <c r="BQ322" s="493" t="e">
        <f t="shared" si="257"/>
        <v>#DIV/0!</v>
      </c>
      <c r="BR322" s="493" t="e">
        <f t="shared" si="258"/>
        <v>#DIV/0!</v>
      </c>
      <c r="BS322" s="493" t="e">
        <f t="shared" si="259"/>
        <v>#DIV/0!</v>
      </c>
      <c r="BT322" s="493" t="e">
        <f t="shared" si="260"/>
        <v>#DIV/0!</v>
      </c>
      <c r="BU322" s="493" t="str">
        <f t="shared" si="261"/>
        <v xml:space="preserve"> </v>
      </c>
      <c r="BV322" s="493" t="e">
        <f t="shared" si="262"/>
        <v>#DIV/0!</v>
      </c>
      <c r="BW322" s="493" t="e">
        <f t="shared" si="263"/>
        <v>#DIV/0!</v>
      </c>
      <c r="BX322" s="493" t="e">
        <f t="shared" si="264"/>
        <v>#DIV/0!</v>
      </c>
      <c r="BY322" s="493" t="str">
        <f t="shared" si="265"/>
        <v xml:space="preserve"> </v>
      </c>
    </row>
    <row r="323" spans="1:77" s="28" customFormat="1" ht="14.25" customHeight="1">
      <c r="A323" s="833" t="s">
        <v>429</v>
      </c>
      <c r="B323" s="834"/>
      <c r="C323" s="834"/>
      <c r="D323" s="834"/>
      <c r="E323" s="834"/>
      <c r="F323" s="834"/>
      <c r="G323" s="834"/>
      <c r="H323" s="834"/>
      <c r="I323" s="834"/>
      <c r="J323" s="834"/>
      <c r="K323" s="834"/>
      <c r="L323" s="834"/>
      <c r="M323" s="834"/>
      <c r="N323" s="834"/>
      <c r="O323" s="834"/>
      <c r="P323" s="834"/>
      <c r="Q323" s="834"/>
      <c r="R323" s="834"/>
      <c r="S323" s="834"/>
      <c r="T323" s="834"/>
      <c r="U323" s="834"/>
      <c r="V323" s="834"/>
      <c r="W323" s="834"/>
      <c r="X323" s="834"/>
      <c r="Y323" s="834"/>
      <c r="Z323" s="834"/>
      <c r="AA323" s="834"/>
      <c r="AB323" s="834"/>
      <c r="AC323" s="834"/>
      <c r="AD323" s="834"/>
      <c r="AE323" s="834"/>
      <c r="AF323" s="834"/>
      <c r="AG323" s="834"/>
      <c r="AH323" s="834"/>
      <c r="AI323" s="834"/>
      <c r="AJ323" s="834"/>
      <c r="AK323" s="834"/>
      <c r="AL323" s="835"/>
      <c r="AM323" s="280"/>
      <c r="AN323" s="280"/>
      <c r="AP323" s="486" t="e">
        <f t="shared" si="242"/>
        <v>#DIV/0!</v>
      </c>
      <c r="AQ323" s="486" t="e">
        <f t="shared" si="244"/>
        <v>#DIV/0!</v>
      </c>
      <c r="AR323" s="497" t="e">
        <f t="shared" si="245"/>
        <v>#DIV/0!</v>
      </c>
      <c r="AS323" s="497" t="e">
        <f t="shared" si="246"/>
        <v>#DIV/0!</v>
      </c>
      <c r="AT323" s="497" t="e">
        <f t="shared" si="247"/>
        <v>#DIV/0!</v>
      </c>
      <c r="AU323" s="497" t="e">
        <f t="shared" si="248"/>
        <v>#DIV/0!</v>
      </c>
      <c r="AV323" s="497" t="e">
        <f t="shared" si="249"/>
        <v>#DIV/0!</v>
      </c>
      <c r="AW323" s="497" t="e">
        <f t="shared" si="250"/>
        <v>#DIV/0!</v>
      </c>
      <c r="AX323" s="497" t="e">
        <f t="shared" si="251"/>
        <v>#DIV/0!</v>
      </c>
      <c r="AY323" s="486" t="e">
        <f t="shared" si="252"/>
        <v>#DIV/0!</v>
      </c>
      <c r="AZ323" s="497" t="e">
        <f t="shared" si="253"/>
        <v>#DIV/0!</v>
      </c>
      <c r="BA323" s="486" t="e">
        <f t="shared" si="243"/>
        <v>#DIV/0!</v>
      </c>
      <c r="BB323" s="494">
        <v>5155.41</v>
      </c>
      <c r="BC323" s="494">
        <v>2070.12</v>
      </c>
      <c r="BD323" s="494">
        <v>848.92</v>
      </c>
      <c r="BE323" s="494">
        <v>819.73</v>
      </c>
      <c r="BF323" s="494">
        <v>611.5</v>
      </c>
      <c r="BG323" s="494">
        <v>1080.04</v>
      </c>
      <c r="BH323" s="494">
        <v>2671800.0099999998</v>
      </c>
      <c r="BI323" s="494">
        <f t="shared" si="288"/>
        <v>4422.8500000000004</v>
      </c>
      <c r="BJ323" s="494">
        <v>14289.54</v>
      </c>
      <c r="BK323" s="494">
        <v>3389.61</v>
      </c>
      <c r="BL323" s="494">
        <v>5995.76</v>
      </c>
      <c r="BM323" s="494">
        <v>548.62</v>
      </c>
      <c r="BN323" s="493" t="e">
        <f t="shared" si="254"/>
        <v>#DIV/0!</v>
      </c>
      <c r="BO323" s="493" t="e">
        <f t="shared" si="255"/>
        <v>#DIV/0!</v>
      </c>
      <c r="BP323" s="493" t="e">
        <f t="shared" si="256"/>
        <v>#DIV/0!</v>
      </c>
      <c r="BQ323" s="493" t="e">
        <f t="shared" si="257"/>
        <v>#DIV/0!</v>
      </c>
      <c r="BR323" s="493" t="e">
        <f t="shared" si="258"/>
        <v>#DIV/0!</v>
      </c>
      <c r="BS323" s="493" t="e">
        <f t="shared" si="259"/>
        <v>#DIV/0!</v>
      </c>
      <c r="BT323" s="493" t="e">
        <f t="shared" si="260"/>
        <v>#DIV/0!</v>
      </c>
      <c r="BU323" s="493" t="e">
        <f t="shared" si="261"/>
        <v>#DIV/0!</v>
      </c>
      <c r="BV323" s="493" t="e">
        <f t="shared" si="262"/>
        <v>#DIV/0!</v>
      </c>
      <c r="BW323" s="493" t="e">
        <f t="shared" si="263"/>
        <v>#DIV/0!</v>
      </c>
      <c r="BX323" s="493" t="e">
        <f t="shared" si="264"/>
        <v>#DIV/0!</v>
      </c>
      <c r="BY323" s="493" t="e">
        <f t="shared" si="265"/>
        <v>#DIV/0!</v>
      </c>
    </row>
    <row r="324" spans="1:77" s="28" customFormat="1" ht="9" customHeight="1">
      <c r="A324" s="278">
        <v>248</v>
      </c>
      <c r="B324" s="156" t="s">
        <v>960</v>
      </c>
      <c r="C324" s="249">
        <v>894.2</v>
      </c>
      <c r="D324" s="376"/>
      <c r="E324" s="362" t="s">
        <v>1006</v>
      </c>
      <c r="F324" s="249"/>
      <c r="G324" s="249"/>
      <c r="H324" s="371">
        <v>2170014</v>
      </c>
      <c r="I324" s="371">
        <f t="shared" ref="I324" si="323">J324+L324+N324+P324+R324+T324</f>
        <v>0</v>
      </c>
      <c r="J324" s="217">
        <v>0</v>
      </c>
      <c r="K324" s="469">
        <v>0</v>
      </c>
      <c r="L324" s="217">
        <v>0</v>
      </c>
      <c r="M324" s="469">
        <v>0</v>
      </c>
      <c r="N324" s="217">
        <v>0</v>
      </c>
      <c r="O324" s="249">
        <v>0</v>
      </c>
      <c r="P324" s="371">
        <v>0</v>
      </c>
      <c r="Q324" s="249">
        <v>0</v>
      </c>
      <c r="R324" s="371">
        <v>0</v>
      </c>
      <c r="S324" s="249">
        <v>0</v>
      </c>
      <c r="T324" s="371">
        <v>0</v>
      </c>
      <c r="U324" s="130">
        <v>0</v>
      </c>
      <c r="V324" s="371">
        <v>0</v>
      </c>
      <c r="W324" s="20">
        <v>671</v>
      </c>
      <c r="X324" s="371">
        <f t="shared" ref="X324" si="324">ROUND(H324/100*95.5,2)</f>
        <v>2072363.37</v>
      </c>
      <c r="Y324" s="373">
        <v>0</v>
      </c>
      <c r="Z324" s="373">
        <v>0</v>
      </c>
      <c r="AA324" s="373">
        <v>0</v>
      </c>
      <c r="AB324" s="373">
        <v>0</v>
      </c>
      <c r="AC324" s="373">
        <v>0</v>
      </c>
      <c r="AD324" s="373">
        <v>0</v>
      </c>
      <c r="AE324" s="373">
        <v>0</v>
      </c>
      <c r="AF324" s="373">
        <v>0</v>
      </c>
      <c r="AG324" s="373">
        <v>0</v>
      </c>
      <c r="AH324" s="373">
        <v>0</v>
      </c>
      <c r="AI324" s="373">
        <v>0</v>
      </c>
      <c r="AJ324" s="373">
        <f t="shared" ref="AJ324" si="325">ROUND(H324/100*3,2)</f>
        <v>65100.42</v>
      </c>
      <c r="AK324" s="373">
        <f t="shared" ref="AK324" si="326">ROUND(H324/100*1.5,2)</f>
        <v>32550.21</v>
      </c>
      <c r="AL324" s="373">
        <v>0</v>
      </c>
      <c r="AM324" s="446"/>
      <c r="AN324" s="446"/>
      <c r="AP324" s="486" t="e">
        <f t="shared" si="242"/>
        <v>#DIV/0!</v>
      </c>
      <c r="AQ324" s="486" t="e">
        <f t="shared" si="244"/>
        <v>#DIV/0!</v>
      </c>
      <c r="AR324" s="486" t="e">
        <f t="shared" si="245"/>
        <v>#DIV/0!</v>
      </c>
      <c r="AS324" s="486" t="e">
        <f t="shared" si="246"/>
        <v>#DIV/0!</v>
      </c>
      <c r="AT324" s="486" t="e">
        <f t="shared" si="247"/>
        <v>#DIV/0!</v>
      </c>
      <c r="AU324" s="486" t="e">
        <f t="shared" si="248"/>
        <v>#DIV/0!</v>
      </c>
      <c r="AV324" s="486" t="e">
        <f t="shared" si="249"/>
        <v>#DIV/0!</v>
      </c>
      <c r="AW324" s="486">
        <f t="shared" si="250"/>
        <v>3088.4700000000003</v>
      </c>
      <c r="AX324" s="486" t="e">
        <f t="shared" si="251"/>
        <v>#DIV/0!</v>
      </c>
      <c r="AY324" s="486" t="e">
        <f t="shared" si="252"/>
        <v>#DIV/0!</v>
      </c>
      <c r="AZ324" s="486" t="e">
        <f t="shared" si="253"/>
        <v>#DIV/0!</v>
      </c>
      <c r="BA324" s="486">
        <f t="shared" si="243"/>
        <v>0</v>
      </c>
      <c r="BB324" s="494">
        <v>5155.41</v>
      </c>
      <c r="BC324" s="494">
        <v>2070.12</v>
      </c>
      <c r="BD324" s="494">
        <v>848.92</v>
      </c>
      <c r="BE324" s="494">
        <v>819.73</v>
      </c>
      <c r="BF324" s="494">
        <v>611.5</v>
      </c>
      <c r="BG324" s="494">
        <v>1080.04</v>
      </c>
      <c r="BH324" s="494">
        <v>2671800.0099999998</v>
      </c>
      <c r="BI324" s="494">
        <f t="shared" si="288"/>
        <v>4422.8500000000004</v>
      </c>
      <c r="BJ324" s="494">
        <v>14289.54</v>
      </c>
      <c r="BK324" s="494">
        <v>3389.61</v>
      </c>
      <c r="BL324" s="494">
        <v>5995.76</v>
      </c>
      <c r="BM324" s="494">
        <v>548.62</v>
      </c>
      <c r="BN324" s="495" t="e">
        <f t="shared" si="254"/>
        <v>#DIV/0!</v>
      </c>
      <c r="BO324" s="495" t="e">
        <f t="shared" si="255"/>
        <v>#DIV/0!</v>
      </c>
      <c r="BP324" s="495" t="e">
        <f t="shared" si="256"/>
        <v>#DIV/0!</v>
      </c>
      <c r="BQ324" s="495" t="e">
        <f t="shared" si="257"/>
        <v>#DIV/0!</v>
      </c>
      <c r="BR324" s="495" t="e">
        <f t="shared" si="258"/>
        <v>#DIV/0!</v>
      </c>
      <c r="BS324" s="495" t="e">
        <f t="shared" si="259"/>
        <v>#DIV/0!</v>
      </c>
      <c r="BT324" s="495" t="e">
        <f t="shared" si="260"/>
        <v>#DIV/0!</v>
      </c>
      <c r="BU324" s="495" t="str">
        <f t="shared" si="261"/>
        <v xml:space="preserve"> </v>
      </c>
      <c r="BV324" s="495" t="e">
        <f t="shared" si="262"/>
        <v>#DIV/0!</v>
      </c>
      <c r="BW324" s="495" t="e">
        <f t="shared" si="263"/>
        <v>#DIV/0!</v>
      </c>
      <c r="BX324" s="495" t="e">
        <f t="shared" si="264"/>
        <v>#DIV/0!</v>
      </c>
      <c r="BY324" s="495" t="str">
        <f t="shared" si="265"/>
        <v xml:space="preserve"> </v>
      </c>
    </row>
    <row r="325" spans="1:77" s="28" customFormat="1" ht="37.5" customHeight="1">
      <c r="A325" s="954" t="s">
        <v>430</v>
      </c>
      <c r="B325" s="954"/>
      <c r="C325" s="371">
        <f>SUM(C324)</f>
        <v>894.2</v>
      </c>
      <c r="D325" s="396"/>
      <c r="E325" s="362" t="s">
        <v>391</v>
      </c>
      <c r="F325" s="374"/>
      <c r="G325" s="374"/>
      <c r="H325" s="371">
        <f>SUM(H324)</f>
        <v>2170014</v>
      </c>
      <c r="I325" s="371">
        <f t="shared" ref="I325:AL325" si="327">SUM(I324)</f>
        <v>0</v>
      </c>
      <c r="J325" s="371">
        <f t="shared" si="327"/>
        <v>0</v>
      </c>
      <c r="K325" s="371">
        <f t="shared" si="327"/>
        <v>0</v>
      </c>
      <c r="L325" s="371">
        <f t="shared" si="327"/>
        <v>0</v>
      </c>
      <c r="M325" s="371">
        <f t="shared" si="327"/>
        <v>0</v>
      </c>
      <c r="N325" s="371">
        <f t="shared" si="327"/>
        <v>0</v>
      </c>
      <c r="O325" s="371">
        <f t="shared" si="327"/>
        <v>0</v>
      </c>
      <c r="P325" s="371">
        <f t="shared" si="327"/>
        <v>0</v>
      </c>
      <c r="Q325" s="371">
        <f t="shared" si="327"/>
        <v>0</v>
      </c>
      <c r="R325" s="371">
        <f t="shared" si="327"/>
        <v>0</v>
      </c>
      <c r="S325" s="371">
        <f t="shared" si="327"/>
        <v>0</v>
      </c>
      <c r="T325" s="371">
        <f t="shared" si="327"/>
        <v>0</v>
      </c>
      <c r="U325" s="130">
        <f t="shared" si="327"/>
        <v>0</v>
      </c>
      <c r="V325" s="371">
        <f t="shared" si="327"/>
        <v>0</v>
      </c>
      <c r="W325" s="371">
        <f t="shared" si="327"/>
        <v>671</v>
      </c>
      <c r="X325" s="371">
        <f t="shared" si="327"/>
        <v>2072363.37</v>
      </c>
      <c r="Y325" s="371">
        <f t="shared" si="327"/>
        <v>0</v>
      </c>
      <c r="Z325" s="371">
        <f t="shared" si="327"/>
        <v>0</v>
      </c>
      <c r="AA325" s="371">
        <f t="shared" si="327"/>
        <v>0</v>
      </c>
      <c r="AB325" s="371">
        <f t="shared" si="327"/>
        <v>0</v>
      </c>
      <c r="AC325" s="371">
        <f t="shared" si="327"/>
        <v>0</v>
      </c>
      <c r="AD325" s="371">
        <f t="shared" si="327"/>
        <v>0</v>
      </c>
      <c r="AE325" s="371">
        <f t="shared" si="327"/>
        <v>0</v>
      </c>
      <c r="AF325" s="371">
        <f t="shared" si="327"/>
        <v>0</v>
      </c>
      <c r="AG325" s="371">
        <f t="shared" si="327"/>
        <v>0</v>
      </c>
      <c r="AH325" s="371">
        <f t="shared" si="327"/>
        <v>0</v>
      </c>
      <c r="AI325" s="371">
        <f t="shared" si="327"/>
        <v>0</v>
      </c>
      <c r="AJ325" s="371">
        <f t="shared" si="327"/>
        <v>65100.42</v>
      </c>
      <c r="AK325" s="371">
        <f t="shared" si="327"/>
        <v>32550.21</v>
      </c>
      <c r="AL325" s="371">
        <f t="shared" si="327"/>
        <v>0</v>
      </c>
      <c r="AM325" s="280"/>
      <c r="AN325" s="280"/>
      <c r="AP325" s="486" t="e">
        <f t="shared" si="242"/>
        <v>#DIV/0!</v>
      </c>
      <c r="AQ325" s="486" t="e">
        <f t="shared" si="244"/>
        <v>#DIV/0!</v>
      </c>
      <c r="AR325" s="497" t="e">
        <f t="shared" si="245"/>
        <v>#DIV/0!</v>
      </c>
      <c r="AS325" s="497" t="e">
        <f t="shared" si="246"/>
        <v>#DIV/0!</v>
      </c>
      <c r="AT325" s="497" t="e">
        <f t="shared" si="247"/>
        <v>#DIV/0!</v>
      </c>
      <c r="AU325" s="497" t="e">
        <f t="shared" si="248"/>
        <v>#DIV/0!</v>
      </c>
      <c r="AV325" s="497" t="e">
        <f t="shared" si="249"/>
        <v>#DIV/0!</v>
      </c>
      <c r="AW325" s="497">
        <f t="shared" si="250"/>
        <v>3088.4700000000003</v>
      </c>
      <c r="AX325" s="497" t="e">
        <f t="shared" si="251"/>
        <v>#DIV/0!</v>
      </c>
      <c r="AY325" s="486" t="e">
        <f t="shared" si="252"/>
        <v>#DIV/0!</v>
      </c>
      <c r="AZ325" s="497" t="e">
        <f t="shared" si="253"/>
        <v>#DIV/0!</v>
      </c>
      <c r="BA325" s="486">
        <f t="shared" si="243"/>
        <v>0</v>
      </c>
      <c r="BB325" s="494">
        <v>5155.41</v>
      </c>
      <c r="BC325" s="494">
        <v>2070.12</v>
      </c>
      <c r="BD325" s="494">
        <v>848.92</v>
      </c>
      <c r="BE325" s="494">
        <v>819.73</v>
      </c>
      <c r="BF325" s="494">
        <v>611.5</v>
      </c>
      <c r="BG325" s="494">
        <v>1080.04</v>
      </c>
      <c r="BH325" s="494">
        <v>2671800.0099999998</v>
      </c>
      <c r="BI325" s="494">
        <f t="shared" si="288"/>
        <v>4422.8500000000004</v>
      </c>
      <c r="BJ325" s="494">
        <v>14289.54</v>
      </c>
      <c r="BK325" s="494">
        <v>3389.61</v>
      </c>
      <c r="BL325" s="494">
        <v>5995.76</v>
      </c>
      <c r="BM325" s="494">
        <v>548.62</v>
      </c>
      <c r="BN325" s="493" t="e">
        <f t="shared" si="254"/>
        <v>#DIV/0!</v>
      </c>
      <c r="BO325" s="493" t="e">
        <f t="shared" si="255"/>
        <v>#DIV/0!</v>
      </c>
      <c r="BP325" s="493" t="e">
        <f t="shared" si="256"/>
        <v>#DIV/0!</v>
      </c>
      <c r="BQ325" s="493" t="e">
        <f t="shared" si="257"/>
        <v>#DIV/0!</v>
      </c>
      <c r="BR325" s="493" t="e">
        <f t="shared" si="258"/>
        <v>#DIV/0!</v>
      </c>
      <c r="BS325" s="493" t="e">
        <f t="shared" si="259"/>
        <v>#DIV/0!</v>
      </c>
      <c r="BT325" s="493" t="e">
        <f t="shared" si="260"/>
        <v>#DIV/0!</v>
      </c>
      <c r="BU325" s="493" t="str">
        <f t="shared" si="261"/>
        <v xml:space="preserve"> </v>
      </c>
      <c r="BV325" s="493" t="e">
        <f t="shared" si="262"/>
        <v>#DIV/0!</v>
      </c>
      <c r="BW325" s="493" t="e">
        <f t="shared" si="263"/>
        <v>#DIV/0!</v>
      </c>
      <c r="BX325" s="493" t="e">
        <f t="shared" si="264"/>
        <v>#DIV/0!</v>
      </c>
      <c r="BY325" s="493" t="str">
        <f t="shared" si="265"/>
        <v xml:space="preserve"> </v>
      </c>
    </row>
    <row r="326" spans="1:77" s="28" customFormat="1" ht="14.25" customHeight="1">
      <c r="A326" s="833" t="s">
        <v>1083</v>
      </c>
      <c r="B326" s="834"/>
      <c r="C326" s="834"/>
      <c r="D326" s="834"/>
      <c r="E326" s="834"/>
      <c r="F326" s="834"/>
      <c r="G326" s="834"/>
      <c r="H326" s="834"/>
      <c r="I326" s="834"/>
      <c r="J326" s="834"/>
      <c r="K326" s="834"/>
      <c r="L326" s="834"/>
      <c r="M326" s="834"/>
      <c r="N326" s="834"/>
      <c r="O326" s="834"/>
      <c r="P326" s="834"/>
      <c r="Q326" s="834"/>
      <c r="R326" s="834"/>
      <c r="S326" s="834"/>
      <c r="T326" s="834"/>
      <c r="U326" s="834"/>
      <c r="V326" s="834"/>
      <c r="W326" s="834"/>
      <c r="X326" s="834"/>
      <c r="Y326" s="834"/>
      <c r="Z326" s="834"/>
      <c r="AA326" s="834"/>
      <c r="AB326" s="834"/>
      <c r="AC326" s="834"/>
      <c r="AD326" s="834"/>
      <c r="AE326" s="834"/>
      <c r="AF326" s="834"/>
      <c r="AG326" s="834"/>
      <c r="AH326" s="834"/>
      <c r="AI326" s="834"/>
      <c r="AJ326" s="834"/>
      <c r="AK326" s="834"/>
      <c r="AL326" s="835"/>
      <c r="AM326" s="280"/>
      <c r="AN326" s="280"/>
      <c r="AP326" s="486" t="e">
        <f t="shared" si="242"/>
        <v>#DIV/0!</v>
      </c>
      <c r="AQ326" s="486" t="e">
        <f t="shared" si="244"/>
        <v>#DIV/0!</v>
      </c>
      <c r="AR326" s="497" t="e">
        <f t="shared" si="245"/>
        <v>#DIV/0!</v>
      </c>
      <c r="AS326" s="497" t="e">
        <f t="shared" si="246"/>
        <v>#DIV/0!</v>
      </c>
      <c r="AT326" s="497" t="e">
        <f t="shared" si="247"/>
        <v>#DIV/0!</v>
      </c>
      <c r="AU326" s="497" t="e">
        <f t="shared" si="248"/>
        <v>#DIV/0!</v>
      </c>
      <c r="AV326" s="497" t="e">
        <f t="shared" si="249"/>
        <v>#DIV/0!</v>
      </c>
      <c r="AW326" s="497" t="e">
        <f t="shared" si="250"/>
        <v>#DIV/0!</v>
      </c>
      <c r="AX326" s="497" t="e">
        <f t="shared" si="251"/>
        <v>#DIV/0!</v>
      </c>
      <c r="AY326" s="486" t="e">
        <f t="shared" si="252"/>
        <v>#DIV/0!</v>
      </c>
      <c r="AZ326" s="497" t="e">
        <f t="shared" si="253"/>
        <v>#DIV/0!</v>
      </c>
      <c r="BA326" s="486" t="e">
        <f t="shared" si="243"/>
        <v>#DIV/0!</v>
      </c>
      <c r="BB326" s="494">
        <v>5155.41</v>
      </c>
      <c r="BC326" s="494">
        <v>2070.12</v>
      </c>
      <c r="BD326" s="494">
        <v>848.92</v>
      </c>
      <c r="BE326" s="494">
        <v>819.73</v>
      </c>
      <c r="BF326" s="494">
        <v>611.5</v>
      </c>
      <c r="BG326" s="494">
        <v>1080.04</v>
      </c>
      <c r="BH326" s="494">
        <v>2671800.0099999998</v>
      </c>
      <c r="BI326" s="494">
        <f t="shared" si="288"/>
        <v>4422.8500000000004</v>
      </c>
      <c r="BJ326" s="494">
        <v>14289.54</v>
      </c>
      <c r="BK326" s="494">
        <v>3389.61</v>
      </c>
      <c r="BL326" s="494">
        <v>5995.76</v>
      </c>
      <c r="BM326" s="494">
        <v>548.62</v>
      </c>
      <c r="BN326" s="493" t="e">
        <f t="shared" si="254"/>
        <v>#DIV/0!</v>
      </c>
      <c r="BO326" s="493" t="e">
        <f t="shared" si="255"/>
        <v>#DIV/0!</v>
      </c>
      <c r="BP326" s="493" t="e">
        <f t="shared" si="256"/>
        <v>#DIV/0!</v>
      </c>
      <c r="BQ326" s="493" t="e">
        <f t="shared" si="257"/>
        <v>#DIV/0!</v>
      </c>
      <c r="BR326" s="493" t="e">
        <f t="shared" si="258"/>
        <v>#DIV/0!</v>
      </c>
      <c r="BS326" s="493" t="e">
        <f t="shared" si="259"/>
        <v>#DIV/0!</v>
      </c>
      <c r="BT326" s="493" t="e">
        <f t="shared" si="260"/>
        <v>#DIV/0!</v>
      </c>
      <c r="BU326" s="493" t="e">
        <f t="shared" si="261"/>
        <v>#DIV/0!</v>
      </c>
      <c r="BV326" s="493" t="e">
        <f t="shared" si="262"/>
        <v>#DIV/0!</v>
      </c>
      <c r="BW326" s="493" t="e">
        <f t="shared" si="263"/>
        <v>#DIV/0!</v>
      </c>
      <c r="BX326" s="493" t="e">
        <f t="shared" si="264"/>
        <v>#DIV/0!</v>
      </c>
      <c r="BY326" s="493" t="e">
        <f t="shared" si="265"/>
        <v>#DIV/0!</v>
      </c>
    </row>
    <row r="327" spans="1:77" s="28" customFormat="1" ht="9" customHeight="1">
      <c r="A327" s="372">
        <v>249</v>
      </c>
      <c r="B327" s="276" t="s">
        <v>962</v>
      </c>
      <c r="C327" s="249">
        <v>297.10000000000002</v>
      </c>
      <c r="D327" s="376"/>
      <c r="E327" s="362" t="s">
        <v>1006</v>
      </c>
      <c r="F327" s="374"/>
      <c r="G327" s="374"/>
      <c r="H327" s="362">
        <v>1067220</v>
      </c>
      <c r="I327" s="371">
        <f t="shared" ref="I327" si="328">J327+L327+N327+P327+R327+T327</f>
        <v>0</v>
      </c>
      <c r="J327" s="217">
        <v>0</v>
      </c>
      <c r="K327" s="469">
        <v>0</v>
      </c>
      <c r="L327" s="217">
        <v>0</v>
      </c>
      <c r="M327" s="469">
        <v>0</v>
      </c>
      <c r="N327" s="217">
        <v>0</v>
      </c>
      <c r="O327" s="249">
        <v>0</v>
      </c>
      <c r="P327" s="371">
        <v>0</v>
      </c>
      <c r="Q327" s="249">
        <v>0</v>
      </c>
      <c r="R327" s="371">
        <v>0</v>
      </c>
      <c r="S327" s="249">
        <v>0</v>
      </c>
      <c r="T327" s="371">
        <v>0</v>
      </c>
      <c r="U327" s="130">
        <v>0</v>
      </c>
      <c r="V327" s="371">
        <v>0</v>
      </c>
      <c r="W327" s="19">
        <v>330</v>
      </c>
      <c r="X327" s="371">
        <f t="shared" ref="X327" si="329">ROUND(H327/100*95.5,2)</f>
        <v>1019195.1</v>
      </c>
      <c r="Y327" s="373">
        <v>0</v>
      </c>
      <c r="Z327" s="373">
        <v>0</v>
      </c>
      <c r="AA327" s="373">
        <v>0</v>
      </c>
      <c r="AB327" s="373">
        <v>0</v>
      </c>
      <c r="AC327" s="373">
        <v>0</v>
      </c>
      <c r="AD327" s="373">
        <v>0</v>
      </c>
      <c r="AE327" s="373">
        <v>0</v>
      </c>
      <c r="AF327" s="373">
        <v>0</v>
      </c>
      <c r="AG327" s="373">
        <v>0</v>
      </c>
      <c r="AH327" s="373">
        <v>0</v>
      </c>
      <c r="AI327" s="373">
        <v>0</v>
      </c>
      <c r="AJ327" s="373">
        <f t="shared" ref="AJ327" si="330">ROUND(H327/100*3,2)</f>
        <v>32016.6</v>
      </c>
      <c r="AK327" s="373">
        <f t="shared" ref="AK327" si="331">ROUND(H327/100*1.5,2)</f>
        <v>16008.3</v>
      </c>
      <c r="AL327" s="373">
        <v>0</v>
      </c>
      <c r="AM327" s="446"/>
      <c r="AN327" s="446"/>
      <c r="AP327" s="486" t="e">
        <f t="shared" si="242"/>
        <v>#DIV/0!</v>
      </c>
      <c r="AQ327" s="486" t="e">
        <f t="shared" si="244"/>
        <v>#DIV/0!</v>
      </c>
      <c r="AR327" s="486" t="e">
        <f t="shared" si="245"/>
        <v>#DIV/0!</v>
      </c>
      <c r="AS327" s="486" t="e">
        <f t="shared" si="246"/>
        <v>#DIV/0!</v>
      </c>
      <c r="AT327" s="486" t="e">
        <f t="shared" si="247"/>
        <v>#DIV/0!</v>
      </c>
      <c r="AU327" s="486" t="e">
        <f t="shared" si="248"/>
        <v>#DIV/0!</v>
      </c>
      <c r="AV327" s="486" t="e">
        <f t="shared" si="249"/>
        <v>#DIV/0!</v>
      </c>
      <c r="AW327" s="486">
        <f t="shared" si="250"/>
        <v>3088.47</v>
      </c>
      <c r="AX327" s="486" t="e">
        <f t="shared" si="251"/>
        <v>#DIV/0!</v>
      </c>
      <c r="AY327" s="486" t="e">
        <f t="shared" si="252"/>
        <v>#DIV/0!</v>
      </c>
      <c r="AZ327" s="486" t="e">
        <f t="shared" si="253"/>
        <v>#DIV/0!</v>
      </c>
      <c r="BA327" s="486">
        <f t="shared" si="243"/>
        <v>0</v>
      </c>
      <c r="BB327" s="494">
        <v>5155.41</v>
      </c>
      <c r="BC327" s="494">
        <v>2070.12</v>
      </c>
      <c r="BD327" s="494">
        <v>848.92</v>
      </c>
      <c r="BE327" s="494">
        <v>819.73</v>
      </c>
      <c r="BF327" s="494">
        <v>611.5</v>
      </c>
      <c r="BG327" s="494">
        <v>1080.04</v>
      </c>
      <c r="BH327" s="494">
        <v>2671800.0099999998</v>
      </c>
      <c r="BI327" s="494">
        <f t="shared" si="288"/>
        <v>4422.8500000000004</v>
      </c>
      <c r="BJ327" s="494">
        <v>14289.54</v>
      </c>
      <c r="BK327" s="494">
        <v>3389.61</v>
      </c>
      <c r="BL327" s="494">
        <v>5995.76</v>
      </c>
      <c r="BM327" s="494">
        <v>548.62</v>
      </c>
      <c r="BN327" s="495" t="e">
        <f t="shared" si="254"/>
        <v>#DIV/0!</v>
      </c>
      <c r="BO327" s="495" t="e">
        <f t="shared" si="255"/>
        <v>#DIV/0!</v>
      </c>
      <c r="BP327" s="495" t="e">
        <f t="shared" si="256"/>
        <v>#DIV/0!</v>
      </c>
      <c r="BQ327" s="495" t="e">
        <f t="shared" si="257"/>
        <v>#DIV/0!</v>
      </c>
      <c r="BR327" s="495" t="e">
        <f t="shared" si="258"/>
        <v>#DIV/0!</v>
      </c>
      <c r="BS327" s="495" t="e">
        <f t="shared" si="259"/>
        <v>#DIV/0!</v>
      </c>
      <c r="BT327" s="495" t="e">
        <f t="shared" si="260"/>
        <v>#DIV/0!</v>
      </c>
      <c r="BU327" s="495" t="str">
        <f t="shared" si="261"/>
        <v xml:space="preserve"> </v>
      </c>
      <c r="BV327" s="495" t="e">
        <f t="shared" si="262"/>
        <v>#DIV/0!</v>
      </c>
      <c r="BW327" s="495" t="e">
        <f t="shared" si="263"/>
        <v>#DIV/0!</v>
      </c>
      <c r="BX327" s="495" t="e">
        <f t="shared" si="264"/>
        <v>#DIV/0!</v>
      </c>
      <c r="BY327" s="495" t="str">
        <f t="shared" si="265"/>
        <v xml:space="preserve"> </v>
      </c>
    </row>
    <row r="328" spans="1:77" s="28" customFormat="1" ht="39" customHeight="1">
      <c r="A328" s="954" t="s">
        <v>1084</v>
      </c>
      <c r="B328" s="954"/>
      <c r="C328" s="371">
        <f>SUM(C327)</f>
        <v>297.10000000000002</v>
      </c>
      <c r="D328" s="371"/>
      <c r="E328" s="362" t="s">
        <v>391</v>
      </c>
      <c r="F328" s="374"/>
      <c r="G328" s="374"/>
      <c r="H328" s="371">
        <f>SUM(H327)</f>
        <v>1067220</v>
      </c>
      <c r="I328" s="371">
        <f t="shared" ref="I328:AL328" si="332">SUM(I327)</f>
        <v>0</v>
      </c>
      <c r="J328" s="371">
        <f t="shared" si="332"/>
        <v>0</v>
      </c>
      <c r="K328" s="371">
        <f t="shared" si="332"/>
        <v>0</v>
      </c>
      <c r="L328" s="371">
        <f t="shared" si="332"/>
        <v>0</v>
      </c>
      <c r="M328" s="371">
        <f t="shared" si="332"/>
        <v>0</v>
      </c>
      <c r="N328" s="371">
        <f t="shared" si="332"/>
        <v>0</v>
      </c>
      <c r="O328" s="371">
        <f t="shared" si="332"/>
        <v>0</v>
      </c>
      <c r="P328" s="371">
        <f t="shared" si="332"/>
        <v>0</v>
      </c>
      <c r="Q328" s="371">
        <f t="shared" si="332"/>
        <v>0</v>
      </c>
      <c r="R328" s="371">
        <f t="shared" si="332"/>
        <v>0</v>
      </c>
      <c r="S328" s="371">
        <f t="shared" si="332"/>
        <v>0</v>
      </c>
      <c r="T328" s="371">
        <f t="shared" si="332"/>
        <v>0</v>
      </c>
      <c r="U328" s="130">
        <f t="shared" si="332"/>
        <v>0</v>
      </c>
      <c r="V328" s="371">
        <f t="shared" si="332"/>
        <v>0</v>
      </c>
      <c r="W328" s="371">
        <f t="shared" si="332"/>
        <v>330</v>
      </c>
      <c r="X328" s="371">
        <f t="shared" si="332"/>
        <v>1019195.1</v>
      </c>
      <c r="Y328" s="371">
        <f t="shared" si="332"/>
        <v>0</v>
      </c>
      <c r="Z328" s="371">
        <f t="shared" si="332"/>
        <v>0</v>
      </c>
      <c r="AA328" s="371">
        <f t="shared" si="332"/>
        <v>0</v>
      </c>
      <c r="AB328" s="371">
        <f t="shared" si="332"/>
        <v>0</v>
      </c>
      <c r="AC328" s="371">
        <f t="shared" si="332"/>
        <v>0</v>
      </c>
      <c r="AD328" s="371">
        <f t="shared" si="332"/>
        <v>0</v>
      </c>
      <c r="AE328" s="371">
        <f t="shared" si="332"/>
        <v>0</v>
      </c>
      <c r="AF328" s="371">
        <f t="shared" si="332"/>
        <v>0</v>
      </c>
      <c r="AG328" s="371">
        <f t="shared" si="332"/>
        <v>0</v>
      </c>
      <c r="AH328" s="371">
        <f t="shared" si="332"/>
        <v>0</v>
      </c>
      <c r="AI328" s="371">
        <f t="shared" si="332"/>
        <v>0</v>
      </c>
      <c r="AJ328" s="371">
        <f t="shared" si="332"/>
        <v>32016.6</v>
      </c>
      <c r="AK328" s="371">
        <f t="shared" si="332"/>
        <v>16008.3</v>
      </c>
      <c r="AL328" s="371">
        <f t="shared" si="332"/>
        <v>0</v>
      </c>
      <c r="AM328" s="280"/>
      <c r="AN328" s="280"/>
      <c r="AP328" s="486" t="e">
        <f t="shared" si="242"/>
        <v>#DIV/0!</v>
      </c>
      <c r="AQ328" s="486" t="e">
        <f t="shared" si="244"/>
        <v>#DIV/0!</v>
      </c>
      <c r="AR328" s="497" t="e">
        <f t="shared" si="245"/>
        <v>#DIV/0!</v>
      </c>
      <c r="AS328" s="497" t="e">
        <f t="shared" si="246"/>
        <v>#DIV/0!</v>
      </c>
      <c r="AT328" s="497" t="e">
        <f t="shared" si="247"/>
        <v>#DIV/0!</v>
      </c>
      <c r="AU328" s="497" t="e">
        <f t="shared" si="248"/>
        <v>#DIV/0!</v>
      </c>
      <c r="AV328" s="497" t="e">
        <f t="shared" si="249"/>
        <v>#DIV/0!</v>
      </c>
      <c r="AW328" s="497">
        <f t="shared" si="250"/>
        <v>3088.47</v>
      </c>
      <c r="AX328" s="497" t="e">
        <f t="shared" si="251"/>
        <v>#DIV/0!</v>
      </c>
      <c r="AY328" s="486" t="e">
        <f t="shared" si="252"/>
        <v>#DIV/0!</v>
      </c>
      <c r="AZ328" s="497" t="e">
        <f t="shared" si="253"/>
        <v>#DIV/0!</v>
      </c>
      <c r="BA328" s="486">
        <f t="shared" si="243"/>
        <v>0</v>
      </c>
      <c r="BB328" s="494">
        <v>5155.41</v>
      </c>
      <c r="BC328" s="494">
        <v>2070.12</v>
      </c>
      <c r="BD328" s="494">
        <v>848.92</v>
      </c>
      <c r="BE328" s="494">
        <v>819.73</v>
      </c>
      <c r="BF328" s="494">
        <v>611.5</v>
      </c>
      <c r="BG328" s="494">
        <v>1080.04</v>
      </c>
      <c r="BH328" s="494">
        <v>2671800.0099999998</v>
      </c>
      <c r="BI328" s="494">
        <f t="shared" si="288"/>
        <v>4422.8500000000004</v>
      </c>
      <c r="BJ328" s="494">
        <v>14289.54</v>
      </c>
      <c r="BK328" s="494">
        <v>3389.61</v>
      </c>
      <c r="BL328" s="494">
        <v>5995.76</v>
      </c>
      <c r="BM328" s="494">
        <v>548.62</v>
      </c>
      <c r="BN328" s="493" t="e">
        <f t="shared" si="254"/>
        <v>#DIV/0!</v>
      </c>
      <c r="BO328" s="493" t="e">
        <f t="shared" si="255"/>
        <v>#DIV/0!</v>
      </c>
      <c r="BP328" s="493" t="e">
        <f t="shared" si="256"/>
        <v>#DIV/0!</v>
      </c>
      <c r="BQ328" s="493" t="e">
        <f t="shared" si="257"/>
        <v>#DIV/0!</v>
      </c>
      <c r="BR328" s="493" t="e">
        <f t="shared" si="258"/>
        <v>#DIV/0!</v>
      </c>
      <c r="BS328" s="493" t="e">
        <f t="shared" si="259"/>
        <v>#DIV/0!</v>
      </c>
      <c r="BT328" s="493" t="e">
        <f t="shared" si="260"/>
        <v>#DIV/0!</v>
      </c>
      <c r="BU328" s="493" t="str">
        <f t="shared" si="261"/>
        <v xml:space="preserve"> </v>
      </c>
      <c r="BV328" s="493" t="e">
        <f t="shared" si="262"/>
        <v>#DIV/0!</v>
      </c>
      <c r="BW328" s="493" t="e">
        <f t="shared" si="263"/>
        <v>#DIV/0!</v>
      </c>
      <c r="BX328" s="493" t="e">
        <f t="shared" si="264"/>
        <v>#DIV/0!</v>
      </c>
      <c r="BY328" s="493" t="str">
        <f t="shared" si="265"/>
        <v xml:space="preserve"> </v>
      </c>
    </row>
    <row r="329" spans="1:77" s="28" customFormat="1" ht="12.75" customHeight="1">
      <c r="A329" s="837" t="s">
        <v>29</v>
      </c>
      <c r="B329" s="838"/>
      <c r="C329" s="838"/>
      <c r="D329" s="838"/>
      <c r="E329" s="838"/>
      <c r="F329" s="838"/>
      <c r="G329" s="838"/>
      <c r="H329" s="838"/>
      <c r="I329" s="838"/>
      <c r="J329" s="838"/>
      <c r="K329" s="838"/>
      <c r="L329" s="838"/>
      <c r="M329" s="838"/>
      <c r="N329" s="838"/>
      <c r="O329" s="838"/>
      <c r="P329" s="838"/>
      <c r="Q329" s="838"/>
      <c r="R329" s="838"/>
      <c r="S329" s="838"/>
      <c r="T329" s="838"/>
      <c r="U329" s="838"/>
      <c r="V329" s="838"/>
      <c r="W329" s="838"/>
      <c r="X329" s="838"/>
      <c r="Y329" s="838"/>
      <c r="Z329" s="838"/>
      <c r="AA329" s="838"/>
      <c r="AB329" s="838"/>
      <c r="AC329" s="838"/>
      <c r="AD329" s="838"/>
      <c r="AE329" s="838"/>
      <c r="AF329" s="838"/>
      <c r="AG329" s="838"/>
      <c r="AH329" s="838"/>
      <c r="AI329" s="838"/>
      <c r="AJ329" s="838"/>
      <c r="AK329" s="838"/>
      <c r="AL329" s="839"/>
      <c r="AM329" s="280"/>
      <c r="AN329" s="280"/>
      <c r="AP329" s="486" t="e">
        <f t="shared" si="242"/>
        <v>#DIV/0!</v>
      </c>
      <c r="AQ329" s="486" t="e">
        <f t="shared" si="244"/>
        <v>#DIV/0!</v>
      </c>
      <c r="AR329" s="497" t="e">
        <f t="shared" si="245"/>
        <v>#DIV/0!</v>
      </c>
      <c r="AS329" s="497" t="e">
        <f t="shared" si="246"/>
        <v>#DIV/0!</v>
      </c>
      <c r="AT329" s="497" t="e">
        <f t="shared" si="247"/>
        <v>#DIV/0!</v>
      </c>
      <c r="AU329" s="497" t="e">
        <f t="shared" si="248"/>
        <v>#DIV/0!</v>
      </c>
      <c r="AV329" s="497" t="e">
        <f t="shared" si="249"/>
        <v>#DIV/0!</v>
      </c>
      <c r="AW329" s="497" t="e">
        <f t="shared" si="250"/>
        <v>#DIV/0!</v>
      </c>
      <c r="AX329" s="497" t="e">
        <f t="shared" si="251"/>
        <v>#DIV/0!</v>
      </c>
      <c r="AY329" s="486" t="e">
        <f t="shared" si="252"/>
        <v>#DIV/0!</v>
      </c>
      <c r="AZ329" s="497" t="e">
        <f t="shared" si="253"/>
        <v>#DIV/0!</v>
      </c>
      <c r="BA329" s="486" t="e">
        <f t="shared" si="243"/>
        <v>#DIV/0!</v>
      </c>
      <c r="BB329" s="494">
        <v>5155.41</v>
      </c>
      <c r="BC329" s="494">
        <v>2070.12</v>
      </c>
      <c r="BD329" s="494">
        <v>848.92</v>
      </c>
      <c r="BE329" s="494">
        <v>819.73</v>
      </c>
      <c r="BF329" s="494">
        <v>611.5</v>
      </c>
      <c r="BG329" s="494">
        <v>1080.04</v>
      </c>
      <c r="BH329" s="494">
        <v>2671800.0099999998</v>
      </c>
      <c r="BI329" s="494">
        <f t="shared" si="288"/>
        <v>4422.8500000000004</v>
      </c>
      <c r="BJ329" s="494">
        <v>14289.54</v>
      </c>
      <c r="BK329" s="494">
        <v>3389.61</v>
      </c>
      <c r="BL329" s="494">
        <v>5995.76</v>
      </c>
      <c r="BM329" s="494">
        <v>548.62</v>
      </c>
      <c r="BN329" s="493" t="e">
        <f t="shared" si="254"/>
        <v>#DIV/0!</v>
      </c>
      <c r="BO329" s="493" t="e">
        <f t="shared" si="255"/>
        <v>#DIV/0!</v>
      </c>
      <c r="BP329" s="493" t="e">
        <f t="shared" si="256"/>
        <v>#DIV/0!</v>
      </c>
      <c r="BQ329" s="493" t="e">
        <f t="shared" si="257"/>
        <v>#DIV/0!</v>
      </c>
      <c r="BR329" s="493" t="e">
        <f t="shared" si="258"/>
        <v>#DIV/0!</v>
      </c>
      <c r="BS329" s="493" t="e">
        <f t="shared" si="259"/>
        <v>#DIV/0!</v>
      </c>
      <c r="BT329" s="493" t="e">
        <f t="shared" si="260"/>
        <v>#DIV/0!</v>
      </c>
      <c r="BU329" s="493" t="e">
        <f t="shared" si="261"/>
        <v>#DIV/0!</v>
      </c>
      <c r="BV329" s="493" t="e">
        <f t="shared" si="262"/>
        <v>#DIV/0!</v>
      </c>
      <c r="BW329" s="493" t="e">
        <f t="shared" si="263"/>
        <v>#DIV/0!</v>
      </c>
      <c r="BX329" s="493" t="e">
        <f t="shared" si="264"/>
        <v>#DIV/0!</v>
      </c>
      <c r="BY329" s="493" t="e">
        <f t="shared" si="265"/>
        <v>#DIV/0!</v>
      </c>
    </row>
    <row r="330" spans="1:77" s="28" customFormat="1" ht="9" customHeight="1">
      <c r="A330" s="278">
        <v>250</v>
      </c>
      <c r="B330" s="156" t="s">
        <v>963</v>
      </c>
      <c r="C330" s="249">
        <v>656</v>
      </c>
      <c r="D330" s="376"/>
      <c r="E330" s="371" t="s">
        <v>1006</v>
      </c>
      <c r="F330" s="249"/>
      <c r="G330" s="249"/>
      <c r="H330" s="371">
        <v>2267034</v>
      </c>
      <c r="I330" s="371">
        <f t="shared" ref="I330:I332" si="333">J330+L330+N330+P330+R330+T330</f>
        <v>0</v>
      </c>
      <c r="J330" s="217">
        <v>0</v>
      </c>
      <c r="K330" s="469">
        <v>0</v>
      </c>
      <c r="L330" s="217">
        <v>0</v>
      </c>
      <c r="M330" s="469">
        <v>0</v>
      </c>
      <c r="N330" s="217">
        <v>0</v>
      </c>
      <c r="O330" s="249">
        <v>0</v>
      </c>
      <c r="P330" s="371">
        <v>0</v>
      </c>
      <c r="Q330" s="249">
        <v>0</v>
      </c>
      <c r="R330" s="371">
        <v>0</v>
      </c>
      <c r="S330" s="249">
        <v>0</v>
      </c>
      <c r="T330" s="371">
        <v>0</v>
      </c>
      <c r="U330" s="130">
        <v>0</v>
      </c>
      <c r="V330" s="371">
        <v>0</v>
      </c>
      <c r="W330" s="20">
        <v>701</v>
      </c>
      <c r="X330" s="371">
        <f t="shared" ref="X330:X332" si="334">ROUND(H330/100*95.5,2)</f>
        <v>2165017.4700000002</v>
      </c>
      <c r="Y330" s="373">
        <v>0</v>
      </c>
      <c r="Z330" s="373">
        <v>0</v>
      </c>
      <c r="AA330" s="373">
        <v>0</v>
      </c>
      <c r="AB330" s="373">
        <v>0</v>
      </c>
      <c r="AC330" s="373">
        <v>0</v>
      </c>
      <c r="AD330" s="373">
        <v>0</v>
      </c>
      <c r="AE330" s="373">
        <v>0</v>
      </c>
      <c r="AF330" s="373">
        <v>0</v>
      </c>
      <c r="AG330" s="373">
        <v>0</v>
      </c>
      <c r="AH330" s="373">
        <v>0</v>
      </c>
      <c r="AI330" s="373">
        <v>0</v>
      </c>
      <c r="AJ330" s="373">
        <f t="shared" ref="AJ330:AJ332" si="335">ROUND(H330/100*3,2)</f>
        <v>68011.02</v>
      </c>
      <c r="AK330" s="373">
        <f t="shared" ref="AK330:AK332" si="336">ROUND(H330/100*1.5,2)</f>
        <v>34005.51</v>
      </c>
      <c r="AL330" s="373">
        <v>0</v>
      </c>
      <c r="AM330" s="446"/>
      <c r="AN330" s="446"/>
      <c r="AP330" s="486" t="e">
        <f t="shared" si="242"/>
        <v>#DIV/0!</v>
      </c>
      <c r="AQ330" s="486" t="e">
        <f t="shared" si="244"/>
        <v>#DIV/0!</v>
      </c>
      <c r="AR330" s="486" t="e">
        <f t="shared" si="245"/>
        <v>#DIV/0!</v>
      </c>
      <c r="AS330" s="486" t="e">
        <f t="shared" si="246"/>
        <v>#DIV/0!</v>
      </c>
      <c r="AT330" s="486" t="e">
        <f t="shared" si="247"/>
        <v>#DIV/0!</v>
      </c>
      <c r="AU330" s="486" t="e">
        <f t="shared" si="248"/>
        <v>#DIV/0!</v>
      </c>
      <c r="AV330" s="486" t="e">
        <f t="shared" si="249"/>
        <v>#DIV/0!</v>
      </c>
      <c r="AW330" s="486">
        <f t="shared" si="250"/>
        <v>3088.4700000000003</v>
      </c>
      <c r="AX330" s="486" t="e">
        <f t="shared" si="251"/>
        <v>#DIV/0!</v>
      </c>
      <c r="AY330" s="486" t="e">
        <f t="shared" si="252"/>
        <v>#DIV/0!</v>
      </c>
      <c r="AZ330" s="486" t="e">
        <f t="shared" si="253"/>
        <v>#DIV/0!</v>
      </c>
      <c r="BA330" s="486">
        <f t="shared" si="243"/>
        <v>0</v>
      </c>
      <c r="BB330" s="494">
        <v>5155.41</v>
      </c>
      <c r="BC330" s="494">
        <v>2070.12</v>
      </c>
      <c r="BD330" s="494">
        <v>848.92</v>
      </c>
      <c r="BE330" s="494">
        <v>819.73</v>
      </c>
      <c r="BF330" s="494">
        <v>611.5</v>
      </c>
      <c r="BG330" s="494">
        <v>1080.04</v>
      </c>
      <c r="BH330" s="494">
        <v>2671800.0099999998</v>
      </c>
      <c r="BI330" s="494">
        <f t="shared" si="288"/>
        <v>4422.8500000000004</v>
      </c>
      <c r="BJ330" s="494">
        <v>14289.54</v>
      </c>
      <c r="BK330" s="494">
        <v>3389.61</v>
      </c>
      <c r="BL330" s="494">
        <v>5995.76</v>
      </c>
      <c r="BM330" s="494">
        <v>548.62</v>
      </c>
      <c r="BN330" s="495" t="e">
        <f t="shared" si="254"/>
        <v>#DIV/0!</v>
      </c>
      <c r="BO330" s="495" t="e">
        <f t="shared" si="255"/>
        <v>#DIV/0!</v>
      </c>
      <c r="BP330" s="495" t="e">
        <f t="shared" si="256"/>
        <v>#DIV/0!</v>
      </c>
      <c r="BQ330" s="495" t="e">
        <f t="shared" si="257"/>
        <v>#DIV/0!</v>
      </c>
      <c r="BR330" s="495" t="e">
        <f t="shared" si="258"/>
        <v>#DIV/0!</v>
      </c>
      <c r="BS330" s="495" t="e">
        <f t="shared" si="259"/>
        <v>#DIV/0!</v>
      </c>
      <c r="BT330" s="495" t="e">
        <f t="shared" si="260"/>
        <v>#DIV/0!</v>
      </c>
      <c r="BU330" s="495" t="str">
        <f t="shared" si="261"/>
        <v xml:space="preserve"> </v>
      </c>
      <c r="BV330" s="495" t="e">
        <f t="shared" si="262"/>
        <v>#DIV/0!</v>
      </c>
      <c r="BW330" s="495" t="e">
        <f t="shared" si="263"/>
        <v>#DIV/0!</v>
      </c>
      <c r="BX330" s="495" t="e">
        <f t="shared" si="264"/>
        <v>#DIV/0!</v>
      </c>
      <c r="BY330" s="495" t="str">
        <f t="shared" si="265"/>
        <v xml:space="preserve"> </v>
      </c>
    </row>
    <row r="331" spans="1:77" s="28" customFormat="1" ht="9" customHeight="1">
      <c r="A331" s="278">
        <v>251</v>
      </c>
      <c r="B331" s="156" t="s">
        <v>964</v>
      </c>
      <c r="C331" s="249">
        <v>284.5</v>
      </c>
      <c r="D331" s="376"/>
      <c r="E331" s="371" t="s">
        <v>1006</v>
      </c>
      <c r="F331" s="249"/>
      <c r="G331" s="249"/>
      <c r="H331" s="371">
        <v>853776</v>
      </c>
      <c r="I331" s="371">
        <f t="shared" si="333"/>
        <v>0</v>
      </c>
      <c r="J331" s="217">
        <v>0</v>
      </c>
      <c r="K331" s="469">
        <v>0</v>
      </c>
      <c r="L331" s="217">
        <v>0</v>
      </c>
      <c r="M331" s="469">
        <v>0</v>
      </c>
      <c r="N331" s="217">
        <v>0</v>
      </c>
      <c r="O331" s="249">
        <v>0</v>
      </c>
      <c r="P331" s="371">
        <v>0</v>
      </c>
      <c r="Q331" s="249">
        <v>0</v>
      </c>
      <c r="R331" s="371">
        <v>0</v>
      </c>
      <c r="S331" s="249">
        <v>0</v>
      </c>
      <c r="T331" s="371">
        <v>0</v>
      </c>
      <c r="U331" s="130">
        <v>0</v>
      </c>
      <c r="V331" s="371">
        <v>0</v>
      </c>
      <c r="W331" s="20">
        <v>264</v>
      </c>
      <c r="X331" s="371">
        <f t="shared" si="334"/>
        <v>815356.08</v>
      </c>
      <c r="Y331" s="373">
        <v>0</v>
      </c>
      <c r="Z331" s="373">
        <v>0</v>
      </c>
      <c r="AA331" s="373">
        <v>0</v>
      </c>
      <c r="AB331" s="373">
        <v>0</v>
      </c>
      <c r="AC331" s="373">
        <v>0</v>
      </c>
      <c r="AD331" s="373">
        <v>0</v>
      </c>
      <c r="AE331" s="373">
        <v>0</v>
      </c>
      <c r="AF331" s="373">
        <v>0</v>
      </c>
      <c r="AG331" s="373">
        <v>0</v>
      </c>
      <c r="AH331" s="373">
        <v>0</v>
      </c>
      <c r="AI331" s="373">
        <v>0</v>
      </c>
      <c r="AJ331" s="373">
        <f t="shared" si="335"/>
        <v>25613.279999999999</v>
      </c>
      <c r="AK331" s="373">
        <f t="shared" si="336"/>
        <v>12806.64</v>
      </c>
      <c r="AL331" s="373">
        <v>0</v>
      </c>
      <c r="AM331" s="446"/>
      <c r="AN331" s="446"/>
      <c r="AP331" s="486" t="e">
        <f t="shared" si="242"/>
        <v>#DIV/0!</v>
      </c>
      <c r="AQ331" s="486" t="e">
        <f t="shared" si="244"/>
        <v>#DIV/0!</v>
      </c>
      <c r="AR331" s="486" t="e">
        <f t="shared" si="245"/>
        <v>#DIV/0!</v>
      </c>
      <c r="AS331" s="486" t="e">
        <f t="shared" si="246"/>
        <v>#DIV/0!</v>
      </c>
      <c r="AT331" s="486" t="e">
        <f t="shared" si="247"/>
        <v>#DIV/0!</v>
      </c>
      <c r="AU331" s="486" t="e">
        <f t="shared" si="248"/>
        <v>#DIV/0!</v>
      </c>
      <c r="AV331" s="486" t="e">
        <f t="shared" si="249"/>
        <v>#DIV/0!</v>
      </c>
      <c r="AW331" s="486">
        <f t="shared" si="250"/>
        <v>3088.47</v>
      </c>
      <c r="AX331" s="486" t="e">
        <f t="shared" si="251"/>
        <v>#DIV/0!</v>
      </c>
      <c r="AY331" s="486" t="e">
        <f t="shared" si="252"/>
        <v>#DIV/0!</v>
      </c>
      <c r="AZ331" s="486" t="e">
        <f t="shared" si="253"/>
        <v>#DIV/0!</v>
      </c>
      <c r="BA331" s="486">
        <f t="shared" si="243"/>
        <v>0</v>
      </c>
      <c r="BB331" s="494">
        <v>5155.41</v>
      </c>
      <c r="BC331" s="494">
        <v>2070.12</v>
      </c>
      <c r="BD331" s="494">
        <v>848.92</v>
      </c>
      <c r="BE331" s="494">
        <v>819.73</v>
      </c>
      <c r="BF331" s="494">
        <v>611.5</v>
      </c>
      <c r="BG331" s="494">
        <v>1080.04</v>
      </c>
      <c r="BH331" s="494">
        <v>2671800.0099999998</v>
      </c>
      <c r="BI331" s="494">
        <f t="shared" si="288"/>
        <v>4422.8500000000004</v>
      </c>
      <c r="BJ331" s="494">
        <v>14289.54</v>
      </c>
      <c r="BK331" s="494">
        <v>3389.61</v>
      </c>
      <c r="BL331" s="494">
        <v>5995.76</v>
      </c>
      <c r="BM331" s="494">
        <v>548.62</v>
      </c>
      <c r="BN331" s="495" t="e">
        <f t="shared" si="254"/>
        <v>#DIV/0!</v>
      </c>
      <c r="BO331" s="495" t="e">
        <f t="shared" si="255"/>
        <v>#DIV/0!</v>
      </c>
      <c r="BP331" s="495" t="e">
        <f t="shared" si="256"/>
        <v>#DIV/0!</v>
      </c>
      <c r="BQ331" s="495" t="e">
        <f t="shared" si="257"/>
        <v>#DIV/0!</v>
      </c>
      <c r="BR331" s="495" t="e">
        <f t="shared" si="258"/>
        <v>#DIV/0!</v>
      </c>
      <c r="BS331" s="495" t="e">
        <f t="shared" si="259"/>
        <v>#DIV/0!</v>
      </c>
      <c r="BT331" s="495" t="e">
        <f t="shared" si="260"/>
        <v>#DIV/0!</v>
      </c>
      <c r="BU331" s="495" t="str">
        <f t="shared" si="261"/>
        <v xml:space="preserve"> </v>
      </c>
      <c r="BV331" s="495" t="e">
        <f t="shared" si="262"/>
        <v>#DIV/0!</v>
      </c>
      <c r="BW331" s="495" t="e">
        <f t="shared" si="263"/>
        <v>#DIV/0!</v>
      </c>
      <c r="BX331" s="495" t="e">
        <f t="shared" si="264"/>
        <v>#DIV/0!</v>
      </c>
      <c r="BY331" s="495" t="str">
        <f t="shared" si="265"/>
        <v xml:space="preserve"> </v>
      </c>
    </row>
    <row r="332" spans="1:77" s="28" customFormat="1" ht="9" customHeight="1">
      <c r="A332" s="278">
        <v>252</v>
      </c>
      <c r="B332" s="156" t="s">
        <v>965</v>
      </c>
      <c r="C332" s="249">
        <v>525.6</v>
      </c>
      <c r="D332" s="376"/>
      <c r="E332" s="371" t="s">
        <v>1006</v>
      </c>
      <c r="F332" s="249"/>
      <c r="G332" s="249"/>
      <c r="H332" s="371">
        <v>1578192</v>
      </c>
      <c r="I332" s="371">
        <f t="shared" si="333"/>
        <v>0</v>
      </c>
      <c r="J332" s="217">
        <v>0</v>
      </c>
      <c r="K332" s="469">
        <v>0</v>
      </c>
      <c r="L332" s="217">
        <v>0</v>
      </c>
      <c r="M332" s="469">
        <v>0</v>
      </c>
      <c r="N332" s="217">
        <v>0</v>
      </c>
      <c r="O332" s="249">
        <v>0</v>
      </c>
      <c r="P332" s="371">
        <v>0</v>
      </c>
      <c r="Q332" s="249">
        <v>0</v>
      </c>
      <c r="R332" s="371">
        <v>0</v>
      </c>
      <c r="S332" s="249">
        <v>0</v>
      </c>
      <c r="T332" s="371">
        <v>0</v>
      </c>
      <c r="U332" s="130">
        <v>0</v>
      </c>
      <c r="V332" s="371">
        <v>0</v>
      </c>
      <c r="W332" s="20">
        <v>488</v>
      </c>
      <c r="X332" s="371">
        <f t="shared" si="334"/>
        <v>1507173.36</v>
      </c>
      <c r="Y332" s="373">
        <v>0</v>
      </c>
      <c r="Z332" s="373">
        <v>0</v>
      </c>
      <c r="AA332" s="373">
        <v>0</v>
      </c>
      <c r="AB332" s="373">
        <v>0</v>
      </c>
      <c r="AC332" s="373">
        <v>0</v>
      </c>
      <c r="AD332" s="373">
        <v>0</v>
      </c>
      <c r="AE332" s="373">
        <v>0</v>
      </c>
      <c r="AF332" s="373">
        <v>0</v>
      </c>
      <c r="AG332" s="373">
        <v>0</v>
      </c>
      <c r="AH332" s="373">
        <v>0</v>
      </c>
      <c r="AI332" s="373">
        <v>0</v>
      </c>
      <c r="AJ332" s="373">
        <f t="shared" si="335"/>
        <v>47345.760000000002</v>
      </c>
      <c r="AK332" s="373">
        <f t="shared" si="336"/>
        <v>23672.880000000001</v>
      </c>
      <c r="AL332" s="373">
        <v>0</v>
      </c>
      <c r="AM332" s="446"/>
      <c r="AN332" s="446"/>
      <c r="AP332" s="486" t="e">
        <f t="shared" si="242"/>
        <v>#DIV/0!</v>
      </c>
      <c r="AQ332" s="486" t="e">
        <f t="shared" si="244"/>
        <v>#DIV/0!</v>
      </c>
      <c r="AR332" s="486" t="e">
        <f t="shared" si="245"/>
        <v>#DIV/0!</v>
      </c>
      <c r="AS332" s="486" t="e">
        <f t="shared" si="246"/>
        <v>#DIV/0!</v>
      </c>
      <c r="AT332" s="486" t="e">
        <f t="shared" si="247"/>
        <v>#DIV/0!</v>
      </c>
      <c r="AU332" s="486" t="e">
        <f t="shared" si="248"/>
        <v>#DIV/0!</v>
      </c>
      <c r="AV332" s="486" t="e">
        <f t="shared" si="249"/>
        <v>#DIV/0!</v>
      </c>
      <c r="AW332" s="486">
        <f t="shared" si="250"/>
        <v>3088.4700000000003</v>
      </c>
      <c r="AX332" s="486" t="e">
        <f t="shared" si="251"/>
        <v>#DIV/0!</v>
      </c>
      <c r="AY332" s="486" t="e">
        <f t="shared" si="252"/>
        <v>#DIV/0!</v>
      </c>
      <c r="AZ332" s="486" t="e">
        <f t="shared" si="253"/>
        <v>#DIV/0!</v>
      </c>
      <c r="BA332" s="486">
        <f t="shared" si="243"/>
        <v>0</v>
      </c>
      <c r="BB332" s="494">
        <v>5155.41</v>
      </c>
      <c r="BC332" s="494">
        <v>2070.12</v>
      </c>
      <c r="BD332" s="494">
        <v>848.92</v>
      </c>
      <c r="BE332" s="494">
        <v>819.73</v>
      </c>
      <c r="BF332" s="494">
        <v>611.5</v>
      </c>
      <c r="BG332" s="494">
        <v>1080.04</v>
      </c>
      <c r="BH332" s="494">
        <v>2671800.0099999998</v>
      </c>
      <c r="BI332" s="494">
        <f t="shared" si="288"/>
        <v>4422.8500000000004</v>
      </c>
      <c r="BJ332" s="494">
        <v>14289.54</v>
      </c>
      <c r="BK332" s="494">
        <v>3389.61</v>
      </c>
      <c r="BL332" s="494">
        <v>5995.76</v>
      </c>
      <c r="BM332" s="494">
        <v>548.62</v>
      </c>
      <c r="BN332" s="495" t="e">
        <f t="shared" si="254"/>
        <v>#DIV/0!</v>
      </c>
      <c r="BO332" s="495" t="e">
        <f t="shared" si="255"/>
        <v>#DIV/0!</v>
      </c>
      <c r="BP332" s="495" t="e">
        <f t="shared" si="256"/>
        <v>#DIV/0!</v>
      </c>
      <c r="BQ332" s="495" t="e">
        <f t="shared" si="257"/>
        <v>#DIV/0!</v>
      </c>
      <c r="BR332" s="495" t="e">
        <f t="shared" si="258"/>
        <v>#DIV/0!</v>
      </c>
      <c r="BS332" s="495" t="e">
        <f t="shared" si="259"/>
        <v>#DIV/0!</v>
      </c>
      <c r="BT332" s="495" t="e">
        <f t="shared" si="260"/>
        <v>#DIV/0!</v>
      </c>
      <c r="BU332" s="495" t="str">
        <f t="shared" si="261"/>
        <v xml:space="preserve"> </v>
      </c>
      <c r="BV332" s="495" t="e">
        <f t="shared" si="262"/>
        <v>#DIV/0!</v>
      </c>
      <c r="BW332" s="495" t="e">
        <f t="shared" si="263"/>
        <v>#DIV/0!</v>
      </c>
      <c r="BX332" s="495" t="e">
        <f t="shared" si="264"/>
        <v>#DIV/0!</v>
      </c>
      <c r="BY332" s="495" t="str">
        <f t="shared" si="265"/>
        <v xml:space="preserve"> </v>
      </c>
    </row>
    <row r="333" spans="1:77" s="28" customFormat="1" ht="36" customHeight="1">
      <c r="A333" s="954" t="s">
        <v>30</v>
      </c>
      <c r="B333" s="954"/>
      <c r="C333" s="371">
        <f>SUM(C330:C332)</f>
        <v>1466.1</v>
      </c>
      <c r="D333" s="396"/>
      <c r="E333" s="362" t="s">
        <v>391</v>
      </c>
      <c r="F333" s="374"/>
      <c r="G333" s="374"/>
      <c r="H333" s="371">
        <f>SUM(H330:H332)</f>
        <v>4699002</v>
      </c>
      <c r="I333" s="371">
        <f t="shared" ref="I333:AN333" si="337">SUM(I330:I332)</f>
        <v>0</v>
      </c>
      <c r="J333" s="371">
        <f t="shared" si="337"/>
        <v>0</v>
      </c>
      <c r="K333" s="371">
        <f t="shared" si="337"/>
        <v>0</v>
      </c>
      <c r="L333" s="371">
        <f t="shared" si="337"/>
        <v>0</v>
      </c>
      <c r="M333" s="371">
        <f t="shared" si="337"/>
        <v>0</v>
      </c>
      <c r="N333" s="371">
        <f t="shared" si="337"/>
        <v>0</v>
      </c>
      <c r="O333" s="371">
        <f t="shared" si="337"/>
        <v>0</v>
      </c>
      <c r="P333" s="371">
        <f t="shared" si="337"/>
        <v>0</v>
      </c>
      <c r="Q333" s="371">
        <f t="shared" si="337"/>
        <v>0</v>
      </c>
      <c r="R333" s="371">
        <f t="shared" si="337"/>
        <v>0</v>
      </c>
      <c r="S333" s="371">
        <f t="shared" si="337"/>
        <v>0</v>
      </c>
      <c r="T333" s="371">
        <f t="shared" si="337"/>
        <v>0</v>
      </c>
      <c r="U333" s="130">
        <f t="shared" si="337"/>
        <v>0</v>
      </c>
      <c r="V333" s="371">
        <f t="shared" si="337"/>
        <v>0</v>
      </c>
      <c r="W333" s="371">
        <f t="shared" si="337"/>
        <v>1453</v>
      </c>
      <c r="X333" s="371">
        <f t="shared" si="337"/>
        <v>4487546.91</v>
      </c>
      <c r="Y333" s="371">
        <f t="shared" si="337"/>
        <v>0</v>
      </c>
      <c r="Z333" s="371">
        <f t="shared" si="337"/>
        <v>0</v>
      </c>
      <c r="AA333" s="371">
        <f t="shared" si="337"/>
        <v>0</v>
      </c>
      <c r="AB333" s="371">
        <f t="shared" si="337"/>
        <v>0</v>
      </c>
      <c r="AC333" s="371">
        <f t="shared" si="337"/>
        <v>0</v>
      </c>
      <c r="AD333" s="371">
        <f t="shared" si="337"/>
        <v>0</v>
      </c>
      <c r="AE333" s="371">
        <f t="shared" si="337"/>
        <v>0</v>
      </c>
      <c r="AF333" s="371">
        <f t="shared" si="337"/>
        <v>0</v>
      </c>
      <c r="AG333" s="371">
        <f t="shared" si="337"/>
        <v>0</v>
      </c>
      <c r="AH333" s="371">
        <f t="shared" si="337"/>
        <v>0</v>
      </c>
      <c r="AI333" s="371">
        <f t="shared" si="337"/>
        <v>0</v>
      </c>
      <c r="AJ333" s="371">
        <f t="shared" si="337"/>
        <v>140970.06</v>
      </c>
      <c r="AK333" s="371">
        <f t="shared" si="337"/>
        <v>70485.03</v>
      </c>
      <c r="AL333" s="371">
        <f t="shared" si="337"/>
        <v>0</v>
      </c>
      <c r="AM333" s="371">
        <f t="shared" si="337"/>
        <v>0</v>
      </c>
      <c r="AN333" s="371">
        <f t="shared" si="337"/>
        <v>0</v>
      </c>
      <c r="AP333" s="486" t="e">
        <f t="shared" si="242"/>
        <v>#DIV/0!</v>
      </c>
      <c r="AQ333" s="486" t="e">
        <f t="shared" si="244"/>
        <v>#DIV/0!</v>
      </c>
      <c r="AR333" s="497" t="e">
        <f t="shared" si="245"/>
        <v>#DIV/0!</v>
      </c>
      <c r="AS333" s="497" t="e">
        <f t="shared" si="246"/>
        <v>#DIV/0!</v>
      </c>
      <c r="AT333" s="497" t="e">
        <f t="shared" si="247"/>
        <v>#DIV/0!</v>
      </c>
      <c r="AU333" s="497" t="e">
        <f t="shared" si="248"/>
        <v>#DIV/0!</v>
      </c>
      <c r="AV333" s="497" t="e">
        <f t="shared" si="249"/>
        <v>#DIV/0!</v>
      </c>
      <c r="AW333" s="497">
        <f t="shared" si="250"/>
        <v>3088.4700000000003</v>
      </c>
      <c r="AX333" s="497" t="e">
        <f t="shared" si="251"/>
        <v>#DIV/0!</v>
      </c>
      <c r="AY333" s="486" t="e">
        <f t="shared" si="252"/>
        <v>#DIV/0!</v>
      </c>
      <c r="AZ333" s="497" t="e">
        <f t="shared" si="253"/>
        <v>#DIV/0!</v>
      </c>
      <c r="BA333" s="486">
        <f t="shared" si="243"/>
        <v>0</v>
      </c>
      <c r="BB333" s="494">
        <v>5155.41</v>
      </c>
      <c r="BC333" s="494">
        <v>2070.12</v>
      </c>
      <c r="BD333" s="494">
        <v>848.92</v>
      </c>
      <c r="BE333" s="494">
        <v>819.73</v>
      </c>
      <c r="BF333" s="494">
        <v>611.5</v>
      </c>
      <c r="BG333" s="494">
        <v>1080.04</v>
      </c>
      <c r="BH333" s="494">
        <v>2671800.0099999998</v>
      </c>
      <c r="BI333" s="494">
        <f t="shared" si="288"/>
        <v>4422.8500000000004</v>
      </c>
      <c r="BJ333" s="494">
        <v>14289.54</v>
      </c>
      <c r="BK333" s="494">
        <v>3389.61</v>
      </c>
      <c r="BL333" s="494">
        <v>5995.76</v>
      </c>
      <c r="BM333" s="494">
        <v>548.62</v>
      </c>
      <c r="BN333" s="493" t="e">
        <f t="shared" si="254"/>
        <v>#DIV/0!</v>
      </c>
      <c r="BO333" s="493" t="e">
        <f t="shared" si="255"/>
        <v>#DIV/0!</v>
      </c>
      <c r="BP333" s="493" t="e">
        <f t="shared" si="256"/>
        <v>#DIV/0!</v>
      </c>
      <c r="BQ333" s="493" t="e">
        <f t="shared" si="257"/>
        <v>#DIV/0!</v>
      </c>
      <c r="BR333" s="493" t="e">
        <f t="shared" si="258"/>
        <v>#DIV/0!</v>
      </c>
      <c r="BS333" s="493" t="e">
        <f t="shared" si="259"/>
        <v>#DIV/0!</v>
      </c>
      <c r="BT333" s="493" t="e">
        <f t="shared" si="260"/>
        <v>#DIV/0!</v>
      </c>
      <c r="BU333" s="493" t="str">
        <f t="shared" si="261"/>
        <v xml:space="preserve"> </v>
      </c>
      <c r="BV333" s="493" t="e">
        <f t="shared" si="262"/>
        <v>#DIV/0!</v>
      </c>
      <c r="BW333" s="493" t="e">
        <f t="shared" si="263"/>
        <v>#DIV/0!</v>
      </c>
      <c r="BX333" s="493" t="e">
        <f t="shared" si="264"/>
        <v>#DIV/0!</v>
      </c>
      <c r="BY333" s="493" t="str">
        <f t="shared" si="265"/>
        <v xml:space="preserve"> </v>
      </c>
    </row>
    <row r="334" spans="1:77" s="28" customFormat="1" ht="14.25" customHeight="1">
      <c r="A334" s="837" t="s">
        <v>35</v>
      </c>
      <c r="B334" s="838"/>
      <c r="C334" s="838"/>
      <c r="D334" s="838"/>
      <c r="E334" s="838"/>
      <c r="F334" s="838"/>
      <c r="G334" s="838"/>
      <c r="H334" s="838"/>
      <c r="I334" s="838"/>
      <c r="J334" s="838"/>
      <c r="K334" s="838"/>
      <c r="L334" s="838"/>
      <c r="M334" s="838"/>
      <c r="N334" s="838"/>
      <c r="O334" s="838"/>
      <c r="P334" s="838"/>
      <c r="Q334" s="838"/>
      <c r="R334" s="838"/>
      <c r="S334" s="838"/>
      <c r="T334" s="838"/>
      <c r="U334" s="838"/>
      <c r="V334" s="838"/>
      <c r="W334" s="838"/>
      <c r="X334" s="838"/>
      <c r="Y334" s="838"/>
      <c r="Z334" s="838"/>
      <c r="AA334" s="838"/>
      <c r="AB334" s="838"/>
      <c r="AC334" s="838"/>
      <c r="AD334" s="838"/>
      <c r="AE334" s="838"/>
      <c r="AF334" s="838"/>
      <c r="AG334" s="838"/>
      <c r="AH334" s="838"/>
      <c r="AI334" s="838"/>
      <c r="AJ334" s="838"/>
      <c r="AK334" s="838"/>
      <c r="AL334" s="839"/>
      <c r="AM334" s="280"/>
      <c r="AN334" s="280"/>
      <c r="AP334" s="486" t="e">
        <f t="shared" si="242"/>
        <v>#DIV/0!</v>
      </c>
      <c r="AQ334" s="486" t="e">
        <f t="shared" si="244"/>
        <v>#DIV/0!</v>
      </c>
      <c r="AR334" s="497" t="e">
        <f t="shared" si="245"/>
        <v>#DIV/0!</v>
      </c>
      <c r="AS334" s="497" t="e">
        <f t="shared" si="246"/>
        <v>#DIV/0!</v>
      </c>
      <c r="AT334" s="497" t="e">
        <f t="shared" si="247"/>
        <v>#DIV/0!</v>
      </c>
      <c r="AU334" s="497" t="e">
        <f t="shared" si="248"/>
        <v>#DIV/0!</v>
      </c>
      <c r="AV334" s="497" t="e">
        <f t="shared" si="249"/>
        <v>#DIV/0!</v>
      </c>
      <c r="AW334" s="497" t="e">
        <f t="shared" si="250"/>
        <v>#DIV/0!</v>
      </c>
      <c r="AX334" s="497" t="e">
        <f t="shared" si="251"/>
        <v>#DIV/0!</v>
      </c>
      <c r="AY334" s="486" t="e">
        <f t="shared" si="252"/>
        <v>#DIV/0!</v>
      </c>
      <c r="AZ334" s="497" t="e">
        <f t="shared" si="253"/>
        <v>#DIV/0!</v>
      </c>
      <c r="BA334" s="486" t="e">
        <f t="shared" si="243"/>
        <v>#DIV/0!</v>
      </c>
      <c r="BB334" s="494">
        <v>5155.41</v>
      </c>
      <c r="BC334" s="494">
        <v>2070.12</v>
      </c>
      <c r="BD334" s="494">
        <v>848.92</v>
      </c>
      <c r="BE334" s="494">
        <v>819.73</v>
      </c>
      <c r="BF334" s="494">
        <v>611.5</v>
      </c>
      <c r="BG334" s="494">
        <v>1080.04</v>
      </c>
      <c r="BH334" s="494">
        <v>2671800.0099999998</v>
      </c>
      <c r="BI334" s="494">
        <f t="shared" si="288"/>
        <v>4422.8500000000004</v>
      </c>
      <c r="BJ334" s="494">
        <v>14289.54</v>
      </c>
      <c r="BK334" s="494">
        <v>3389.61</v>
      </c>
      <c r="BL334" s="494">
        <v>5995.76</v>
      </c>
      <c r="BM334" s="494">
        <v>548.62</v>
      </c>
      <c r="BN334" s="493" t="e">
        <f t="shared" si="254"/>
        <v>#DIV/0!</v>
      </c>
      <c r="BO334" s="493" t="e">
        <f t="shared" si="255"/>
        <v>#DIV/0!</v>
      </c>
      <c r="BP334" s="493" t="e">
        <f t="shared" si="256"/>
        <v>#DIV/0!</v>
      </c>
      <c r="BQ334" s="493" t="e">
        <f t="shared" si="257"/>
        <v>#DIV/0!</v>
      </c>
      <c r="BR334" s="493" t="e">
        <f t="shared" si="258"/>
        <v>#DIV/0!</v>
      </c>
      <c r="BS334" s="493" t="e">
        <f t="shared" si="259"/>
        <v>#DIV/0!</v>
      </c>
      <c r="BT334" s="493" t="e">
        <f t="shared" si="260"/>
        <v>#DIV/0!</v>
      </c>
      <c r="BU334" s="493" t="e">
        <f t="shared" si="261"/>
        <v>#DIV/0!</v>
      </c>
      <c r="BV334" s="493" t="e">
        <f t="shared" si="262"/>
        <v>#DIV/0!</v>
      </c>
      <c r="BW334" s="493" t="e">
        <f t="shared" si="263"/>
        <v>#DIV/0!</v>
      </c>
      <c r="BX334" s="493" t="e">
        <f t="shared" si="264"/>
        <v>#DIV/0!</v>
      </c>
      <c r="BY334" s="493" t="e">
        <f t="shared" si="265"/>
        <v>#DIV/0!</v>
      </c>
    </row>
    <row r="335" spans="1:77" s="28" customFormat="1" ht="9" customHeight="1">
      <c r="A335" s="278">
        <v>253</v>
      </c>
      <c r="B335" s="156" t="s">
        <v>968</v>
      </c>
      <c r="C335" s="249">
        <v>360</v>
      </c>
      <c r="D335" s="376"/>
      <c r="E335" s="371" t="s">
        <v>1005</v>
      </c>
      <c r="F335" s="249"/>
      <c r="G335" s="249"/>
      <c r="H335" s="371">
        <v>1500300</v>
      </c>
      <c r="I335" s="371">
        <f t="shared" ref="I335:I341" si="338">J335+L335+N335+P335+R335+T335</f>
        <v>0</v>
      </c>
      <c r="J335" s="217">
        <v>0</v>
      </c>
      <c r="K335" s="469">
        <v>0</v>
      </c>
      <c r="L335" s="217">
        <v>0</v>
      </c>
      <c r="M335" s="469">
        <v>0</v>
      </c>
      <c r="N335" s="217">
        <v>0</v>
      </c>
      <c r="O335" s="249">
        <v>0</v>
      </c>
      <c r="P335" s="371">
        <v>0</v>
      </c>
      <c r="Q335" s="249">
        <v>0</v>
      </c>
      <c r="R335" s="371">
        <v>0</v>
      </c>
      <c r="S335" s="249">
        <v>0</v>
      </c>
      <c r="T335" s="371">
        <v>0</v>
      </c>
      <c r="U335" s="130">
        <v>0</v>
      </c>
      <c r="V335" s="371">
        <v>0</v>
      </c>
      <c r="W335" s="20">
        <v>450</v>
      </c>
      <c r="X335" s="371">
        <f t="shared" ref="X335:X341" si="339">ROUND(H335/100*95.5,2)</f>
        <v>1432786.5</v>
      </c>
      <c r="Y335" s="373">
        <v>0</v>
      </c>
      <c r="Z335" s="373">
        <v>0</v>
      </c>
      <c r="AA335" s="373">
        <v>0</v>
      </c>
      <c r="AB335" s="373">
        <v>0</v>
      </c>
      <c r="AC335" s="373">
        <v>0</v>
      </c>
      <c r="AD335" s="373">
        <v>0</v>
      </c>
      <c r="AE335" s="373">
        <v>0</v>
      </c>
      <c r="AF335" s="373">
        <v>0</v>
      </c>
      <c r="AG335" s="373">
        <v>0</v>
      </c>
      <c r="AH335" s="373">
        <v>0</v>
      </c>
      <c r="AI335" s="373">
        <v>0</v>
      </c>
      <c r="AJ335" s="373">
        <f t="shared" ref="AJ335:AJ341" si="340">ROUND(H335/100*3,2)</f>
        <v>45009</v>
      </c>
      <c r="AK335" s="373">
        <f t="shared" ref="AK335:AK341" si="341">ROUND(H335/100*1.5,2)</f>
        <v>22504.5</v>
      </c>
      <c r="AL335" s="373">
        <v>0</v>
      </c>
      <c r="AM335" s="446"/>
      <c r="AN335" s="446"/>
      <c r="AP335" s="486" t="e">
        <f t="shared" si="242"/>
        <v>#DIV/0!</v>
      </c>
      <c r="AQ335" s="486" t="e">
        <f t="shared" si="244"/>
        <v>#DIV/0!</v>
      </c>
      <c r="AR335" s="486" t="e">
        <f t="shared" si="245"/>
        <v>#DIV/0!</v>
      </c>
      <c r="AS335" s="486" t="e">
        <f t="shared" si="246"/>
        <v>#DIV/0!</v>
      </c>
      <c r="AT335" s="486" t="e">
        <f t="shared" si="247"/>
        <v>#DIV/0!</v>
      </c>
      <c r="AU335" s="486" t="e">
        <f t="shared" si="248"/>
        <v>#DIV/0!</v>
      </c>
      <c r="AV335" s="486" t="e">
        <f t="shared" si="249"/>
        <v>#DIV/0!</v>
      </c>
      <c r="AW335" s="486">
        <f t="shared" si="250"/>
        <v>3183.97</v>
      </c>
      <c r="AX335" s="486" t="e">
        <f t="shared" si="251"/>
        <v>#DIV/0!</v>
      </c>
      <c r="AY335" s="486" t="e">
        <f t="shared" si="252"/>
        <v>#DIV/0!</v>
      </c>
      <c r="AZ335" s="486" t="e">
        <f t="shared" si="253"/>
        <v>#DIV/0!</v>
      </c>
      <c r="BA335" s="486">
        <f t="shared" si="243"/>
        <v>0</v>
      </c>
      <c r="BB335" s="494">
        <v>5155.41</v>
      </c>
      <c r="BC335" s="494">
        <v>2070.12</v>
      </c>
      <c r="BD335" s="494">
        <v>848.92</v>
      </c>
      <c r="BE335" s="494">
        <v>819.73</v>
      </c>
      <c r="BF335" s="494">
        <v>611.5</v>
      </c>
      <c r="BG335" s="494">
        <v>1080.04</v>
      </c>
      <c r="BH335" s="494">
        <v>2671800.0099999998</v>
      </c>
      <c r="BI335" s="494">
        <f t="shared" si="288"/>
        <v>4607.6000000000004</v>
      </c>
      <c r="BJ335" s="494">
        <v>14289.54</v>
      </c>
      <c r="BK335" s="494">
        <v>3389.61</v>
      </c>
      <c r="BL335" s="494">
        <v>5995.76</v>
      </c>
      <c r="BM335" s="494">
        <v>548.62</v>
      </c>
      <c r="BN335" s="495" t="e">
        <f t="shared" si="254"/>
        <v>#DIV/0!</v>
      </c>
      <c r="BO335" s="495" t="e">
        <f t="shared" si="255"/>
        <v>#DIV/0!</v>
      </c>
      <c r="BP335" s="495" t="e">
        <f t="shared" si="256"/>
        <v>#DIV/0!</v>
      </c>
      <c r="BQ335" s="495" t="e">
        <f t="shared" si="257"/>
        <v>#DIV/0!</v>
      </c>
      <c r="BR335" s="495" t="e">
        <f t="shared" si="258"/>
        <v>#DIV/0!</v>
      </c>
      <c r="BS335" s="495" t="e">
        <f t="shared" si="259"/>
        <v>#DIV/0!</v>
      </c>
      <c r="BT335" s="495" t="e">
        <f t="shared" si="260"/>
        <v>#DIV/0!</v>
      </c>
      <c r="BU335" s="495" t="str">
        <f t="shared" si="261"/>
        <v xml:space="preserve"> </v>
      </c>
      <c r="BV335" s="495" t="e">
        <f t="shared" si="262"/>
        <v>#DIV/0!</v>
      </c>
      <c r="BW335" s="495" t="e">
        <f t="shared" si="263"/>
        <v>#DIV/0!</v>
      </c>
      <c r="BX335" s="495" t="e">
        <f t="shared" si="264"/>
        <v>#DIV/0!</v>
      </c>
      <c r="BY335" s="495" t="str">
        <f t="shared" si="265"/>
        <v xml:space="preserve"> </v>
      </c>
    </row>
    <row r="336" spans="1:77" s="28" customFormat="1" ht="9" customHeight="1">
      <c r="A336" s="278">
        <v>254</v>
      </c>
      <c r="B336" s="156" t="s">
        <v>969</v>
      </c>
      <c r="C336" s="249">
        <v>368</v>
      </c>
      <c r="D336" s="376"/>
      <c r="E336" s="371" t="s">
        <v>1005</v>
      </c>
      <c r="F336" s="249"/>
      <c r="G336" s="249"/>
      <c r="H336" s="371">
        <v>1143562</v>
      </c>
      <c r="I336" s="371">
        <f t="shared" si="338"/>
        <v>0</v>
      </c>
      <c r="J336" s="217">
        <v>0</v>
      </c>
      <c r="K336" s="469">
        <v>0</v>
      </c>
      <c r="L336" s="217">
        <v>0</v>
      </c>
      <c r="M336" s="469">
        <v>0</v>
      </c>
      <c r="N336" s="217">
        <v>0</v>
      </c>
      <c r="O336" s="249">
        <v>0</v>
      </c>
      <c r="P336" s="371">
        <v>0</v>
      </c>
      <c r="Q336" s="249">
        <v>0</v>
      </c>
      <c r="R336" s="371">
        <v>0</v>
      </c>
      <c r="S336" s="249">
        <v>0</v>
      </c>
      <c r="T336" s="371">
        <v>0</v>
      </c>
      <c r="U336" s="130">
        <v>0</v>
      </c>
      <c r="V336" s="371">
        <v>0</v>
      </c>
      <c r="W336" s="20">
        <v>343</v>
      </c>
      <c r="X336" s="371">
        <f t="shared" si="339"/>
        <v>1092101.71</v>
      </c>
      <c r="Y336" s="373">
        <v>0</v>
      </c>
      <c r="Z336" s="373">
        <v>0</v>
      </c>
      <c r="AA336" s="373">
        <v>0</v>
      </c>
      <c r="AB336" s="373">
        <v>0</v>
      </c>
      <c r="AC336" s="373">
        <v>0</v>
      </c>
      <c r="AD336" s="373">
        <v>0</v>
      </c>
      <c r="AE336" s="373">
        <v>0</v>
      </c>
      <c r="AF336" s="373">
        <v>0</v>
      </c>
      <c r="AG336" s="373">
        <v>0</v>
      </c>
      <c r="AH336" s="373">
        <v>0</v>
      </c>
      <c r="AI336" s="373">
        <v>0</v>
      </c>
      <c r="AJ336" s="373">
        <f t="shared" si="340"/>
        <v>34306.86</v>
      </c>
      <c r="AK336" s="373">
        <f t="shared" si="341"/>
        <v>17153.43</v>
      </c>
      <c r="AL336" s="373">
        <v>0</v>
      </c>
      <c r="AM336" s="446"/>
      <c r="AN336" s="446"/>
      <c r="AP336" s="486" t="e">
        <f t="shared" si="242"/>
        <v>#DIV/0!</v>
      </c>
      <c r="AQ336" s="486" t="e">
        <f t="shared" si="244"/>
        <v>#DIV/0!</v>
      </c>
      <c r="AR336" s="486" t="e">
        <f t="shared" si="245"/>
        <v>#DIV/0!</v>
      </c>
      <c r="AS336" s="486" t="e">
        <f t="shared" si="246"/>
        <v>#DIV/0!</v>
      </c>
      <c r="AT336" s="486" t="e">
        <f t="shared" si="247"/>
        <v>#DIV/0!</v>
      </c>
      <c r="AU336" s="486" t="e">
        <f t="shared" si="248"/>
        <v>#DIV/0!</v>
      </c>
      <c r="AV336" s="486" t="e">
        <f t="shared" si="249"/>
        <v>#DIV/0!</v>
      </c>
      <c r="AW336" s="486">
        <f t="shared" si="250"/>
        <v>3183.97</v>
      </c>
      <c r="AX336" s="486" t="e">
        <f t="shared" si="251"/>
        <v>#DIV/0!</v>
      </c>
      <c r="AY336" s="486" t="e">
        <f t="shared" si="252"/>
        <v>#DIV/0!</v>
      </c>
      <c r="AZ336" s="486" t="e">
        <f t="shared" si="253"/>
        <v>#DIV/0!</v>
      </c>
      <c r="BA336" s="486">
        <f t="shared" si="243"/>
        <v>0</v>
      </c>
      <c r="BB336" s="494">
        <v>5155.41</v>
      </c>
      <c r="BC336" s="494">
        <v>2070.12</v>
      </c>
      <c r="BD336" s="494">
        <v>848.92</v>
      </c>
      <c r="BE336" s="494">
        <v>819.73</v>
      </c>
      <c r="BF336" s="494">
        <v>611.5</v>
      </c>
      <c r="BG336" s="494">
        <v>1080.04</v>
      </c>
      <c r="BH336" s="494">
        <v>2671800.0099999998</v>
      </c>
      <c r="BI336" s="494">
        <f t="shared" si="288"/>
        <v>4607.6000000000004</v>
      </c>
      <c r="BJ336" s="494">
        <v>14289.54</v>
      </c>
      <c r="BK336" s="494">
        <v>3389.61</v>
      </c>
      <c r="BL336" s="494">
        <v>5995.76</v>
      </c>
      <c r="BM336" s="494">
        <v>548.62</v>
      </c>
      <c r="BN336" s="495" t="e">
        <f t="shared" si="254"/>
        <v>#DIV/0!</v>
      </c>
      <c r="BO336" s="495" t="e">
        <f t="shared" si="255"/>
        <v>#DIV/0!</v>
      </c>
      <c r="BP336" s="495" t="e">
        <f t="shared" si="256"/>
        <v>#DIV/0!</v>
      </c>
      <c r="BQ336" s="495" t="e">
        <f t="shared" si="257"/>
        <v>#DIV/0!</v>
      </c>
      <c r="BR336" s="495" t="e">
        <f t="shared" si="258"/>
        <v>#DIV/0!</v>
      </c>
      <c r="BS336" s="495" t="e">
        <f t="shared" si="259"/>
        <v>#DIV/0!</v>
      </c>
      <c r="BT336" s="495" t="e">
        <f t="shared" si="260"/>
        <v>#DIV/0!</v>
      </c>
      <c r="BU336" s="495" t="str">
        <f t="shared" si="261"/>
        <v xml:space="preserve"> </v>
      </c>
      <c r="BV336" s="495" t="e">
        <f t="shared" si="262"/>
        <v>#DIV/0!</v>
      </c>
      <c r="BW336" s="495" t="e">
        <f t="shared" si="263"/>
        <v>#DIV/0!</v>
      </c>
      <c r="BX336" s="495" t="e">
        <f t="shared" si="264"/>
        <v>#DIV/0!</v>
      </c>
      <c r="BY336" s="495" t="str">
        <f t="shared" si="265"/>
        <v xml:space="preserve"> </v>
      </c>
    </row>
    <row r="337" spans="1:77" s="28" customFormat="1" ht="9" customHeight="1">
      <c r="A337" s="372">
        <v>255</v>
      </c>
      <c r="B337" s="156" t="s">
        <v>970</v>
      </c>
      <c r="C337" s="249">
        <v>373.1</v>
      </c>
      <c r="D337" s="376"/>
      <c r="E337" s="371" t="s">
        <v>1006</v>
      </c>
      <c r="F337" s="249"/>
      <c r="G337" s="249"/>
      <c r="H337" s="371">
        <v>1183644</v>
      </c>
      <c r="I337" s="371">
        <f t="shared" si="338"/>
        <v>0</v>
      </c>
      <c r="J337" s="217">
        <v>0</v>
      </c>
      <c r="K337" s="469">
        <v>0</v>
      </c>
      <c r="L337" s="217">
        <v>0</v>
      </c>
      <c r="M337" s="469">
        <v>0</v>
      </c>
      <c r="N337" s="217">
        <v>0</v>
      </c>
      <c r="O337" s="249">
        <v>0</v>
      </c>
      <c r="P337" s="371">
        <v>0</v>
      </c>
      <c r="Q337" s="249">
        <v>0</v>
      </c>
      <c r="R337" s="371">
        <v>0</v>
      </c>
      <c r="S337" s="249">
        <v>0</v>
      </c>
      <c r="T337" s="371">
        <v>0</v>
      </c>
      <c r="U337" s="130">
        <v>0</v>
      </c>
      <c r="V337" s="371">
        <v>0</v>
      </c>
      <c r="W337" s="20">
        <v>366</v>
      </c>
      <c r="X337" s="371">
        <f t="shared" si="339"/>
        <v>1130380.02</v>
      </c>
      <c r="Y337" s="373">
        <v>0</v>
      </c>
      <c r="Z337" s="373">
        <v>0</v>
      </c>
      <c r="AA337" s="373">
        <v>0</v>
      </c>
      <c r="AB337" s="373">
        <v>0</v>
      </c>
      <c r="AC337" s="373">
        <v>0</v>
      </c>
      <c r="AD337" s="373">
        <v>0</v>
      </c>
      <c r="AE337" s="373">
        <v>0</v>
      </c>
      <c r="AF337" s="373">
        <v>0</v>
      </c>
      <c r="AG337" s="373">
        <v>0</v>
      </c>
      <c r="AH337" s="373">
        <v>0</v>
      </c>
      <c r="AI337" s="373">
        <v>0</v>
      </c>
      <c r="AJ337" s="373">
        <f t="shared" si="340"/>
        <v>35509.32</v>
      </c>
      <c r="AK337" s="373">
        <f t="shared" si="341"/>
        <v>17754.66</v>
      </c>
      <c r="AL337" s="373">
        <v>0</v>
      </c>
      <c r="AM337" s="446"/>
      <c r="AN337" s="446"/>
      <c r="AP337" s="486" t="e">
        <f t="shared" ref="AP337:AP400" si="342">J337/D337</f>
        <v>#DIV/0!</v>
      </c>
      <c r="AQ337" s="486" t="e">
        <f t="shared" si="244"/>
        <v>#DIV/0!</v>
      </c>
      <c r="AR337" s="486" t="e">
        <f t="shared" si="245"/>
        <v>#DIV/0!</v>
      </c>
      <c r="AS337" s="486" t="e">
        <f t="shared" si="246"/>
        <v>#DIV/0!</v>
      </c>
      <c r="AT337" s="486" t="e">
        <f t="shared" si="247"/>
        <v>#DIV/0!</v>
      </c>
      <c r="AU337" s="486" t="e">
        <f t="shared" si="248"/>
        <v>#DIV/0!</v>
      </c>
      <c r="AV337" s="486" t="e">
        <f t="shared" si="249"/>
        <v>#DIV/0!</v>
      </c>
      <c r="AW337" s="486">
        <f t="shared" si="250"/>
        <v>3088.4700000000003</v>
      </c>
      <c r="AX337" s="486" t="e">
        <f t="shared" si="251"/>
        <v>#DIV/0!</v>
      </c>
      <c r="AY337" s="486" t="e">
        <f t="shared" si="252"/>
        <v>#DIV/0!</v>
      </c>
      <c r="AZ337" s="486" t="e">
        <f t="shared" si="253"/>
        <v>#DIV/0!</v>
      </c>
      <c r="BA337" s="486">
        <f t="shared" ref="BA337:BA400" si="343">AI337/C337</f>
        <v>0</v>
      </c>
      <c r="BB337" s="494">
        <v>5155.41</v>
      </c>
      <c r="BC337" s="494">
        <v>2070.12</v>
      </c>
      <c r="BD337" s="494">
        <v>848.92</v>
      </c>
      <c r="BE337" s="494">
        <v>819.73</v>
      </c>
      <c r="BF337" s="494">
        <v>611.5</v>
      </c>
      <c r="BG337" s="494">
        <v>1080.04</v>
      </c>
      <c r="BH337" s="494">
        <v>2671800.0099999998</v>
      </c>
      <c r="BI337" s="494">
        <f t="shared" si="288"/>
        <v>4422.8500000000004</v>
      </c>
      <c r="BJ337" s="494">
        <v>14289.54</v>
      </c>
      <c r="BK337" s="494">
        <v>3389.61</v>
      </c>
      <c r="BL337" s="494">
        <v>5995.76</v>
      </c>
      <c r="BM337" s="494">
        <v>548.62</v>
      </c>
      <c r="BN337" s="495" t="e">
        <f t="shared" si="254"/>
        <v>#DIV/0!</v>
      </c>
      <c r="BO337" s="495" t="e">
        <f t="shared" si="255"/>
        <v>#DIV/0!</v>
      </c>
      <c r="BP337" s="495" t="e">
        <f t="shared" si="256"/>
        <v>#DIV/0!</v>
      </c>
      <c r="BQ337" s="495" t="e">
        <f t="shared" si="257"/>
        <v>#DIV/0!</v>
      </c>
      <c r="BR337" s="495" t="e">
        <f t="shared" si="258"/>
        <v>#DIV/0!</v>
      </c>
      <c r="BS337" s="495" t="e">
        <f t="shared" si="259"/>
        <v>#DIV/0!</v>
      </c>
      <c r="BT337" s="495" t="e">
        <f t="shared" si="260"/>
        <v>#DIV/0!</v>
      </c>
      <c r="BU337" s="495" t="str">
        <f t="shared" si="261"/>
        <v xml:space="preserve"> </v>
      </c>
      <c r="BV337" s="495" t="e">
        <f t="shared" si="262"/>
        <v>#DIV/0!</v>
      </c>
      <c r="BW337" s="495" t="e">
        <f t="shared" si="263"/>
        <v>#DIV/0!</v>
      </c>
      <c r="BX337" s="495" t="e">
        <f t="shared" si="264"/>
        <v>#DIV/0!</v>
      </c>
      <c r="BY337" s="495" t="str">
        <f t="shared" si="265"/>
        <v xml:space="preserve"> </v>
      </c>
    </row>
    <row r="338" spans="1:77" s="28" customFormat="1" ht="9" customHeight="1">
      <c r="A338" s="372">
        <v>256</v>
      </c>
      <c r="B338" s="156" t="s">
        <v>971</v>
      </c>
      <c r="C338" s="249">
        <v>327.7</v>
      </c>
      <c r="D338" s="376"/>
      <c r="E338" s="371" t="s">
        <v>1006</v>
      </c>
      <c r="F338" s="249"/>
      <c r="G338" s="249"/>
      <c r="H338" s="371">
        <v>1164563.3999999999</v>
      </c>
      <c r="I338" s="371">
        <f t="shared" si="338"/>
        <v>0</v>
      </c>
      <c r="J338" s="217">
        <v>0</v>
      </c>
      <c r="K338" s="469">
        <v>0</v>
      </c>
      <c r="L338" s="217">
        <v>0</v>
      </c>
      <c r="M338" s="469">
        <v>0</v>
      </c>
      <c r="N338" s="217">
        <v>0</v>
      </c>
      <c r="O338" s="249">
        <v>0</v>
      </c>
      <c r="P338" s="371">
        <v>0</v>
      </c>
      <c r="Q338" s="249">
        <v>0</v>
      </c>
      <c r="R338" s="371">
        <v>0</v>
      </c>
      <c r="S338" s="249">
        <v>0</v>
      </c>
      <c r="T338" s="371">
        <v>0</v>
      </c>
      <c r="U338" s="130">
        <v>0</v>
      </c>
      <c r="V338" s="371">
        <v>0</v>
      </c>
      <c r="W338" s="20">
        <v>360.1</v>
      </c>
      <c r="X338" s="371">
        <f t="shared" si="339"/>
        <v>1112158.05</v>
      </c>
      <c r="Y338" s="373">
        <v>0</v>
      </c>
      <c r="Z338" s="373">
        <v>0</v>
      </c>
      <c r="AA338" s="373">
        <v>0</v>
      </c>
      <c r="AB338" s="373">
        <v>0</v>
      </c>
      <c r="AC338" s="373">
        <v>0</v>
      </c>
      <c r="AD338" s="373">
        <v>0</v>
      </c>
      <c r="AE338" s="373">
        <v>0</v>
      </c>
      <c r="AF338" s="373">
        <v>0</v>
      </c>
      <c r="AG338" s="373">
        <v>0</v>
      </c>
      <c r="AH338" s="373">
        <v>0</v>
      </c>
      <c r="AI338" s="373">
        <v>0</v>
      </c>
      <c r="AJ338" s="373">
        <f t="shared" si="340"/>
        <v>34936.9</v>
      </c>
      <c r="AK338" s="373">
        <f t="shared" si="341"/>
        <v>17468.45</v>
      </c>
      <c r="AL338" s="373">
        <v>0</v>
      </c>
      <c r="AM338" s="446"/>
      <c r="AN338" s="446"/>
      <c r="AP338" s="486" t="e">
        <f t="shared" si="342"/>
        <v>#DIV/0!</v>
      </c>
      <c r="AQ338" s="486" t="e">
        <f t="shared" ref="AQ338:AQ401" si="344">L338/K338</f>
        <v>#DIV/0!</v>
      </c>
      <c r="AR338" s="486" t="e">
        <f t="shared" ref="AR338:AR401" si="345">N338/M338</f>
        <v>#DIV/0!</v>
      </c>
      <c r="AS338" s="486" t="e">
        <f t="shared" ref="AS338:AS401" si="346">P338/O338</f>
        <v>#DIV/0!</v>
      </c>
      <c r="AT338" s="486" t="e">
        <f t="shared" ref="AT338:AT401" si="347">R338/Q338</f>
        <v>#DIV/0!</v>
      </c>
      <c r="AU338" s="486" t="e">
        <f t="shared" ref="AU338:AU401" si="348">T338/S338</f>
        <v>#DIV/0!</v>
      </c>
      <c r="AV338" s="486" t="e">
        <f t="shared" ref="AV338:AV401" si="349">V338/U338</f>
        <v>#DIV/0!</v>
      </c>
      <c r="AW338" s="486">
        <f t="shared" ref="AW338:AW401" si="350">X338/W338</f>
        <v>3088.470008331019</v>
      </c>
      <c r="AX338" s="486" t="e">
        <f t="shared" ref="AX338:AX401" si="351">Z338/Y338</f>
        <v>#DIV/0!</v>
      </c>
      <c r="AY338" s="486" t="e">
        <f t="shared" ref="AY338:AY401" si="352">AB338/AA338</f>
        <v>#DIV/0!</v>
      </c>
      <c r="AZ338" s="486" t="e">
        <f t="shared" ref="AZ338:AZ401" si="353">AH338/AG338</f>
        <v>#DIV/0!</v>
      </c>
      <c r="BA338" s="486">
        <f t="shared" si="343"/>
        <v>0</v>
      </c>
      <c r="BB338" s="494">
        <v>5155.41</v>
      </c>
      <c r="BC338" s="494">
        <v>2070.12</v>
      </c>
      <c r="BD338" s="494">
        <v>848.92</v>
      </c>
      <c r="BE338" s="494">
        <v>819.73</v>
      </c>
      <c r="BF338" s="494">
        <v>611.5</v>
      </c>
      <c r="BG338" s="494">
        <v>1080.04</v>
      </c>
      <c r="BH338" s="494">
        <v>2671800.0099999998</v>
      </c>
      <c r="BI338" s="494">
        <f t="shared" si="288"/>
        <v>4422.8500000000004</v>
      </c>
      <c r="BJ338" s="494">
        <v>14289.54</v>
      </c>
      <c r="BK338" s="494">
        <v>3389.61</v>
      </c>
      <c r="BL338" s="494">
        <v>5995.76</v>
      </c>
      <c r="BM338" s="494">
        <v>548.62</v>
      </c>
      <c r="BN338" s="495" t="e">
        <f t="shared" ref="BN338:BN401" si="354">IF(AP338&gt;BB338, "+", " ")</f>
        <v>#DIV/0!</v>
      </c>
      <c r="BO338" s="495" t="e">
        <f t="shared" ref="BO338:BO401" si="355">IF(AQ338&gt;BC338, "+", " ")</f>
        <v>#DIV/0!</v>
      </c>
      <c r="BP338" s="495" t="e">
        <f t="shared" ref="BP338:BP401" si="356">IF(AR338&gt;BD338, "+", " ")</f>
        <v>#DIV/0!</v>
      </c>
      <c r="BQ338" s="495" t="e">
        <f t="shared" ref="BQ338:BQ401" si="357">IF(AS338&gt;BE338, "+", " ")</f>
        <v>#DIV/0!</v>
      </c>
      <c r="BR338" s="495" t="e">
        <f t="shared" ref="BR338:BR401" si="358">IF(AT338&gt;BF338, "+", " ")</f>
        <v>#DIV/0!</v>
      </c>
      <c r="BS338" s="495" t="e">
        <f t="shared" ref="BS338:BS401" si="359">IF(AU338&gt;BG338, "+", " ")</f>
        <v>#DIV/0!</v>
      </c>
      <c r="BT338" s="495" t="e">
        <f t="shared" ref="BT338:BT401" si="360">IF(AV338&gt;BH338, "+", " ")</f>
        <v>#DIV/0!</v>
      </c>
      <c r="BU338" s="495" t="str">
        <f t="shared" ref="BU338:BU401" si="361">IF(AW338&gt;BI338, "+", " ")</f>
        <v xml:space="preserve"> </v>
      </c>
      <c r="BV338" s="495" t="e">
        <f t="shared" ref="BV338:BV401" si="362">IF(AX338&gt;BJ338, "+", " ")</f>
        <v>#DIV/0!</v>
      </c>
      <c r="BW338" s="495" t="e">
        <f t="shared" ref="BW338:BW401" si="363">IF(AY338&gt;BK338, "+", " ")</f>
        <v>#DIV/0!</v>
      </c>
      <c r="BX338" s="495" t="e">
        <f t="shared" ref="BX338:BX401" si="364">IF(AZ338&gt;BL338, "+", " ")</f>
        <v>#DIV/0!</v>
      </c>
      <c r="BY338" s="495" t="str">
        <f t="shared" ref="BY338:BY401" si="365">IF(BA338&gt;BM338, "+", " ")</f>
        <v xml:space="preserve"> </v>
      </c>
    </row>
    <row r="339" spans="1:77" s="28" customFormat="1" ht="9" customHeight="1">
      <c r="A339" s="372">
        <v>257</v>
      </c>
      <c r="B339" s="156" t="s">
        <v>972</v>
      </c>
      <c r="C339" s="249">
        <v>136.6</v>
      </c>
      <c r="D339" s="376"/>
      <c r="E339" s="371" t="s">
        <v>1006</v>
      </c>
      <c r="F339" s="249"/>
      <c r="G339" s="249"/>
      <c r="H339" s="371">
        <v>478632</v>
      </c>
      <c r="I339" s="371">
        <f t="shared" si="338"/>
        <v>0</v>
      </c>
      <c r="J339" s="217">
        <v>0</v>
      </c>
      <c r="K339" s="469">
        <v>0</v>
      </c>
      <c r="L339" s="217">
        <v>0</v>
      </c>
      <c r="M339" s="469">
        <v>0</v>
      </c>
      <c r="N339" s="217">
        <v>0</v>
      </c>
      <c r="O339" s="249">
        <v>0</v>
      </c>
      <c r="P339" s="371">
        <v>0</v>
      </c>
      <c r="Q339" s="249">
        <v>0</v>
      </c>
      <c r="R339" s="371">
        <v>0</v>
      </c>
      <c r="S339" s="249">
        <v>0</v>
      </c>
      <c r="T339" s="371">
        <v>0</v>
      </c>
      <c r="U339" s="130">
        <v>0</v>
      </c>
      <c r="V339" s="371">
        <v>0</v>
      </c>
      <c r="W339" s="20">
        <v>148</v>
      </c>
      <c r="X339" s="371">
        <f t="shared" si="339"/>
        <v>457093.56</v>
      </c>
      <c r="Y339" s="373">
        <v>0</v>
      </c>
      <c r="Z339" s="373">
        <v>0</v>
      </c>
      <c r="AA339" s="373">
        <v>0</v>
      </c>
      <c r="AB339" s="373">
        <v>0</v>
      </c>
      <c r="AC339" s="373">
        <v>0</v>
      </c>
      <c r="AD339" s="373">
        <v>0</v>
      </c>
      <c r="AE339" s="373">
        <v>0</v>
      </c>
      <c r="AF339" s="373">
        <v>0</v>
      </c>
      <c r="AG339" s="373">
        <v>0</v>
      </c>
      <c r="AH339" s="373">
        <v>0</v>
      </c>
      <c r="AI339" s="373">
        <v>0</v>
      </c>
      <c r="AJ339" s="373">
        <f t="shared" si="340"/>
        <v>14358.96</v>
      </c>
      <c r="AK339" s="373">
        <f t="shared" si="341"/>
        <v>7179.48</v>
      </c>
      <c r="AL339" s="373">
        <v>0</v>
      </c>
      <c r="AM339" s="446"/>
      <c r="AN339" s="446"/>
      <c r="AP339" s="486" t="e">
        <f t="shared" si="342"/>
        <v>#DIV/0!</v>
      </c>
      <c r="AQ339" s="486" t="e">
        <f t="shared" si="344"/>
        <v>#DIV/0!</v>
      </c>
      <c r="AR339" s="486" t="e">
        <f t="shared" si="345"/>
        <v>#DIV/0!</v>
      </c>
      <c r="AS339" s="486" t="e">
        <f t="shared" si="346"/>
        <v>#DIV/0!</v>
      </c>
      <c r="AT339" s="486" t="e">
        <f t="shared" si="347"/>
        <v>#DIV/0!</v>
      </c>
      <c r="AU339" s="486" t="e">
        <f t="shared" si="348"/>
        <v>#DIV/0!</v>
      </c>
      <c r="AV339" s="486" t="e">
        <f t="shared" si="349"/>
        <v>#DIV/0!</v>
      </c>
      <c r="AW339" s="486">
        <f t="shared" si="350"/>
        <v>3088.47</v>
      </c>
      <c r="AX339" s="486" t="e">
        <f t="shared" si="351"/>
        <v>#DIV/0!</v>
      </c>
      <c r="AY339" s="486" t="e">
        <f t="shared" si="352"/>
        <v>#DIV/0!</v>
      </c>
      <c r="AZ339" s="486" t="e">
        <f t="shared" si="353"/>
        <v>#DIV/0!</v>
      </c>
      <c r="BA339" s="486">
        <f t="shared" si="343"/>
        <v>0</v>
      </c>
      <c r="BB339" s="494">
        <v>5155.41</v>
      </c>
      <c r="BC339" s="494">
        <v>2070.12</v>
      </c>
      <c r="BD339" s="494">
        <v>848.92</v>
      </c>
      <c r="BE339" s="494">
        <v>819.73</v>
      </c>
      <c r="BF339" s="494">
        <v>611.5</v>
      </c>
      <c r="BG339" s="494">
        <v>1080.04</v>
      </c>
      <c r="BH339" s="494">
        <v>2671800.0099999998</v>
      </c>
      <c r="BI339" s="494">
        <f t="shared" si="288"/>
        <v>4422.8500000000004</v>
      </c>
      <c r="BJ339" s="494">
        <v>14289.54</v>
      </c>
      <c r="BK339" s="494">
        <v>3389.61</v>
      </c>
      <c r="BL339" s="494">
        <v>5995.76</v>
      </c>
      <c r="BM339" s="494">
        <v>548.62</v>
      </c>
      <c r="BN339" s="495" t="e">
        <f t="shared" si="354"/>
        <v>#DIV/0!</v>
      </c>
      <c r="BO339" s="495" t="e">
        <f t="shared" si="355"/>
        <v>#DIV/0!</v>
      </c>
      <c r="BP339" s="495" t="e">
        <f t="shared" si="356"/>
        <v>#DIV/0!</v>
      </c>
      <c r="BQ339" s="495" t="e">
        <f t="shared" si="357"/>
        <v>#DIV/0!</v>
      </c>
      <c r="BR339" s="495" t="e">
        <f t="shared" si="358"/>
        <v>#DIV/0!</v>
      </c>
      <c r="BS339" s="495" t="e">
        <f t="shared" si="359"/>
        <v>#DIV/0!</v>
      </c>
      <c r="BT339" s="495" t="e">
        <f t="shared" si="360"/>
        <v>#DIV/0!</v>
      </c>
      <c r="BU339" s="495" t="str">
        <f t="shared" si="361"/>
        <v xml:space="preserve"> </v>
      </c>
      <c r="BV339" s="495" t="e">
        <f t="shared" si="362"/>
        <v>#DIV/0!</v>
      </c>
      <c r="BW339" s="495" t="e">
        <f t="shared" si="363"/>
        <v>#DIV/0!</v>
      </c>
      <c r="BX339" s="495" t="e">
        <f t="shared" si="364"/>
        <v>#DIV/0!</v>
      </c>
      <c r="BY339" s="495" t="str">
        <f t="shared" si="365"/>
        <v xml:space="preserve"> </v>
      </c>
    </row>
    <row r="340" spans="1:77" s="28" customFormat="1" ht="9" customHeight="1">
      <c r="A340" s="372">
        <v>258</v>
      </c>
      <c r="B340" s="156" t="s">
        <v>973</v>
      </c>
      <c r="C340" s="249">
        <v>340.4</v>
      </c>
      <c r="D340" s="376"/>
      <c r="E340" s="371" t="s">
        <v>1006</v>
      </c>
      <c r="F340" s="249"/>
      <c r="G340" s="249"/>
      <c r="H340" s="371">
        <v>708246</v>
      </c>
      <c r="I340" s="371">
        <f t="shared" si="338"/>
        <v>0</v>
      </c>
      <c r="J340" s="217">
        <v>0</v>
      </c>
      <c r="K340" s="469">
        <v>0</v>
      </c>
      <c r="L340" s="217">
        <v>0</v>
      </c>
      <c r="M340" s="469">
        <v>0</v>
      </c>
      <c r="N340" s="217">
        <v>0</v>
      </c>
      <c r="O340" s="249">
        <v>0</v>
      </c>
      <c r="P340" s="371">
        <v>0</v>
      </c>
      <c r="Q340" s="249">
        <v>0</v>
      </c>
      <c r="R340" s="371">
        <v>0</v>
      </c>
      <c r="S340" s="249">
        <v>0</v>
      </c>
      <c r="T340" s="371">
        <v>0</v>
      </c>
      <c r="U340" s="130">
        <v>0</v>
      </c>
      <c r="V340" s="371">
        <v>0</v>
      </c>
      <c r="W340" s="20">
        <v>219</v>
      </c>
      <c r="X340" s="371">
        <f t="shared" si="339"/>
        <v>676374.93</v>
      </c>
      <c r="Y340" s="373">
        <v>0</v>
      </c>
      <c r="Z340" s="373">
        <v>0</v>
      </c>
      <c r="AA340" s="373">
        <v>0</v>
      </c>
      <c r="AB340" s="373">
        <v>0</v>
      </c>
      <c r="AC340" s="373">
        <v>0</v>
      </c>
      <c r="AD340" s="373">
        <v>0</v>
      </c>
      <c r="AE340" s="373">
        <v>0</v>
      </c>
      <c r="AF340" s="373">
        <v>0</v>
      </c>
      <c r="AG340" s="373">
        <v>0</v>
      </c>
      <c r="AH340" s="373">
        <v>0</v>
      </c>
      <c r="AI340" s="373">
        <v>0</v>
      </c>
      <c r="AJ340" s="373">
        <f t="shared" si="340"/>
        <v>21247.38</v>
      </c>
      <c r="AK340" s="373">
        <f t="shared" si="341"/>
        <v>10623.69</v>
      </c>
      <c r="AL340" s="373">
        <v>0</v>
      </c>
      <c r="AM340" s="446"/>
      <c r="AN340" s="446"/>
      <c r="AP340" s="486" t="e">
        <f t="shared" si="342"/>
        <v>#DIV/0!</v>
      </c>
      <c r="AQ340" s="486" t="e">
        <f t="shared" si="344"/>
        <v>#DIV/0!</v>
      </c>
      <c r="AR340" s="486" t="e">
        <f t="shared" si="345"/>
        <v>#DIV/0!</v>
      </c>
      <c r="AS340" s="486" t="e">
        <f t="shared" si="346"/>
        <v>#DIV/0!</v>
      </c>
      <c r="AT340" s="486" t="e">
        <f t="shared" si="347"/>
        <v>#DIV/0!</v>
      </c>
      <c r="AU340" s="486" t="e">
        <f t="shared" si="348"/>
        <v>#DIV/0!</v>
      </c>
      <c r="AV340" s="486" t="e">
        <f t="shared" si="349"/>
        <v>#DIV/0!</v>
      </c>
      <c r="AW340" s="486">
        <f t="shared" si="350"/>
        <v>3088.4700000000003</v>
      </c>
      <c r="AX340" s="486" t="e">
        <f t="shared" si="351"/>
        <v>#DIV/0!</v>
      </c>
      <c r="AY340" s="486" t="e">
        <f t="shared" si="352"/>
        <v>#DIV/0!</v>
      </c>
      <c r="AZ340" s="486" t="e">
        <f t="shared" si="353"/>
        <v>#DIV/0!</v>
      </c>
      <c r="BA340" s="486">
        <f t="shared" si="343"/>
        <v>0</v>
      </c>
      <c r="BB340" s="494">
        <v>5155.41</v>
      </c>
      <c r="BC340" s="494">
        <v>2070.12</v>
      </c>
      <c r="BD340" s="494">
        <v>848.92</v>
      </c>
      <c r="BE340" s="494">
        <v>819.73</v>
      </c>
      <c r="BF340" s="494">
        <v>611.5</v>
      </c>
      <c r="BG340" s="494">
        <v>1080.04</v>
      </c>
      <c r="BH340" s="494">
        <v>2671800.0099999998</v>
      </c>
      <c r="BI340" s="494">
        <f t="shared" si="288"/>
        <v>4422.8500000000004</v>
      </c>
      <c r="BJ340" s="494">
        <v>14289.54</v>
      </c>
      <c r="BK340" s="494">
        <v>3389.61</v>
      </c>
      <c r="BL340" s="494">
        <v>5995.76</v>
      </c>
      <c r="BM340" s="494">
        <v>548.62</v>
      </c>
      <c r="BN340" s="495" t="e">
        <f t="shared" si="354"/>
        <v>#DIV/0!</v>
      </c>
      <c r="BO340" s="495" t="e">
        <f t="shared" si="355"/>
        <v>#DIV/0!</v>
      </c>
      <c r="BP340" s="495" t="e">
        <f t="shared" si="356"/>
        <v>#DIV/0!</v>
      </c>
      <c r="BQ340" s="495" t="e">
        <f t="shared" si="357"/>
        <v>#DIV/0!</v>
      </c>
      <c r="BR340" s="495" t="e">
        <f t="shared" si="358"/>
        <v>#DIV/0!</v>
      </c>
      <c r="BS340" s="495" t="e">
        <f t="shared" si="359"/>
        <v>#DIV/0!</v>
      </c>
      <c r="BT340" s="495" t="e">
        <f t="shared" si="360"/>
        <v>#DIV/0!</v>
      </c>
      <c r="BU340" s="495" t="str">
        <f t="shared" si="361"/>
        <v xml:space="preserve"> </v>
      </c>
      <c r="BV340" s="495" t="e">
        <f t="shared" si="362"/>
        <v>#DIV/0!</v>
      </c>
      <c r="BW340" s="495" t="e">
        <f t="shared" si="363"/>
        <v>#DIV/0!</v>
      </c>
      <c r="BX340" s="495" t="e">
        <f t="shared" si="364"/>
        <v>#DIV/0!</v>
      </c>
      <c r="BY340" s="495" t="str">
        <f t="shared" si="365"/>
        <v xml:space="preserve"> </v>
      </c>
    </row>
    <row r="341" spans="1:77" s="28" customFormat="1" ht="9" customHeight="1">
      <c r="A341" s="372">
        <v>259</v>
      </c>
      <c r="B341" s="156" t="s">
        <v>974</v>
      </c>
      <c r="C341" s="249">
        <v>601.9</v>
      </c>
      <c r="D341" s="376"/>
      <c r="E341" s="371" t="s">
        <v>1006</v>
      </c>
      <c r="F341" s="371"/>
      <c r="G341" s="371"/>
      <c r="H341" s="371">
        <v>1005774</v>
      </c>
      <c r="I341" s="371">
        <f t="shared" si="338"/>
        <v>0</v>
      </c>
      <c r="J341" s="217">
        <v>0</v>
      </c>
      <c r="K341" s="469">
        <v>0</v>
      </c>
      <c r="L341" s="217">
        <v>0</v>
      </c>
      <c r="M341" s="469">
        <v>0</v>
      </c>
      <c r="N341" s="217">
        <v>0</v>
      </c>
      <c r="O341" s="249">
        <v>0</v>
      </c>
      <c r="P341" s="371">
        <v>0</v>
      </c>
      <c r="Q341" s="249">
        <v>0</v>
      </c>
      <c r="R341" s="371">
        <v>0</v>
      </c>
      <c r="S341" s="249">
        <v>0</v>
      </c>
      <c r="T341" s="371">
        <v>0</v>
      </c>
      <c r="U341" s="130">
        <v>0</v>
      </c>
      <c r="V341" s="371">
        <v>0</v>
      </c>
      <c r="W341" s="20">
        <v>311</v>
      </c>
      <c r="X341" s="371">
        <f t="shared" si="339"/>
        <v>960514.17</v>
      </c>
      <c r="Y341" s="373">
        <v>0</v>
      </c>
      <c r="Z341" s="373">
        <v>0</v>
      </c>
      <c r="AA341" s="373">
        <v>0</v>
      </c>
      <c r="AB341" s="373">
        <v>0</v>
      </c>
      <c r="AC341" s="373">
        <v>0</v>
      </c>
      <c r="AD341" s="373">
        <v>0</v>
      </c>
      <c r="AE341" s="373">
        <v>0</v>
      </c>
      <c r="AF341" s="373">
        <v>0</v>
      </c>
      <c r="AG341" s="373">
        <v>0</v>
      </c>
      <c r="AH341" s="373">
        <v>0</v>
      </c>
      <c r="AI341" s="373">
        <v>0</v>
      </c>
      <c r="AJ341" s="373">
        <f t="shared" si="340"/>
        <v>30173.22</v>
      </c>
      <c r="AK341" s="373">
        <f t="shared" si="341"/>
        <v>15086.61</v>
      </c>
      <c r="AL341" s="373">
        <v>0</v>
      </c>
      <c r="AM341" s="446"/>
      <c r="AN341" s="446"/>
      <c r="AP341" s="486" t="e">
        <f t="shared" si="342"/>
        <v>#DIV/0!</v>
      </c>
      <c r="AQ341" s="486" t="e">
        <f t="shared" si="344"/>
        <v>#DIV/0!</v>
      </c>
      <c r="AR341" s="486" t="e">
        <f t="shared" si="345"/>
        <v>#DIV/0!</v>
      </c>
      <c r="AS341" s="486" t="e">
        <f t="shared" si="346"/>
        <v>#DIV/0!</v>
      </c>
      <c r="AT341" s="486" t="e">
        <f t="shared" si="347"/>
        <v>#DIV/0!</v>
      </c>
      <c r="AU341" s="486" t="e">
        <f t="shared" si="348"/>
        <v>#DIV/0!</v>
      </c>
      <c r="AV341" s="486" t="e">
        <f t="shared" si="349"/>
        <v>#DIV/0!</v>
      </c>
      <c r="AW341" s="486">
        <f t="shared" si="350"/>
        <v>3088.4700000000003</v>
      </c>
      <c r="AX341" s="486" t="e">
        <f t="shared" si="351"/>
        <v>#DIV/0!</v>
      </c>
      <c r="AY341" s="486" t="e">
        <f t="shared" si="352"/>
        <v>#DIV/0!</v>
      </c>
      <c r="AZ341" s="486" t="e">
        <f t="shared" si="353"/>
        <v>#DIV/0!</v>
      </c>
      <c r="BA341" s="486">
        <f t="shared" si="343"/>
        <v>0</v>
      </c>
      <c r="BB341" s="494">
        <v>5155.41</v>
      </c>
      <c r="BC341" s="494">
        <v>2070.12</v>
      </c>
      <c r="BD341" s="494">
        <v>848.92</v>
      </c>
      <c r="BE341" s="494">
        <v>819.73</v>
      </c>
      <c r="BF341" s="494">
        <v>611.5</v>
      </c>
      <c r="BG341" s="494">
        <v>1080.04</v>
      </c>
      <c r="BH341" s="494">
        <v>2671800.0099999998</v>
      </c>
      <c r="BI341" s="494">
        <f t="shared" si="288"/>
        <v>4422.8500000000004</v>
      </c>
      <c r="BJ341" s="494">
        <v>14289.54</v>
      </c>
      <c r="BK341" s="494">
        <v>3389.61</v>
      </c>
      <c r="BL341" s="494">
        <v>5995.76</v>
      </c>
      <c r="BM341" s="494">
        <v>548.62</v>
      </c>
      <c r="BN341" s="495" t="e">
        <f t="shared" si="354"/>
        <v>#DIV/0!</v>
      </c>
      <c r="BO341" s="495" t="e">
        <f t="shared" si="355"/>
        <v>#DIV/0!</v>
      </c>
      <c r="BP341" s="495" t="e">
        <f t="shared" si="356"/>
        <v>#DIV/0!</v>
      </c>
      <c r="BQ341" s="495" t="e">
        <f t="shared" si="357"/>
        <v>#DIV/0!</v>
      </c>
      <c r="BR341" s="495" t="e">
        <f t="shared" si="358"/>
        <v>#DIV/0!</v>
      </c>
      <c r="BS341" s="495" t="e">
        <f t="shared" si="359"/>
        <v>#DIV/0!</v>
      </c>
      <c r="BT341" s="495" t="e">
        <f t="shared" si="360"/>
        <v>#DIV/0!</v>
      </c>
      <c r="BU341" s="495" t="str">
        <f t="shared" si="361"/>
        <v xml:space="preserve"> </v>
      </c>
      <c r="BV341" s="495" t="e">
        <f t="shared" si="362"/>
        <v>#DIV/0!</v>
      </c>
      <c r="BW341" s="495" t="e">
        <f t="shared" si="363"/>
        <v>#DIV/0!</v>
      </c>
      <c r="BX341" s="495" t="e">
        <f t="shared" si="364"/>
        <v>#DIV/0!</v>
      </c>
      <c r="BY341" s="495" t="str">
        <f t="shared" si="365"/>
        <v xml:space="preserve"> </v>
      </c>
    </row>
    <row r="342" spans="1:77" s="28" customFormat="1" ht="39.75" customHeight="1">
      <c r="A342" s="954" t="s">
        <v>36</v>
      </c>
      <c r="B342" s="954"/>
      <c r="C342" s="371">
        <f>SUM(C335:C341)</f>
        <v>2507.6999999999998</v>
      </c>
      <c r="D342" s="396"/>
      <c r="E342" s="362" t="s">
        <v>391</v>
      </c>
      <c r="F342" s="374"/>
      <c r="G342" s="374"/>
      <c r="H342" s="371">
        <f>SUM(H335:H341)</f>
        <v>7184721.4000000004</v>
      </c>
      <c r="I342" s="371">
        <f t="shared" ref="I342:AL342" si="366">SUM(I335:I341)</f>
        <v>0</v>
      </c>
      <c r="J342" s="371">
        <f t="shared" si="366"/>
        <v>0</v>
      </c>
      <c r="K342" s="371">
        <f t="shared" si="366"/>
        <v>0</v>
      </c>
      <c r="L342" s="371">
        <f t="shared" si="366"/>
        <v>0</v>
      </c>
      <c r="M342" s="371">
        <f t="shared" si="366"/>
        <v>0</v>
      </c>
      <c r="N342" s="371">
        <f t="shared" si="366"/>
        <v>0</v>
      </c>
      <c r="O342" s="371">
        <f t="shared" si="366"/>
        <v>0</v>
      </c>
      <c r="P342" s="371">
        <f t="shared" si="366"/>
        <v>0</v>
      </c>
      <c r="Q342" s="371">
        <f t="shared" si="366"/>
        <v>0</v>
      </c>
      <c r="R342" s="371">
        <f t="shared" si="366"/>
        <v>0</v>
      </c>
      <c r="S342" s="371">
        <f t="shared" si="366"/>
        <v>0</v>
      </c>
      <c r="T342" s="371">
        <f t="shared" si="366"/>
        <v>0</v>
      </c>
      <c r="U342" s="130">
        <f t="shared" si="366"/>
        <v>0</v>
      </c>
      <c r="V342" s="371">
        <f t="shared" si="366"/>
        <v>0</v>
      </c>
      <c r="W342" s="371">
        <f t="shared" si="366"/>
        <v>2197.1</v>
      </c>
      <c r="X342" s="371">
        <f t="shared" si="366"/>
        <v>6861408.9399999995</v>
      </c>
      <c r="Y342" s="371">
        <f t="shared" si="366"/>
        <v>0</v>
      </c>
      <c r="Z342" s="371">
        <f t="shared" si="366"/>
        <v>0</v>
      </c>
      <c r="AA342" s="371">
        <f t="shared" si="366"/>
        <v>0</v>
      </c>
      <c r="AB342" s="371">
        <f t="shared" si="366"/>
        <v>0</v>
      </c>
      <c r="AC342" s="371">
        <f t="shared" si="366"/>
        <v>0</v>
      </c>
      <c r="AD342" s="371">
        <f t="shared" si="366"/>
        <v>0</v>
      </c>
      <c r="AE342" s="371">
        <f t="shared" si="366"/>
        <v>0</v>
      </c>
      <c r="AF342" s="371">
        <f t="shared" si="366"/>
        <v>0</v>
      </c>
      <c r="AG342" s="371">
        <f t="shared" si="366"/>
        <v>0</v>
      </c>
      <c r="AH342" s="371">
        <f t="shared" si="366"/>
        <v>0</v>
      </c>
      <c r="AI342" s="371">
        <f t="shared" si="366"/>
        <v>0</v>
      </c>
      <c r="AJ342" s="371">
        <f t="shared" si="366"/>
        <v>215541.63999999998</v>
      </c>
      <c r="AK342" s="371">
        <f t="shared" si="366"/>
        <v>107770.81999999999</v>
      </c>
      <c r="AL342" s="371">
        <f t="shared" si="366"/>
        <v>0</v>
      </c>
      <c r="AM342" s="280"/>
      <c r="AN342" s="280"/>
      <c r="AP342" s="486" t="e">
        <f t="shared" si="342"/>
        <v>#DIV/0!</v>
      </c>
      <c r="AQ342" s="486" t="e">
        <f t="shared" si="344"/>
        <v>#DIV/0!</v>
      </c>
      <c r="AR342" s="497" t="e">
        <f t="shared" si="345"/>
        <v>#DIV/0!</v>
      </c>
      <c r="AS342" s="497" t="e">
        <f t="shared" si="346"/>
        <v>#DIV/0!</v>
      </c>
      <c r="AT342" s="497" t="e">
        <f t="shared" si="347"/>
        <v>#DIV/0!</v>
      </c>
      <c r="AU342" s="497" t="e">
        <f t="shared" si="348"/>
        <v>#DIV/0!</v>
      </c>
      <c r="AV342" s="497" t="e">
        <f t="shared" si="349"/>
        <v>#DIV/0!</v>
      </c>
      <c r="AW342" s="497">
        <f t="shared" si="350"/>
        <v>3122.9388466615083</v>
      </c>
      <c r="AX342" s="497" t="e">
        <f t="shared" si="351"/>
        <v>#DIV/0!</v>
      </c>
      <c r="AY342" s="486" t="e">
        <f t="shared" si="352"/>
        <v>#DIV/0!</v>
      </c>
      <c r="AZ342" s="497" t="e">
        <f t="shared" si="353"/>
        <v>#DIV/0!</v>
      </c>
      <c r="BA342" s="486">
        <f t="shared" si="343"/>
        <v>0</v>
      </c>
      <c r="BB342" s="494">
        <v>5155.41</v>
      </c>
      <c r="BC342" s="494">
        <v>2070.12</v>
      </c>
      <c r="BD342" s="494">
        <v>848.92</v>
      </c>
      <c r="BE342" s="494">
        <v>819.73</v>
      </c>
      <c r="BF342" s="494">
        <v>611.5</v>
      </c>
      <c r="BG342" s="494">
        <v>1080.04</v>
      </c>
      <c r="BH342" s="494">
        <v>2671800.0099999998</v>
      </c>
      <c r="BI342" s="494">
        <f t="shared" si="288"/>
        <v>4422.8500000000004</v>
      </c>
      <c r="BJ342" s="494">
        <v>14289.54</v>
      </c>
      <c r="BK342" s="494">
        <v>3389.61</v>
      </c>
      <c r="BL342" s="494">
        <v>5995.76</v>
      </c>
      <c r="BM342" s="494">
        <v>548.62</v>
      </c>
      <c r="BN342" s="493" t="e">
        <f t="shared" si="354"/>
        <v>#DIV/0!</v>
      </c>
      <c r="BO342" s="493" t="e">
        <f t="shared" si="355"/>
        <v>#DIV/0!</v>
      </c>
      <c r="BP342" s="493" t="e">
        <f t="shared" si="356"/>
        <v>#DIV/0!</v>
      </c>
      <c r="BQ342" s="493" t="e">
        <f t="shared" si="357"/>
        <v>#DIV/0!</v>
      </c>
      <c r="BR342" s="493" t="e">
        <f t="shared" si="358"/>
        <v>#DIV/0!</v>
      </c>
      <c r="BS342" s="493" t="e">
        <f t="shared" si="359"/>
        <v>#DIV/0!</v>
      </c>
      <c r="BT342" s="493" t="e">
        <f t="shared" si="360"/>
        <v>#DIV/0!</v>
      </c>
      <c r="BU342" s="493" t="str">
        <f t="shared" si="361"/>
        <v xml:space="preserve"> </v>
      </c>
      <c r="BV342" s="493" t="e">
        <f t="shared" si="362"/>
        <v>#DIV/0!</v>
      </c>
      <c r="BW342" s="493" t="e">
        <f t="shared" si="363"/>
        <v>#DIV/0!</v>
      </c>
      <c r="BX342" s="493" t="e">
        <f t="shared" si="364"/>
        <v>#DIV/0!</v>
      </c>
      <c r="BY342" s="493" t="str">
        <f t="shared" si="365"/>
        <v xml:space="preserve"> </v>
      </c>
    </row>
    <row r="343" spans="1:77" s="28" customFormat="1" ht="12.75" customHeight="1">
      <c r="A343" s="837" t="s">
        <v>40</v>
      </c>
      <c r="B343" s="838"/>
      <c r="C343" s="838"/>
      <c r="D343" s="838"/>
      <c r="E343" s="838"/>
      <c r="F343" s="838"/>
      <c r="G343" s="838"/>
      <c r="H343" s="838"/>
      <c r="I343" s="838"/>
      <c r="J343" s="838"/>
      <c r="K343" s="838"/>
      <c r="L343" s="838"/>
      <c r="M343" s="838"/>
      <c r="N343" s="838"/>
      <c r="O343" s="838"/>
      <c r="P343" s="838"/>
      <c r="Q343" s="838"/>
      <c r="R343" s="838"/>
      <c r="S343" s="838"/>
      <c r="T343" s="838"/>
      <c r="U343" s="838"/>
      <c r="V343" s="838"/>
      <c r="W343" s="838"/>
      <c r="X343" s="838"/>
      <c r="Y343" s="838"/>
      <c r="Z343" s="838"/>
      <c r="AA343" s="838"/>
      <c r="AB343" s="838"/>
      <c r="AC343" s="838"/>
      <c r="AD343" s="838"/>
      <c r="AE343" s="838"/>
      <c r="AF343" s="838"/>
      <c r="AG343" s="838"/>
      <c r="AH343" s="838"/>
      <c r="AI343" s="838"/>
      <c r="AJ343" s="838"/>
      <c r="AK343" s="838"/>
      <c r="AL343" s="839"/>
      <c r="AM343" s="280"/>
      <c r="AN343" s="280"/>
      <c r="AP343" s="486" t="e">
        <f t="shared" si="342"/>
        <v>#DIV/0!</v>
      </c>
      <c r="AQ343" s="486" t="e">
        <f t="shared" si="344"/>
        <v>#DIV/0!</v>
      </c>
      <c r="AR343" s="497" t="e">
        <f t="shared" si="345"/>
        <v>#DIV/0!</v>
      </c>
      <c r="AS343" s="497" t="e">
        <f t="shared" si="346"/>
        <v>#DIV/0!</v>
      </c>
      <c r="AT343" s="497" t="e">
        <f t="shared" si="347"/>
        <v>#DIV/0!</v>
      </c>
      <c r="AU343" s="497" t="e">
        <f t="shared" si="348"/>
        <v>#DIV/0!</v>
      </c>
      <c r="AV343" s="497" t="e">
        <f t="shared" si="349"/>
        <v>#DIV/0!</v>
      </c>
      <c r="AW343" s="497" t="e">
        <f t="shared" si="350"/>
        <v>#DIV/0!</v>
      </c>
      <c r="AX343" s="497" t="e">
        <f t="shared" si="351"/>
        <v>#DIV/0!</v>
      </c>
      <c r="AY343" s="486" t="e">
        <f t="shared" si="352"/>
        <v>#DIV/0!</v>
      </c>
      <c r="AZ343" s="497" t="e">
        <f t="shared" si="353"/>
        <v>#DIV/0!</v>
      </c>
      <c r="BA343" s="486" t="e">
        <f t="shared" si="343"/>
        <v>#DIV/0!</v>
      </c>
      <c r="BB343" s="494">
        <v>5155.41</v>
      </c>
      <c r="BC343" s="494">
        <v>2070.12</v>
      </c>
      <c r="BD343" s="494">
        <v>848.92</v>
      </c>
      <c r="BE343" s="494">
        <v>819.73</v>
      </c>
      <c r="BF343" s="494">
        <v>611.5</v>
      </c>
      <c r="BG343" s="494">
        <v>1080.04</v>
      </c>
      <c r="BH343" s="494">
        <v>2671800.0099999998</v>
      </c>
      <c r="BI343" s="494">
        <f t="shared" si="288"/>
        <v>4422.8500000000004</v>
      </c>
      <c r="BJ343" s="494">
        <v>14289.54</v>
      </c>
      <c r="BK343" s="494">
        <v>3389.61</v>
      </c>
      <c r="BL343" s="494">
        <v>5995.76</v>
      </c>
      <c r="BM343" s="494">
        <v>548.62</v>
      </c>
      <c r="BN343" s="493" t="e">
        <f t="shared" si="354"/>
        <v>#DIV/0!</v>
      </c>
      <c r="BO343" s="493" t="e">
        <f t="shared" si="355"/>
        <v>#DIV/0!</v>
      </c>
      <c r="BP343" s="493" t="e">
        <f t="shared" si="356"/>
        <v>#DIV/0!</v>
      </c>
      <c r="BQ343" s="493" t="e">
        <f t="shared" si="357"/>
        <v>#DIV/0!</v>
      </c>
      <c r="BR343" s="493" t="e">
        <f t="shared" si="358"/>
        <v>#DIV/0!</v>
      </c>
      <c r="BS343" s="493" t="e">
        <f t="shared" si="359"/>
        <v>#DIV/0!</v>
      </c>
      <c r="BT343" s="493" t="e">
        <f t="shared" si="360"/>
        <v>#DIV/0!</v>
      </c>
      <c r="BU343" s="493" t="e">
        <f t="shared" si="361"/>
        <v>#DIV/0!</v>
      </c>
      <c r="BV343" s="493" t="e">
        <f t="shared" si="362"/>
        <v>#DIV/0!</v>
      </c>
      <c r="BW343" s="493" t="e">
        <f t="shared" si="363"/>
        <v>#DIV/0!</v>
      </c>
      <c r="BX343" s="493" t="e">
        <f t="shared" si="364"/>
        <v>#DIV/0!</v>
      </c>
      <c r="BY343" s="493" t="e">
        <f t="shared" si="365"/>
        <v>#DIV/0!</v>
      </c>
    </row>
    <row r="344" spans="1:77" s="28" customFormat="1" ht="9" customHeight="1">
      <c r="A344" s="278">
        <v>260</v>
      </c>
      <c r="B344" s="156" t="s">
        <v>980</v>
      </c>
      <c r="C344" s="249">
        <v>366.74</v>
      </c>
      <c r="D344" s="376"/>
      <c r="E344" s="371" t="s">
        <v>1006</v>
      </c>
      <c r="F344" s="249"/>
      <c r="G344" s="249"/>
      <c r="H344" s="371">
        <v>1106028</v>
      </c>
      <c r="I344" s="371">
        <f t="shared" ref="I344" si="367">J344+L344+N344+P344+R344+T344</f>
        <v>0</v>
      </c>
      <c r="J344" s="217">
        <v>0</v>
      </c>
      <c r="K344" s="469">
        <v>0</v>
      </c>
      <c r="L344" s="217">
        <v>0</v>
      </c>
      <c r="M344" s="469">
        <v>0</v>
      </c>
      <c r="N344" s="217">
        <v>0</v>
      </c>
      <c r="O344" s="249">
        <v>0</v>
      </c>
      <c r="P344" s="371">
        <v>0</v>
      </c>
      <c r="Q344" s="249">
        <v>0</v>
      </c>
      <c r="R344" s="371">
        <v>0</v>
      </c>
      <c r="S344" s="249">
        <v>0</v>
      </c>
      <c r="T344" s="371">
        <v>0</v>
      </c>
      <c r="U344" s="130">
        <v>0</v>
      </c>
      <c r="V344" s="371">
        <v>0</v>
      </c>
      <c r="W344" s="373">
        <v>342</v>
      </c>
      <c r="X344" s="371">
        <f t="shared" ref="X344" si="368">ROUND(H344/100*95.5,2)</f>
        <v>1056256.74</v>
      </c>
      <c r="Y344" s="373">
        <v>0</v>
      </c>
      <c r="Z344" s="373">
        <v>0</v>
      </c>
      <c r="AA344" s="373">
        <v>0</v>
      </c>
      <c r="AB344" s="373">
        <v>0</v>
      </c>
      <c r="AC344" s="373">
        <v>0</v>
      </c>
      <c r="AD344" s="373">
        <v>0</v>
      </c>
      <c r="AE344" s="373">
        <v>0</v>
      </c>
      <c r="AF344" s="373">
        <v>0</v>
      </c>
      <c r="AG344" s="373">
        <v>0</v>
      </c>
      <c r="AH344" s="373">
        <v>0</v>
      </c>
      <c r="AI344" s="373">
        <v>0</v>
      </c>
      <c r="AJ344" s="373">
        <f t="shared" ref="AJ344" si="369">ROUND(H344/100*3,2)</f>
        <v>33180.839999999997</v>
      </c>
      <c r="AK344" s="373">
        <f t="shared" ref="AK344" si="370">ROUND(H344/100*1.5,2)</f>
        <v>16590.419999999998</v>
      </c>
      <c r="AL344" s="373">
        <v>0</v>
      </c>
      <c r="AM344" s="446"/>
      <c r="AN344" s="446"/>
      <c r="AP344" s="486" t="e">
        <f t="shared" si="342"/>
        <v>#DIV/0!</v>
      </c>
      <c r="AQ344" s="486" t="e">
        <f t="shared" si="344"/>
        <v>#DIV/0!</v>
      </c>
      <c r="AR344" s="486" t="e">
        <f t="shared" si="345"/>
        <v>#DIV/0!</v>
      </c>
      <c r="AS344" s="486" t="e">
        <f t="shared" si="346"/>
        <v>#DIV/0!</v>
      </c>
      <c r="AT344" s="486" t="e">
        <f t="shared" si="347"/>
        <v>#DIV/0!</v>
      </c>
      <c r="AU344" s="486" t="e">
        <f t="shared" si="348"/>
        <v>#DIV/0!</v>
      </c>
      <c r="AV344" s="486" t="e">
        <f t="shared" si="349"/>
        <v>#DIV/0!</v>
      </c>
      <c r="AW344" s="486">
        <f t="shared" si="350"/>
        <v>3088.47</v>
      </c>
      <c r="AX344" s="486" t="e">
        <f t="shared" si="351"/>
        <v>#DIV/0!</v>
      </c>
      <c r="AY344" s="486" t="e">
        <f t="shared" si="352"/>
        <v>#DIV/0!</v>
      </c>
      <c r="AZ344" s="486" t="e">
        <f t="shared" si="353"/>
        <v>#DIV/0!</v>
      </c>
      <c r="BA344" s="486">
        <f t="shared" si="343"/>
        <v>0</v>
      </c>
      <c r="BB344" s="494">
        <v>5155.41</v>
      </c>
      <c r="BC344" s="494">
        <v>2070.12</v>
      </c>
      <c r="BD344" s="494">
        <v>848.92</v>
      </c>
      <c r="BE344" s="494">
        <v>819.73</v>
      </c>
      <c r="BF344" s="494">
        <v>611.5</v>
      </c>
      <c r="BG344" s="494">
        <v>1080.04</v>
      </c>
      <c r="BH344" s="494">
        <v>2671800.0099999998</v>
      </c>
      <c r="BI344" s="494">
        <f t="shared" si="288"/>
        <v>4422.8500000000004</v>
      </c>
      <c r="BJ344" s="494">
        <v>14289.54</v>
      </c>
      <c r="BK344" s="494">
        <v>3389.61</v>
      </c>
      <c r="BL344" s="494">
        <v>5995.76</v>
      </c>
      <c r="BM344" s="494">
        <v>548.62</v>
      </c>
      <c r="BN344" s="495" t="e">
        <f t="shared" si="354"/>
        <v>#DIV/0!</v>
      </c>
      <c r="BO344" s="495" t="e">
        <f t="shared" si="355"/>
        <v>#DIV/0!</v>
      </c>
      <c r="BP344" s="495" t="e">
        <f t="shared" si="356"/>
        <v>#DIV/0!</v>
      </c>
      <c r="BQ344" s="495" t="e">
        <f t="shared" si="357"/>
        <v>#DIV/0!</v>
      </c>
      <c r="BR344" s="495" t="e">
        <f t="shared" si="358"/>
        <v>#DIV/0!</v>
      </c>
      <c r="BS344" s="495" t="e">
        <f t="shared" si="359"/>
        <v>#DIV/0!</v>
      </c>
      <c r="BT344" s="495" t="e">
        <f t="shared" si="360"/>
        <v>#DIV/0!</v>
      </c>
      <c r="BU344" s="495" t="str">
        <f t="shared" si="361"/>
        <v xml:space="preserve"> </v>
      </c>
      <c r="BV344" s="495" t="e">
        <f t="shared" si="362"/>
        <v>#DIV/0!</v>
      </c>
      <c r="BW344" s="495" t="e">
        <f t="shared" si="363"/>
        <v>#DIV/0!</v>
      </c>
      <c r="BX344" s="495" t="e">
        <f t="shared" si="364"/>
        <v>#DIV/0!</v>
      </c>
      <c r="BY344" s="495" t="str">
        <f t="shared" si="365"/>
        <v xml:space="preserve"> </v>
      </c>
    </row>
    <row r="345" spans="1:77" s="28" customFormat="1" ht="48.75" customHeight="1">
      <c r="A345" s="954" t="s">
        <v>39</v>
      </c>
      <c r="B345" s="954"/>
      <c r="C345" s="371">
        <f>SUM(C344)</f>
        <v>366.74</v>
      </c>
      <c r="D345" s="396"/>
      <c r="E345" s="362" t="s">
        <v>391</v>
      </c>
      <c r="F345" s="374"/>
      <c r="G345" s="374"/>
      <c r="H345" s="371">
        <f>SUM(H344)</f>
        <v>1106028</v>
      </c>
      <c r="I345" s="371">
        <f t="shared" ref="I345:AL345" si="371">SUM(I344)</f>
        <v>0</v>
      </c>
      <c r="J345" s="371">
        <f t="shared" si="371"/>
        <v>0</v>
      </c>
      <c r="K345" s="371">
        <f t="shared" si="371"/>
        <v>0</v>
      </c>
      <c r="L345" s="371">
        <f t="shared" si="371"/>
        <v>0</v>
      </c>
      <c r="M345" s="371">
        <f t="shared" si="371"/>
        <v>0</v>
      </c>
      <c r="N345" s="371">
        <f t="shared" si="371"/>
        <v>0</v>
      </c>
      <c r="O345" s="371">
        <f t="shared" si="371"/>
        <v>0</v>
      </c>
      <c r="P345" s="371">
        <f t="shared" si="371"/>
        <v>0</v>
      </c>
      <c r="Q345" s="371">
        <f t="shared" si="371"/>
        <v>0</v>
      </c>
      <c r="R345" s="371">
        <f t="shared" si="371"/>
        <v>0</v>
      </c>
      <c r="S345" s="371">
        <f t="shared" si="371"/>
        <v>0</v>
      </c>
      <c r="T345" s="371">
        <f t="shared" si="371"/>
        <v>0</v>
      </c>
      <c r="U345" s="130">
        <f t="shared" si="371"/>
        <v>0</v>
      </c>
      <c r="V345" s="371">
        <f t="shared" si="371"/>
        <v>0</v>
      </c>
      <c r="W345" s="371">
        <f t="shared" si="371"/>
        <v>342</v>
      </c>
      <c r="X345" s="371">
        <f t="shared" si="371"/>
        <v>1056256.74</v>
      </c>
      <c r="Y345" s="371">
        <f t="shared" si="371"/>
        <v>0</v>
      </c>
      <c r="Z345" s="371">
        <f t="shared" si="371"/>
        <v>0</v>
      </c>
      <c r="AA345" s="371">
        <f t="shared" si="371"/>
        <v>0</v>
      </c>
      <c r="AB345" s="371">
        <f t="shared" si="371"/>
        <v>0</v>
      </c>
      <c r="AC345" s="371">
        <f t="shared" si="371"/>
        <v>0</v>
      </c>
      <c r="AD345" s="371">
        <f t="shared" si="371"/>
        <v>0</v>
      </c>
      <c r="AE345" s="371">
        <f t="shared" si="371"/>
        <v>0</v>
      </c>
      <c r="AF345" s="371">
        <f t="shared" si="371"/>
        <v>0</v>
      </c>
      <c r="AG345" s="371">
        <f t="shared" si="371"/>
        <v>0</v>
      </c>
      <c r="AH345" s="371">
        <f t="shared" si="371"/>
        <v>0</v>
      </c>
      <c r="AI345" s="371">
        <f t="shared" si="371"/>
        <v>0</v>
      </c>
      <c r="AJ345" s="371">
        <f t="shared" si="371"/>
        <v>33180.839999999997</v>
      </c>
      <c r="AK345" s="371">
        <f t="shared" si="371"/>
        <v>16590.419999999998</v>
      </c>
      <c r="AL345" s="371">
        <f t="shared" si="371"/>
        <v>0</v>
      </c>
      <c r="AM345" s="280"/>
      <c r="AN345" s="280"/>
      <c r="AP345" s="486" t="e">
        <f t="shared" si="342"/>
        <v>#DIV/0!</v>
      </c>
      <c r="AQ345" s="486" t="e">
        <f t="shared" si="344"/>
        <v>#DIV/0!</v>
      </c>
      <c r="AR345" s="497" t="e">
        <f t="shared" si="345"/>
        <v>#DIV/0!</v>
      </c>
      <c r="AS345" s="497" t="e">
        <f t="shared" si="346"/>
        <v>#DIV/0!</v>
      </c>
      <c r="AT345" s="497" t="e">
        <f t="shared" si="347"/>
        <v>#DIV/0!</v>
      </c>
      <c r="AU345" s="497" t="e">
        <f t="shared" si="348"/>
        <v>#DIV/0!</v>
      </c>
      <c r="AV345" s="497" t="e">
        <f t="shared" si="349"/>
        <v>#DIV/0!</v>
      </c>
      <c r="AW345" s="497">
        <f t="shared" si="350"/>
        <v>3088.47</v>
      </c>
      <c r="AX345" s="497" t="e">
        <f t="shared" si="351"/>
        <v>#DIV/0!</v>
      </c>
      <c r="AY345" s="486" t="e">
        <f t="shared" si="352"/>
        <v>#DIV/0!</v>
      </c>
      <c r="AZ345" s="497" t="e">
        <f t="shared" si="353"/>
        <v>#DIV/0!</v>
      </c>
      <c r="BA345" s="486">
        <f t="shared" si="343"/>
        <v>0</v>
      </c>
      <c r="BB345" s="494">
        <v>5155.41</v>
      </c>
      <c r="BC345" s="494">
        <v>2070.12</v>
      </c>
      <c r="BD345" s="494">
        <v>848.92</v>
      </c>
      <c r="BE345" s="494">
        <v>819.73</v>
      </c>
      <c r="BF345" s="494">
        <v>611.5</v>
      </c>
      <c r="BG345" s="494">
        <v>1080.04</v>
      </c>
      <c r="BH345" s="494">
        <v>2671800.0099999998</v>
      </c>
      <c r="BI345" s="494">
        <f t="shared" si="288"/>
        <v>4422.8500000000004</v>
      </c>
      <c r="BJ345" s="494">
        <v>14289.54</v>
      </c>
      <c r="BK345" s="494">
        <v>3389.61</v>
      </c>
      <c r="BL345" s="494">
        <v>5995.76</v>
      </c>
      <c r="BM345" s="494">
        <v>548.62</v>
      </c>
      <c r="BN345" s="493" t="e">
        <f t="shared" si="354"/>
        <v>#DIV/0!</v>
      </c>
      <c r="BO345" s="493" t="e">
        <f t="shared" si="355"/>
        <v>#DIV/0!</v>
      </c>
      <c r="BP345" s="493" t="e">
        <f t="shared" si="356"/>
        <v>#DIV/0!</v>
      </c>
      <c r="BQ345" s="493" t="e">
        <f t="shared" si="357"/>
        <v>#DIV/0!</v>
      </c>
      <c r="BR345" s="493" t="e">
        <f t="shared" si="358"/>
        <v>#DIV/0!</v>
      </c>
      <c r="BS345" s="493" t="e">
        <f t="shared" si="359"/>
        <v>#DIV/0!</v>
      </c>
      <c r="BT345" s="493" t="e">
        <f t="shared" si="360"/>
        <v>#DIV/0!</v>
      </c>
      <c r="BU345" s="493" t="str">
        <f t="shared" si="361"/>
        <v xml:space="preserve"> </v>
      </c>
      <c r="BV345" s="493" t="e">
        <f t="shared" si="362"/>
        <v>#DIV/0!</v>
      </c>
      <c r="BW345" s="493" t="e">
        <f t="shared" si="363"/>
        <v>#DIV/0!</v>
      </c>
      <c r="BX345" s="493" t="e">
        <f t="shared" si="364"/>
        <v>#DIV/0!</v>
      </c>
      <c r="BY345" s="493" t="str">
        <f t="shared" si="365"/>
        <v xml:space="preserve"> </v>
      </c>
    </row>
    <row r="346" spans="1:77" s="28" customFormat="1" ht="13.5" customHeight="1">
      <c r="A346" s="837" t="s">
        <v>45</v>
      </c>
      <c r="B346" s="838"/>
      <c r="C346" s="838"/>
      <c r="D346" s="838"/>
      <c r="E346" s="838"/>
      <c r="F346" s="838"/>
      <c r="G346" s="838"/>
      <c r="H346" s="838"/>
      <c r="I346" s="838"/>
      <c r="J346" s="838"/>
      <c r="K346" s="838"/>
      <c r="L346" s="838"/>
      <c r="M346" s="838"/>
      <c r="N346" s="838"/>
      <c r="O346" s="838"/>
      <c r="P346" s="838"/>
      <c r="Q346" s="838"/>
      <c r="R346" s="838"/>
      <c r="S346" s="838"/>
      <c r="T346" s="838"/>
      <c r="U346" s="838"/>
      <c r="V346" s="838"/>
      <c r="W346" s="838"/>
      <c r="X346" s="838"/>
      <c r="Y346" s="838"/>
      <c r="Z346" s="838"/>
      <c r="AA346" s="838"/>
      <c r="AB346" s="838"/>
      <c r="AC346" s="838"/>
      <c r="AD346" s="838"/>
      <c r="AE346" s="838"/>
      <c r="AF346" s="838"/>
      <c r="AG346" s="838"/>
      <c r="AH346" s="838"/>
      <c r="AI346" s="838"/>
      <c r="AJ346" s="838"/>
      <c r="AK346" s="838"/>
      <c r="AL346" s="839"/>
      <c r="AM346" s="280"/>
      <c r="AN346" s="280"/>
      <c r="AP346" s="486" t="e">
        <f t="shared" si="342"/>
        <v>#DIV/0!</v>
      </c>
      <c r="AQ346" s="486" t="e">
        <f t="shared" si="344"/>
        <v>#DIV/0!</v>
      </c>
      <c r="AR346" s="497" t="e">
        <f t="shared" si="345"/>
        <v>#DIV/0!</v>
      </c>
      <c r="AS346" s="497" t="e">
        <f t="shared" si="346"/>
        <v>#DIV/0!</v>
      </c>
      <c r="AT346" s="497" t="e">
        <f t="shared" si="347"/>
        <v>#DIV/0!</v>
      </c>
      <c r="AU346" s="497" t="e">
        <f t="shared" si="348"/>
        <v>#DIV/0!</v>
      </c>
      <c r="AV346" s="497" t="e">
        <f t="shared" si="349"/>
        <v>#DIV/0!</v>
      </c>
      <c r="AW346" s="497" t="e">
        <f t="shared" si="350"/>
        <v>#DIV/0!</v>
      </c>
      <c r="AX346" s="497" t="e">
        <f t="shared" si="351"/>
        <v>#DIV/0!</v>
      </c>
      <c r="AY346" s="486" t="e">
        <f t="shared" si="352"/>
        <v>#DIV/0!</v>
      </c>
      <c r="AZ346" s="497" t="e">
        <f t="shared" si="353"/>
        <v>#DIV/0!</v>
      </c>
      <c r="BA346" s="486" t="e">
        <f t="shared" si="343"/>
        <v>#DIV/0!</v>
      </c>
      <c r="BB346" s="494">
        <v>5155.41</v>
      </c>
      <c r="BC346" s="494">
        <v>2070.12</v>
      </c>
      <c r="BD346" s="494">
        <v>848.92</v>
      </c>
      <c r="BE346" s="494">
        <v>819.73</v>
      </c>
      <c r="BF346" s="494">
        <v>611.5</v>
      </c>
      <c r="BG346" s="494">
        <v>1080.04</v>
      </c>
      <c r="BH346" s="494">
        <v>2671800.0099999998</v>
      </c>
      <c r="BI346" s="494">
        <f t="shared" si="288"/>
        <v>4422.8500000000004</v>
      </c>
      <c r="BJ346" s="494">
        <v>14289.54</v>
      </c>
      <c r="BK346" s="494">
        <v>3389.61</v>
      </c>
      <c r="BL346" s="494">
        <v>5995.76</v>
      </c>
      <c r="BM346" s="494">
        <v>548.62</v>
      </c>
      <c r="BN346" s="493" t="e">
        <f t="shared" si="354"/>
        <v>#DIV/0!</v>
      </c>
      <c r="BO346" s="493" t="e">
        <f t="shared" si="355"/>
        <v>#DIV/0!</v>
      </c>
      <c r="BP346" s="493" t="e">
        <f t="shared" si="356"/>
        <v>#DIV/0!</v>
      </c>
      <c r="BQ346" s="493" t="e">
        <f t="shared" si="357"/>
        <v>#DIV/0!</v>
      </c>
      <c r="BR346" s="493" t="e">
        <f t="shared" si="358"/>
        <v>#DIV/0!</v>
      </c>
      <c r="BS346" s="493" t="e">
        <f t="shared" si="359"/>
        <v>#DIV/0!</v>
      </c>
      <c r="BT346" s="493" t="e">
        <f t="shared" si="360"/>
        <v>#DIV/0!</v>
      </c>
      <c r="BU346" s="493" t="e">
        <f t="shared" si="361"/>
        <v>#DIV/0!</v>
      </c>
      <c r="BV346" s="493" t="e">
        <f t="shared" si="362"/>
        <v>#DIV/0!</v>
      </c>
      <c r="BW346" s="493" t="e">
        <f t="shared" si="363"/>
        <v>#DIV/0!</v>
      </c>
      <c r="BX346" s="493" t="e">
        <f t="shared" si="364"/>
        <v>#DIV/0!</v>
      </c>
      <c r="BY346" s="493" t="e">
        <f t="shared" si="365"/>
        <v>#DIV/0!</v>
      </c>
    </row>
    <row r="347" spans="1:77" s="28" customFormat="1" ht="9" customHeight="1">
      <c r="A347" s="278">
        <v>261</v>
      </c>
      <c r="B347" s="156" t="s">
        <v>982</v>
      </c>
      <c r="C347" s="249">
        <v>1289.5999999999999</v>
      </c>
      <c r="D347" s="376"/>
      <c r="E347" s="371" t="s">
        <v>1006</v>
      </c>
      <c r="F347" s="249"/>
      <c r="G347" s="249"/>
      <c r="H347" s="371">
        <v>1487640</v>
      </c>
      <c r="I347" s="371">
        <f t="shared" ref="I347:I355" si="372">J347+L347+N347+P347+R347+T347</f>
        <v>0</v>
      </c>
      <c r="J347" s="217">
        <v>0</v>
      </c>
      <c r="K347" s="469">
        <v>0</v>
      </c>
      <c r="L347" s="217">
        <v>0</v>
      </c>
      <c r="M347" s="469">
        <v>0</v>
      </c>
      <c r="N347" s="217">
        <v>0</v>
      </c>
      <c r="O347" s="249">
        <v>0</v>
      </c>
      <c r="P347" s="371">
        <v>0</v>
      </c>
      <c r="Q347" s="249">
        <v>0</v>
      </c>
      <c r="R347" s="371">
        <v>0</v>
      </c>
      <c r="S347" s="249">
        <v>0</v>
      </c>
      <c r="T347" s="371">
        <v>0</v>
      </c>
      <c r="U347" s="130">
        <v>0</v>
      </c>
      <c r="V347" s="371">
        <v>0</v>
      </c>
      <c r="W347" s="373">
        <v>460</v>
      </c>
      <c r="X347" s="371">
        <f t="shared" ref="X347:X355" si="373">ROUND(H347/100*95.5,2)</f>
        <v>1420696.2</v>
      </c>
      <c r="Y347" s="373">
        <v>0</v>
      </c>
      <c r="Z347" s="373">
        <v>0</v>
      </c>
      <c r="AA347" s="373">
        <v>0</v>
      </c>
      <c r="AB347" s="373">
        <v>0</v>
      </c>
      <c r="AC347" s="373">
        <v>0</v>
      </c>
      <c r="AD347" s="373">
        <v>0</v>
      </c>
      <c r="AE347" s="373">
        <v>0</v>
      </c>
      <c r="AF347" s="373">
        <v>0</v>
      </c>
      <c r="AG347" s="373">
        <v>0</v>
      </c>
      <c r="AH347" s="373">
        <v>0</v>
      </c>
      <c r="AI347" s="373">
        <v>0</v>
      </c>
      <c r="AJ347" s="373">
        <f t="shared" ref="AJ347:AJ355" si="374">ROUND(H347/100*3,2)</f>
        <v>44629.2</v>
      </c>
      <c r="AK347" s="373">
        <f t="shared" ref="AK347:AK355" si="375">ROUND(H347/100*1.5,2)</f>
        <v>22314.6</v>
      </c>
      <c r="AL347" s="373">
        <v>0</v>
      </c>
      <c r="AM347" s="446"/>
      <c r="AN347" s="446"/>
      <c r="AP347" s="486" t="e">
        <f t="shared" si="342"/>
        <v>#DIV/0!</v>
      </c>
      <c r="AQ347" s="486" t="e">
        <f t="shared" si="344"/>
        <v>#DIV/0!</v>
      </c>
      <c r="AR347" s="486" t="e">
        <f t="shared" si="345"/>
        <v>#DIV/0!</v>
      </c>
      <c r="AS347" s="486" t="e">
        <f t="shared" si="346"/>
        <v>#DIV/0!</v>
      </c>
      <c r="AT347" s="486" t="e">
        <f t="shared" si="347"/>
        <v>#DIV/0!</v>
      </c>
      <c r="AU347" s="486" t="e">
        <f t="shared" si="348"/>
        <v>#DIV/0!</v>
      </c>
      <c r="AV347" s="486" t="e">
        <f t="shared" si="349"/>
        <v>#DIV/0!</v>
      </c>
      <c r="AW347" s="486">
        <f t="shared" si="350"/>
        <v>3088.47</v>
      </c>
      <c r="AX347" s="486" t="e">
        <f t="shared" si="351"/>
        <v>#DIV/0!</v>
      </c>
      <c r="AY347" s="486" t="e">
        <f t="shared" si="352"/>
        <v>#DIV/0!</v>
      </c>
      <c r="AZ347" s="486" t="e">
        <f t="shared" si="353"/>
        <v>#DIV/0!</v>
      </c>
      <c r="BA347" s="486">
        <f t="shared" si="343"/>
        <v>0</v>
      </c>
      <c r="BB347" s="494">
        <v>5155.41</v>
      </c>
      <c r="BC347" s="494">
        <v>2070.12</v>
      </c>
      <c r="BD347" s="494">
        <v>848.92</v>
      </c>
      <c r="BE347" s="494">
        <v>819.73</v>
      </c>
      <c r="BF347" s="494">
        <v>611.5</v>
      </c>
      <c r="BG347" s="494">
        <v>1080.04</v>
      </c>
      <c r="BH347" s="494">
        <v>2671800.0099999998</v>
      </c>
      <c r="BI347" s="494">
        <f t="shared" si="288"/>
        <v>4422.8500000000004</v>
      </c>
      <c r="BJ347" s="494">
        <v>14289.54</v>
      </c>
      <c r="BK347" s="494">
        <v>3389.61</v>
      </c>
      <c r="BL347" s="494">
        <v>5995.76</v>
      </c>
      <c r="BM347" s="494">
        <v>548.62</v>
      </c>
      <c r="BN347" s="495" t="e">
        <f t="shared" si="354"/>
        <v>#DIV/0!</v>
      </c>
      <c r="BO347" s="495" t="e">
        <f t="shared" si="355"/>
        <v>#DIV/0!</v>
      </c>
      <c r="BP347" s="495" t="e">
        <f t="shared" si="356"/>
        <v>#DIV/0!</v>
      </c>
      <c r="BQ347" s="495" t="e">
        <f t="shared" si="357"/>
        <v>#DIV/0!</v>
      </c>
      <c r="BR347" s="495" t="e">
        <f t="shared" si="358"/>
        <v>#DIV/0!</v>
      </c>
      <c r="BS347" s="495" t="e">
        <f t="shared" si="359"/>
        <v>#DIV/0!</v>
      </c>
      <c r="BT347" s="495" t="e">
        <f t="shared" si="360"/>
        <v>#DIV/0!</v>
      </c>
      <c r="BU347" s="495" t="str">
        <f t="shared" si="361"/>
        <v xml:space="preserve"> </v>
      </c>
      <c r="BV347" s="495" t="e">
        <f t="shared" si="362"/>
        <v>#DIV/0!</v>
      </c>
      <c r="BW347" s="495" t="e">
        <f t="shared" si="363"/>
        <v>#DIV/0!</v>
      </c>
      <c r="BX347" s="495" t="e">
        <f t="shared" si="364"/>
        <v>#DIV/0!</v>
      </c>
      <c r="BY347" s="495" t="str">
        <f t="shared" si="365"/>
        <v xml:space="preserve"> </v>
      </c>
    </row>
    <row r="348" spans="1:77" s="28" customFormat="1" ht="9" customHeight="1">
      <c r="A348" s="278">
        <v>262</v>
      </c>
      <c r="B348" s="156" t="s">
        <v>983</v>
      </c>
      <c r="C348" s="249">
        <v>2562</v>
      </c>
      <c r="D348" s="376"/>
      <c r="E348" s="371" t="s">
        <v>1005</v>
      </c>
      <c r="F348" s="249"/>
      <c r="G348" s="249"/>
      <c r="H348" s="371">
        <v>2450490</v>
      </c>
      <c r="I348" s="371">
        <f t="shared" si="372"/>
        <v>0</v>
      </c>
      <c r="J348" s="217">
        <v>0</v>
      </c>
      <c r="K348" s="469">
        <v>0</v>
      </c>
      <c r="L348" s="217">
        <v>0</v>
      </c>
      <c r="M348" s="469">
        <v>0</v>
      </c>
      <c r="N348" s="217">
        <v>0</v>
      </c>
      <c r="O348" s="249">
        <v>0</v>
      </c>
      <c r="P348" s="371">
        <v>0</v>
      </c>
      <c r="Q348" s="249">
        <v>0</v>
      </c>
      <c r="R348" s="371">
        <v>0</v>
      </c>
      <c r="S348" s="249">
        <v>0</v>
      </c>
      <c r="T348" s="371">
        <v>0</v>
      </c>
      <c r="U348" s="130">
        <v>0</v>
      </c>
      <c r="V348" s="371">
        <v>0</v>
      </c>
      <c r="W348" s="373">
        <v>735</v>
      </c>
      <c r="X348" s="371">
        <f t="shared" si="373"/>
        <v>2340217.9500000002</v>
      </c>
      <c r="Y348" s="373">
        <v>0</v>
      </c>
      <c r="Z348" s="373">
        <v>0</v>
      </c>
      <c r="AA348" s="373">
        <v>0</v>
      </c>
      <c r="AB348" s="373">
        <v>0</v>
      </c>
      <c r="AC348" s="373">
        <v>0</v>
      </c>
      <c r="AD348" s="373">
        <v>0</v>
      </c>
      <c r="AE348" s="373">
        <v>0</v>
      </c>
      <c r="AF348" s="373">
        <v>0</v>
      </c>
      <c r="AG348" s="373">
        <v>0</v>
      </c>
      <c r="AH348" s="373">
        <v>0</v>
      </c>
      <c r="AI348" s="373">
        <v>0</v>
      </c>
      <c r="AJ348" s="373">
        <f t="shared" si="374"/>
        <v>73514.7</v>
      </c>
      <c r="AK348" s="373">
        <f t="shared" si="375"/>
        <v>36757.35</v>
      </c>
      <c r="AL348" s="373">
        <v>0</v>
      </c>
      <c r="AM348" s="446"/>
      <c r="AN348" s="446"/>
      <c r="AP348" s="486" t="e">
        <f t="shared" si="342"/>
        <v>#DIV/0!</v>
      </c>
      <c r="AQ348" s="486" t="e">
        <f t="shared" si="344"/>
        <v>#DIV/0!</v>
      </c>
      <c r="AR348" s="486" t="e">
        <f t="shared" si="345"/>
        <v>#DIV/0!</v>
      </c>
      <c r="AS348" s="486" t="e">
        <f t="shared" si="346"/>
        <v>#DIV/0!</v>
      </c>
      <c r="AT348" s="486" t="e">
        <f t="shared" si="347"/>
        <v>#DIV/0!</v>
      </c>
      <c r="AU348" s="486" t="e">
        <f t="shared" si="348"/>
        <v>#DIV/0!</v>
      </c>
      <c r="AV348" s="486" t="e">
        <f t="shared" si="349"/>
        <v>#DIV/0!</v>
      </c>
      <c r="AW348" s="486">
        <f t="shared" si="350"/>
        <v>3183.9700000000003</v>
      </c>
      <c r="AX348" s="486" t="e">
        <f t="shared" si="351"/>
        <v>#DIV/0!</v>
      </c>
      <c r="AY348" s="486" t="e">
        <f t="shared" si="352"/>
        <v>#DIV/0!</v>
      </c>
      <c r="AZ348" s="486" t="e">
        <f t="shared" si="353"/>
        <v>#DIV/0!</v>
      </c>
      <c r="BA348" s="486">
        <f t="shared" si="343"/>
        <v>0</v>
      </c>
      <c r="BB348" s="494">
        <v>5155.41</v>
      </c>
      <c r="BC348" s="494">
        <v>2070.12</v>
      </c>
      <c r="BD348" s="494">
        <v>848.92</v>
      </c>
      <c r="BE348" s="494">
        <v>819.73</v>
      </c>
      <c r="BF348" s="494">
        <v>611.5</v>
      </c>
      <c r="BG348" s="494">
        <v>1080.04</v>
      </c>
      <c r="BH348" s="494">
        <v>2671800.0099999998</v>
      </c>
      <c r="BI348" s="494">
        <f t="shared" si="288"/>
        <v>4607.6000000000004</v>
      </c>
      <c r="BJ348" s="494">
        <v>14289.54</v>
      </c>
      <c r="BK348" s="494">
        <v>3389.61</v>
      </c>
      <c r="BL348" s="494">
        <v>5995.76</v>
      </c>
      <c r="BM348" s="494">
        <v>548.62</v>
      </c>
      <c r="BN348" s="495" t="e">
        <f t="shared" si="354"/>
        <v>#DIV/0!</v>
      </c>
      <c r="BO348" s="495" t="e">
        <f t="shared" si="355"/>
        <v>#DIV/0!</v>
      </c>
      <c r="BP348" s="495" t="e">
        <f t="shared" si="356"/>
        <v>#DIV/0!</v>
      </c>
      <c r="BQ348" s="495" t="e">
        <f t="shared" si="357"/>
        <v>#DIV/0!</v>
      </c>
      <c r="BR348" s="495" t="e">
        <f t="shared" si="358"/>
        <v>#DIV/0!</v>
      </c>
      <c r="BS348" s="495" t="e">
        <f t="shared" si="359"/>
        <v>#DIV/0!</v>
      </c>
      <c r="BT348" s="495" t="e">
        <f t="shared" si="360"/>
        <v>#DIV/0!</v>
      </c>
      <c r="BU348" s="495" t="str">
        <f t="shared" si="361"/>
        <v xml:space="preserve"> </v>
      </c>
      <c r="BV348" s="495" t="e">
        <f t="shared" si="362"/>
        <v>#DIV/0!</v>
      </c>
      <c r="BW348" s="495" t="e">
        <f t="shared" si="363"/>
        <v>#DIV/0!</v>
      </c>
      <c r="BX348" s="495" t="e">
        <f t="shared" si="364"/>
        <v>#DIV/0!</v>
      </c>
      <c r="BY348" s="495" t="str">
        <f t="shared" si="365"/>
        <v xml:space="preserve"> </v>
      </c>
    </row>
    <row r="349" spans="1:77" s="28" customFormat="1" ht="9" customHeight="1">
      <c r="A349" s="372">
        <v>263</v>
      </c>
      <c r="B349" s="156" t="s">
        <v>984</v>
      </c>
      <c r="C349" s="249">
        <v>163.6</v>
      </c>
      <c r="D349" s="376"/>
      <c r="E349" s="371" t="s">
        <v>1006</v>
      </c>
      <c r="F349" s="249"/>
      <c r="G349" s="249"/>
      <c r="H349" s="371">
        <v>572418</v>
      </c>
      <c r="I349" s="371">
        <f t="shared" si="372"/>
        <v>0</v>
      </c>
      <c r="J349" s="217">
        <v>0</v>
      </c>
      <c r="K349" s="469">
        <v>0</v>
      </c>
      <c r="L349" s="217">
        <v>0</v>
      </c>
      <c r="M349" s="469">
        <v>0</v>
      </c>
      <c r="N349" s="217">
        <v>0</v>
      </c>
      <c r="O349" s="249">
        <v>0</v>
      </c>
      <c r="P349" s="371">
        <v>0</v>
      </c>
      <c r="Q349" s="249">
        <v>0</v>
      </c>
      <c r="R349" s="371">
        <v>0</v>
      </c>
      <c r="S349" s="249">
        <v>0</v>
      </c>
      <c r="T349" s="371">
        <v>0</v>
      </c>
      <c r="U349" s="130">
        <v>0</v>
      </c>
      <c r="V349" s="371">
        <v>0</v>
      </c>
      <c r="W349" s="373">
        <v>177</v>
      </c>
      <c r="X349" s="371">
        <f t="shared" si="373"/>
        <v>546659.18999999994</v>
      </c>
      <c r="Y349" s="373">
        <v>0</v>
      </c>
      <c r="Z349" s="373">
        <v>0</v>
      </c>
      <c r="AA349" s="373">
        <v>0</v>
      </c>
      <c r="AB349" s="373">
        <v>0</v>
      </c>
      <c r="AC349" s="373">
        <v>0</v>
      </c>
      <c r="AD349" s="373">
        <v>0</v>
      </c>
      <c r="AE349" s="373">
        <v>0</v>
      </c>
      <c r="AF349" s="373">
        <v>0</v>
      </c>
      <c r="AG349" s="373">
        <v>0</v>
      </c>
      <c r="AH349" s="373">
        <v>0</v>
      </c>
      <c r="AI349" s="373">
        <v>0</v>
      </c>
      <c r="AJ349" s="373">
        <f t="shared" si="374"/>
        <v>17172.54</v>
      </c>
      <c r="AK349" s="373">
        <f t="shared" si="375"/>
        <v>8586.27</v>
      </c>
      <c r="AL349" s="373">
        <v>0</v>
      </c>
      <c r="AM349" s="446"/>
      <c r="AN349" s="446"/>
      <c r="AP349" s="486" t="e">
        <f t="shared" si="342"/>
        <v>#DIV/0!</v>
      </c>
      <c r="AQ349" s="486" t="e">
        <f t="shared" si="344"/>
        <v>#DIV/0!</v>
      </c>
      <c r="AR349" s="486" t="e">
        <f t="shared" si="345"/>
        <v>#DIV/0!</v>
      </c>
      <c r="AS349" s="486" t="e">
        <f t="shared" si="346"/>
        <v>#DIV/0!</v>
      </c>
      <c r="AT349" s="486" t="e">
        <f t="shared" si="347"/>
        <v>#DIV/0!</v>
      </c>
      <c r="AU349" s="486" t="e">
        <f t="shared" si="348"/>
        <v>#DIV/0!</v>
      </c>
      <c r="AV349" s="486" t="e">
        <f t="shared" si="349"/>
        <v>#DIV/0!</v>
      </c>
      <c r="AW349" s="486">
        <f t="shared" si="350"/>
        <v>3088.47</v>
      </c>
      <c r="AX349" s="486" t="e">
        <f t="shared" si="351"/>
        <v>#DIV/0!</v>
      </c>
      <c r="AY349" s="486" t="e">
        <f t="shared" si="352"/>
        <v>#DIV/0!</v>
      </c>
      <c r="AZ349" s="486" t="e">
        <f t="shared" si="353"/>
        <v>#DIV/0!</v>
      </c>
      <c r="BA349" s="486">
        <f t="shared" si="343"/>
        <v>0</v>
      </c>
      <c r="BB349" s="494">
        <v>5155.41</v>
      </c>
      <c r="BC349" s="494">
        <v>2070.12</v>
      </c>
      <c r="BD349" s="494">
        <v>848.92</v>
      </c>
      <c r="BE349" s="494">
        <v>819.73</v>
      </c>
      <c r="BF349" s="494">
        <v>611.5</v>
      </c>
      <c r="BG349" s="494">
        <v>1080.04</v>
      </c>
      <c r="BH349" s="494">
        <v>2671800.0099999998</v>
      </c>
      <c r="BI349" s="494">
        <f t="shared" si="288"/>
        <v>4422.8500000000004</v>
      </c>
      <c r="BJ349" s="494">
        <v>14289.54</v>
      </c>
      <c r="BK349" s="494">
        <v>3389.61</v>
      </c>
      <c r="BL349" s="494">
        <v>5995.76</v>
      </c>
      <c r="BM349" s="494">
        <v>548.62</v>
      </c>
      <c r="BN349" s="495" t="e">
        <f t="shared" si="354"/>
        <v>#DIV/0!</v>
      </c>
      <c r="BO349" s="495" t="e">
        <f t="shared" si="355"/>
        <v>#DIV/0!</v>
      </c>
      <c r="BP349" s="495" t="e">
        <f t="shared" si="356"/>
        <v>#DIV/0!</v>
      </c>
      <c r="BQ349" s="495" t="e">
        <f t="shared" si="357"/>
        <v>#DIV/0!</v>
      </c>
      <c r="BR349" s="495" t="e">
        <f t="shared" si="358"/>
        <v>#DIV/0!</v>
      </c>
      <c r="BS349" s="495" t="e">
        <f t="shared" si="359"/>
        <v>#DIV/0!</v>
      </c>
      <c r="BT349" s="495" t="e">
        <f t="shared" si="360"/>
        <v>#DIV/0!</v>
      </c>
      <c r="BU349" s="495" t="str">
        <f t="shared" si="361"/>
        <v xml:space="preserve"> </v>
      </c>
      <c r="BV349" s="495" t="e">
        <f t="shared" si="362"/>
        <v>#DIV/0!</v>
      </c>
      <c r="BW349" s="495" t="e">
        <f t="shared" si="363"/>
        <v>#DIV/0!</v>
      </c>
      <c r="BX349" s="495" t="e">
        <f t="shared" si="364"/>
        <v>#DIV/0!</v>
      </c>
      <c r="BY349" s="495" t="str">
        <f t="shared" si="365"/>
        <v xml:space="preserve"> </v>
      </c>
    </row>
    <row r="350" spans="1:77" s="28" customFormat="1" ht="9" customHeight="1">
      <c r="A350" s="372">
        <v>264</v>
      </c>
      <c r="B350" s="156" t="s">
        <v>985</v>
      </c>
      <c r="C350" s="249">
        <v>363.7</v>
      </c>
      <c r="D350" s="376"/>
      <c r="E350" s="371" t="s">
        <v>1005</v>
      </c>
      <c r="F350" s="249"/>
      <c r="G350" s="249"/>
      <c r="H350" s="371">
        <v>746382.58</v>
      </c>
      <c r="I350" s="371">
        <f t="shared" si="372"/>
        <v>0</v>
      </c>
      <c r="J350" s="217">
        <v>0</v>
      </c>
      <c r="K350" s="469">
        <v>0</v>
      </c>
      <c r="L350" s="217">
        <v>0</v>
      </c>
      <c r="M350" s="469">
        <v>0</v>
      </c>
      <c r="N350" s="217">
        <v>0</v>
      </c>
      <c r="O350" s="249">
        <v>0</v>
      </c>
      <c r="P350" s="371">
        <v>0</v>
      </c>
      <c r="Q350" s="249">
        <v>0</v>
      </c>
      <c r="R350" s="371">
        <v>0</v>
      </c>
      <c r="S350" s="249">
        <v>0</v>
      </c>
      <c r="T350" s="371">
        <v>0</v>
      </c>
      <c r="U350" s="130">
        <v>0</v>
      </c>
      <c r="V350" s="371">
        <v>0</v>
      </c>
      <c r="W350" s="373">
        <v>223.87</v>
      </c>
      <c r="X350" s="371">
        <f t="shared" si="373"/>
        <v>712795.36</v>
      </c>
      <c r="Y350" s="373">
        <v>0</v>
      </c>
      <c r="Z350" s="373">
        <v>0</v>
      </c>
      <c r="AA350" s="373">
        <v>0</v>
      </c>
      <c r="AB350" s="373">
        <v>0</v>
      </c>
      <c r="AC350" s="373">
        <v>0</v>
      </c>
      <c r="AD350" s="373">
        <v>0</v>
      </c>
      <c r="AE350" s="373">
        <v>0</v>
      </c>
      <c r="AF350" s="373">
        <v>0</v>
      </c>
      <c r="AG350" s="373">
        <v>0</v>
      </c>
      <c r="AH350" s="373">
        <v>0</v>
      </c>
      <c r="AI350" s="373">
        <v>0</v>
      </c>
      <c r="AJ350" s="373">
        <f t="shared" si="374"/>
        <v>22391.48</v>
      </c>
      <c r="AK350" s="373">
        <f t="shared" si="375"/>
        <v>11195.74</v>
      </c>
      <c r="AL350" s="373">
        <v>0</v>
      </c>
      <c r="AM350" s="446"/>
      <c r="AN350" s="446"/>
      <c r="AP350" s="486" t="e">
        <f t="shared" si="342"/>
        <v>#DIV/0!</v>
      </c>
      <c r="AQ350" s="486" t="e">
        <f t="shared" si="344"/>
        <v>#DIV/0!</v>
      </c>
      <c r="AR350" s="486" t="e">
        <f t="shared" si="345"/>
        <v>#DIV/0!</v>
      </c>
      <c r="AS350" s="486" t="e">
        <f t="shared" si="346"/>
        <v>#DIV/0!</v>
      </c>
      <c r="AT350" s="486" t="e">
        <f t="shared" si="347"/>
        <v>#DIV/0!</v>
      </c>
      <c r="AU350" s="486" t="e">
        <f t="shared" si="348"/>
        <v>#DIV/0!</v>
      </c>
      <c r="AV350" s="486" t="e">
        <f t="shared" si="349"/>
        <v>#DIV/0!</v>
      </c>
      <c r="AW350" s="486">
        <f t="shared" si="350"/>
        <v>3183.9699825791754</v>
      </c>
      <c r="AX350" s="486" t="e">
        <f t="shared" si="351"/>
        <v>#DIV/0!</v>
      </c>
      <c r="AY350" s="486" t="e">
        <f t="shared" si="352"/>
        <v>#DIV/0!</v>
      </c>
      <c r="AZ350" s="486" t="e">
        <f t="shared" si="353"/>
        <v>#DIV/0!</v>
      </c>
      <c r="BA350" s="486">
        <f t="shared" si="343"/>
        <v>0</v>
      </c>
      <c r="BB350" s="494">
        <v>5155.41</v>
      </c>
      <c r="BC350" s="494">
        <v>2070.12</v>
      </c>
      <c r="BD350" s="494">
        <v>848.92</v>
      </c>
      <c r="BE350" s="494">
        <v>819.73</v>
      </c>
      <c r="BF350" s="494">
        <v>611.5</v>
      </c>
      <c r="BG350" s="494">
        <v>1080.04</v>
      </c>
      <c r="BH350" s="494">
        <v>2671800.0099999998</v>
      </c>
      <c r="BI350" s="494">
        <f t="shared" si="288"/>
        <v>4607.6000000000004</v>
      </c>
      <c r="BJ350" s="494">
        <v>14289.54</v>
      </c>
      <c r="BK350" s="494">
        <v>3389.61</v>
      </c>
      <c r="BL350" s="494">
        <v>5995.76</v>
      </c>
      <c r="BM350" s="494">
        <v>548.62</v>
      </c>
      <c r="BN350" s="495" t="e">
        <f t="shared" si="354"/>
        <v>#DIV/0!</v>
      </c>
      <c r="BO350" s="495" t="e">
        <f t="shared" si="355"/>
        <v>#DIV/0!</v>
      </c>
      <c r="BP350" s="495" t="e">
        <f t="shared" si="356"/>
        <v>#DIV/0!</v>
      </c>
      <c r="BQ350" s="495" t="e">
        <f t="shared" si="357"/>
        <v>#DIV/0!</v>
      </c>
      <c r="BR350" s="495" t="e">
        <f t="shared" si="358"/>
        <v>#DIV/0!</v>
      </c>
      <c r="BS350" s="495" t="e">
        <f t="shared" si="359"/>
        <v>#DIV/0!</v>
      </c>
      <c r="BT350" s="495" t="e">
        <f t="shared" si="360"/>
        <v>#DIV/0!</v>
      </c>
      <c r="BU350" s="495" t="str">
        <f t="shared" si="361"/>
        <v xml:space="preserve"> </v>
      </c>
      <c r="BV350" s="495" t="e">
        <f t="shared" si="362"/>
        <v>#DIV/0!</v>
      </c>
      <c r="BW350" s="495" t="e">
        <f t="shared" si="363"/>
        <v>#DIV/0!</v>
      </c>
      <c r="BX350" s="495" t="e">
        <f t="shared" si="364"/>
        <v>#DIV/0!</v>
      </c>
      <c r="BY350" s="495" t="str">
        <f t="shared" si="365"/>
        <v xml:space="preserve"> </v>
      </c>
    </row>
    <row r="351" spans="1:77" s="28" customFormat="1" ht="9" customHeight="1">
      <c r="A351" s="372">
        <v>265</v>
      </c>
      <c r="B351" s="156" t="s">
        <v>986</v>
      </c>
      <c r="C351" s="249">
        <v>551.4</v>
      </c>
      <c r="D351" s="376"/>
      <c r="E351" s="371" t="s">
        <v>1005</v>
      </c>
      <c r="F351" s="249"/>
      <c r="G351" s="249"/>
      <c r="H351" s="371">
        <v>1463626</v>
      </c>
      <c r="I351" s="371">
        <f t="shared" si="372"/>
        <v>0</v>
      </c>
      <c r="J351" s="217">
        <v>0</v>
      </c>
      <c r="K351" s="469">
        <v>0</v>
      </c>
      <c r="L351" s="217">
        <v>0</v>
      </c>
      <c r="M351" s="469">
        <v>0</v>
      </c>
      <c r="N351" s="217">
        <v>0</v>
      </c>
      <c r="O351" s="249">
        <v>0</v>
      </c>
      <c r="P351" s="371">
        <v>0</v>
      </c>
      <c r="Q351" s="249">
        <v>0</v>
      </c>
      <c r="R351" s="371">
        <v>0</v>
      </c>
      <c r="S351" s="249">
        <v>0</v>
      </c>
      <c r="T351" s="371">
        <v>0</v>
      </c>
      <c r="U351" s="130">
        <v>0</v>
      </c>
      <c r="V351" s="371">
        <v>0</v>
      </c>
      <c r="W351" s="373">
        <v>439</v>
      </c>
      <c r="X351" s="371">
        <f t="shared" si="373"/>
        <v>1397762.83</v>
      </c>
      <c r="Y351" s="373">
        <v>0</v>
      </c>
      <c r="Z351" s="373">
        <v>0</v>
      </c>
      <c r="AA351" s="373">
        <v>0</v>
      </c>
      <c r="AB351" s="373">
        <v>0</v>
      </c>
      <c r="AC351" s="373">
        <v>0</v>
      </c>
      <c r="AD351" s="373">
        <v>0</v>
      </c>
      <c r="AE351" s="373">
        <v>0</v>
      </c>
      <c r="AF351" s="373">
        <v>0</v>
      </c>
      <c r="AG351" s="373">
        <v>0</v>
      </c>
      <c r="AH351" s="373">
        <v>0</v>
      </c>
      <c r="AI351" s="373">
        <v>0</v>
      </c>
      <c r="AJ351" s="373">
        <f t="shared" si="374"/>
        <v>43908.78</v>
      </c>
      <c r="AK351" s="373">
        <f t="shared" si="375"/>
        <v>21954.39</v>
      </c>
      <c r="AL351" s="373">
        <v>0</v>
      </c>
      <c r="AM351" s="446"/>
      <c r="AN351" s="446"/>
      <c r="AP351" s="486" t="e">
        <f t="shared" si="342"/>
        <v>#DIV/0!</v>
      </c>
      <c r="AQ351" s="486" t="e">
        <f t="shared" si="344"/>
        <v>#DIV/0!</v>
      </c>
      <c r="AR351" s="486" t="e">
        <f t="shared" si="345"/>
        <v>#DIV/0!</v>
      </c>
      <c r="AS351" s="486" t="e">
        <f t="shared" si="346"/>
        <v>#DIV/0!</v>
      </c>
      <c r="AT351" s="486" t="e">
        <f t="shared" si="347"/>
        <v>#DIV/0!</v>
      </c>
      <c r="AU351" s="486" t="e">
        <f t="shared" si="348"/>
        <v>#DIV/0!</v>
      </c>
      <c r="AV351" s="486" t="e">
        <f t="shared" si="349"/>
        <v>#DIV/0!</v>
      </c>
      <c r="AW351" s="486">
        <f t="shared" si="350"/>
        <v>3183.9700000000003</v>
      </c>
      <c r="AX351" s="486" t="e">
        <f t="shared" si="351"/>
        <v>#DIV/0!</v>
      </c>
      <c r="AY351" s="486" t="e">
        <f t="shared" si="352"/>
        <v>#DIV/0!</v>
      </c>
      <c r="AZ351" s="486" t="e">
        <f t="shared" si="353"/>
        <v>#DIV/0!</v>
      </c>
      <c r="BA351" s="486">
        <f t="shared" si="343"/>
        <v>0</v>
      </c>
      <c r="BB351" s="494">
        <v>5155.41</v>
      </c>
      <c r="BC351" s="494">
        <v>2070.12</v>
      </c>
      <c r="BD351" s="494">
        <v>848.92</v>
      </c>
      <c r="BE351" s="494">
        <v>819.73</v>
      </c>
      <c r="BF351" s="494">
        <v>611.5</v>
      </c>
      <c r="BG351" s="494">
        <v>1080.04</v>
      </c>
      <c r="BH351" s="494">
        <v>2671800.0099999998</v>
      </c>
      <c r="BI351" s="494">
        <f t="shared" si="288"/>
        <v>4607.6000000000004</v>
      </c>
      <c r="BJ351" s="494">
        <v>14289.54</v>
      </c>
      <c r="BK351" s="494">
        <v>3389.61</v>
      </c>
      <c r="BL351" s="494">
        <v>5995.76</v>
      </c>
      <c r="BM351" s="494">
        <v>548.62</v>
      </c>
      <c r="BN351" s="495" t="e">
        <f t="shared" si="354"/>
        <v>#DIV/0!</v>
      </c>
      <c r="BO351" s="495" t="e">
        <f t="shared" si="355"/>
        <v>#DIV/0!</v>
      </c>
      <c r="BP351" s="495" t="e">
        <f t="shared" si="356"/>
        <v>#DIV/0!</v>
      </c>
      <c r="BQ351" s="495" t="e">
        <f t="shared" si="357"/>
        <v>#DIV/0!</v>
      </c>
      <c r="BR351" s="495" t="e">
        <f t="shared" si="358"/>
        <v>#DIV/0!</v>
      </c>
      <c r="BS351" s="495" t="e">
        <f t="shared" si="359"/>
        <v>#DIV/0!</v>
      </c>
      <c r="BT351" s="495" t="e">
        <f t="shared" si="360"/>
        <v>#DIV/0!</v>
      </c>
      <c r="BU351" s="495" t="str">
        <f t="shared" si="361"/>
        <v xml:space="preserve"> </v>
      </c>
      <c r="BV351" s="495" t="e">
        <f t="shared" si="362"/>
        <v>#DIV/0!</v>
      </c>
      <c r="BW351" s="495" t="e">
        <f t="shared" si="363"/>
        <v>#DIV/0!</v>
      </c>
      <c r="BX351" s="495" t="e">
        <f t="shared" si="364"/>
        <v>#DIV/0!</v>
      </c>
      <c r="BY351" s="495" t="str">
        <f t="shared" si="365"/>
        <v xml:space="preserve"> </v>
      </c>
    </row>
    <row r="352" spans="1:77" s="28" customFormat="1" ht="9" customHeight="1">
      <c r="A352" s="372">
        <v>266</v>
      </c>
      <c r="B352" s="156" t="s">
        <v>987</v>
      </c>
      <c r="C352" s="249">
        <v>1205</v>
      </c>
      <c r="D352" s="376"/>
      <c r="E352" s="371" t="s">
        <v>1006</v>
      </c>
      <c r="F352" s="249"/>
      <c r="G352" s="249"/>
      <c r="H352" s="371">
        <v>2826516</v>
      </c>
      <c r="I352" s="371">
        <f t="shared" si="372"/>
        <v>0</v>
      </c>
      <c r="J352" s="217">
        <v>0</v>
      </c>
      <c r="K352" s="469">
        <v>0</v>
      </c>
      <c r="L352" s="217">
        <v>0</v>
      </c>
      <c r="M352" s="469">
        <v>0</v>
      </c>
      <c r="N352" s="217">
        <v>0</v>
      </c>
      <c r="O352" s="249">
        <v>0</v>
      </c>
      <c r="P352" s="371">
        <v>0</v>
      </c>
      <c r="Q352" s="249">
        <v>0</v>
      </c>
      <c r="R352" s="371">
        <v>0</v>
      </c>
      <c r="S352" s="249">
        <v>0</v>
      </c>
      <c r="T352" s="371">
        <v>0</v>
      </c>
      <c r="U352" s="130">
        <v>0</v>
      </c>
      <c r="V352" s="371">
        <v>0</v>
      </c>
      <c r="W352" s="373">
        <v>874</v>
      </c>
      <c r="X352" s="371">
        <f t="shared" si="373"/>
        <v>2699322.78</v>
      </c>
      <c r="Y352" s="373">
        <v>0</v>
      </c>
      <c r="Z352" s="373">
        <v>0</v>
      </c>
      <c r="AA352" s="373">
        <v>0</v>
      </c>
      <c r="AB352" s="373">
        <v>0</v>
      </c>
      <c r="AC352" s="373">
        <v>0</v>
      </c>
      <c r="AD352" s="373">
        <v>0</v>
      </c>
      <c r="AE352" s="373">
        <v>0</v>
      </c>
      <c r="AF352" s="373">
        <v>0</v>
      </c>
      <c r="AG352" s="373">
        <v>0</v>
      </c>
      <c r="AH352" s="373">
        <v>0</v>
      </c>
      <c r="AI352" s="373">
        <v>0</v>
      </c>
      <c r="AJ352" s="373">
        <f t="shared" si="374"/>
        <v>84795.48</v>
      </c>
      <c r="AK352" s="373">
        <f t="shared" si="375"/>
        <v>42397.74</v>
      </c>
      <c r="AL352" s="373">
        <v>0</v>
      </c>
      <c r="AM352" s="446"/>
      <c r="AN352" s="446"/>
      <c r="AP352" s="486" t="e">
        <f t="shared" si="342"/>
        <v>#DIV/0!</v>
      </c>
      <c r="AQ352" s="486" t="e">
        <f t="shared" si="344"/>
        <v>#DIV/0!</v>
      </c>
      <c r="AR352" s="486" t="e">
        <f t="shared" si="345"/>
        <v>#DIV/0!</v>
      </c>
      <c r="AS352" s="486" t="e">
        <f t="shared" si="346"/>
        <v>#DIV/0!</v>
      </c>
      <c r="AT352" s="486" t="e">
        <f t="shared" si="347"/>
        <v>#DIV/0!</v>
      </c>
      <c r="AU352" s="486" t="e">
        <f t="shared" si="348"/>
        <v>#DIV/0!</v>
      </c>
      <c r="AV352" s="486" t="e">
        <f t="shared" si="349"/>
        <v>#DIV/0!</v>
      </c>
      <c r="AW352" s="486">
        <f t="shared" si="350"/>
        <v>3088.47</v>
      </c>
      <c r="AX352" s="486" t="e">
        <f t="shared" si="351"/>
        <v>#DIV/0!</v>
      </c>
      <c r="AY352" s="486" t="e">
        <f t="shared" si="352"/>
        <v>#DIV/0!</v>
      </c>
      <c r="AZ352" s="486" t="e">
        <f t="shared" si="353"/>
        <v>#DIV/0!</v>
      </c>
      <c r="BA352" s="486">
        <f t="shared" si="343"/>
        <v>0</v>
      </c>
      <c r="BB352" s="494">
        <v>5155.41</v>
      </c>
      <c r="BC352" s="494">
        <v>2070.12</v>
      </c>
      <c r="BD352" s="494">
        <v>848.92</v>
      </c>
      <c r="BE352" s="494">
        <v>819.73</v>
      </c>
      <c r="BF352" s="494">
        <v>611.5</v>
      </c>
      <c r="BG352" s="494">
        <v>1080.04</v>
      </c>
      <c r="BH352" s="494">
        <v>2671800.0099999998</v>
      </c>
      <c r="BI352" s="494">
        <f t="shared" si="288"/>
        <v>4422.8500000000004</v>
      </c>
      <c r="BJ352" s="494">
        <v>14289.54</v>
      </c>
      <c r="BK352" s="494">
        <v>3389.61</v>
      </c>
      <c r="BL352" s="494">
        <v>5995.76</v>
      </c>
      <c r="BM352" s="494">
        <v>548.62</v>
      </c>
      <c r="BN352" s="495" t="e">
        <f t="shared" si="354"/>
        <v>#DIV/0!</v>
      </c>
      <c r="BO352" s="495" t="e">
        <f t="shared" si="355"/>
        <v>#DIV/0!</v>
      </c>
      <c r="BP352" s="495" t="e">
        <f t="shared" si="356"/>
        <v>#DIV/0!</v>
      </c>
      <c r="BQ352" s="495" t="e">
        <f t="shared" si="357"/>
        <v>#DIV/0!</v>
      </c>
      <c r="BR352" s="495" t="e">
        <f t="shared" si="358"/>
        <v>#DIV/0!</v>
      </c>
      <c r="BS352" s="495" t="e">
        <f t="shared" si="359"/>
        <v>#DIV/0!</v>
      </c>
      <c r="BT352" s="495" t="e">
        <f t="shared" si="360"/>
        <v>#DIV/0!</v>
      </c>
      <c r="BU352" s="495" t="str">
        <f t="shared" si="361"/>
        <v xml:space="preserve"> </v>
      </c>
      <c r="BV352" s="495" t="e">
        <f t="shared" si="362"/>
        <v>#DIV/0!</v>
      </c>
      <c r="BW352" s="495" t="e">
        <f t="shared" si="363"/>
        <v>#DIV/0!</v>
      </c>
      <c r="BX352" s="495" t="e">
        <f t="shared" si="364"/>
        <v>#DIV/0!</v>
      </c>
      <c r="BY352" s="495" t="str">
        <f t="shared" si="365"/>
        <v xml:space="preserve"> </v>
      </c>
    </row>
    <row r="353" spans="1:77" s="28" customFormat="1" ht="9" customHeight="1">
      <c r="A353" s="372">
        <v>267</v>
      </c>
      <c r="B353" s="156" t="s">
        <v>988</v>
      </c>
      <c r="C353" s="249">
        <v>1758.4</v>
      </c>
      <c r="D353" s="376"/>
      <c r="E353" s="371" t="s">
        <v>1006</v>
      </c>
      <c r="F353" s="249"/>
      <c r="G353" s="249"/>
      <c r="H353" s="371">
        <v>2373756</v>
      </c>
      <c r="I353" s="371">
        <f t="shared" si="372"/>
        <v>0</v>
      </c>
      <c r="J353" s="217">
        <v>0</v>
      </c>
      <c r="K353" s="469">
        <v>0</v>
      </c>
      <c r="L353" s="217">
        <v>0</v>
      </c>
      <c r="M353" s="469">
        <v>0</v>
      </c>
      <c r="N353" s="217">
        <v>0</v>
      </c>
      <c r="O353" s="249">
        <v>0</v>
      </c>
      <c r="P353" s="371">
        <v>0</v>
      </c>
      <c r="Q353" s="249">
        <v>0</v>
      </c>
      <c r="R353" s="371">
        <v>0</v>
      </c>
      <c r="S353" s="249">
        <v>0</v>
      </c>
      <c r="T353" s="371">
        <v>0</v>
      </c>
      <c r="U353" s="130">
        <v>0</v>
      </c>
      <c r="V353" s="371">
        <v>0</v>
      </c>
      <c r="W353" s="373">
        <v>734</v>
      </c>
      <c r="X353" s="371">
        <f t="shared" si="373"/>
        <v>2266936.98</v>
      </c>
      <c r="Y353" s="373">
        <v>0</v>
      </c>
      <c r="Z353" s="373">
        <v>0</v>
      </c>
      <c r="AA353" s="373">
        <v>0</v>
      </c>
      <c r="AB353" s="373">
        <v>0</v>
      </c>
      <c r="AC353" s="373">
        <v>0</v>
      </c>
      <c r="AD353" s="373">
        <v>0</v>
      </c>
      <c r="AE353" s="373">
        <v>0</v>
      </c>
      <c r="AF353" s="373">
        <v>0</v>
      </c>
      <c r="AG353" s="373">
        <v>0</v>
      </c>
      <c r="AH353" s="373">
        <v>0</v>
      </c>
      <c r="AI353" s="373">
        <v>0</v>
      </c>
      <c r="AJ353" s="373">
        <f t="shared" si="374"/>
        <v>71212.679999999993</v>
      </c>
      <c r="AK353" s="373">
        <f t="shared" si="375"/>
        <v>35606.339999999997</v>
      </c>
      <c r="AL353" s="373">
        <v>0</v>
      </c>
      <c r="AM353" s="446"/>
      <c r="AN353" s="446"/>
      <c r="AP353" s="486" t="e">
        <f t="shared" si="342"/>
        <v>#DIV/0!</v>
      </c>
      <c r="AQ353" s="486" t="e">
        <f t="shared" si="344"/>
        <v>#DIV/0!</v>
      </c>
      <c r="AR353" s="486" t="e">
        <f t="shared" si="345"/>
        <v>#DIV/0!</v>
      </c>
      <c r="AS353" s="486" t="e">
        <f t="shared" si="346"/>
        <v>#DIV/0!</v>
      </c>
      <c r="AT353" s="486" t="e">
        <f t="shared" si="347"/>
        <v>#DIV/0!</v>
      </c>
      <c r="AU353" s="486" t="e">
        <f t="shared" si="348"/>
        <v>#DIV/0!</v>
      </c>
      <c r="AV353" s="486" t="e">
        <f t="shared" si="349"/>
        <v>#DIV/0!</v>
      </c>
      <c r="AW353" s="486">
        <f t="shared" si="350"/>
        <v>3088.47</v>
      </c>
      <c r="AX353" s="486" t="e">
        <f t="shared" si="351"/>
        <v>#DIV/0!</v>
      </c>
      <c r="AY353" s="486" t="e">
        <f t="shared" si="352"/>
        <v>#DIV/0!</v>
      </c>
      <c r="AZ353" s="486" t="e">
        <f t="shared" si="353"/>
        <v>#DIV/0!</v>
      </c>
      <c r="BA353" s="486">
        <f t="shared" si="343"/>
        <v>0</v>
      </c>
      <c r="BB353" s="494">
        <v>5155.41</v>
      </c>
      <c r="BC353" s="494">
        <v>2070.12</v>
      </c>
      <c r="BD353" s="494">
        <v>848.92</v>
      </c>
      <c r="BE353" s="494">
        <v>819.73</v>
      </c>
      <c r="BF353" s="494">
        <v>611.5</v>
      </c>
      <c r="BG353" s="494">
        <v>1080.04</v>
      </c>
      <c r="BH353" s="494">
        <v>2671800.0099999998</v>
      </c>
      <c r="BI353" s="494">
        <f t="shared" si="288"/>
        <v>4422.8500000000004</v>
      </c>
      <c r="BJ353" s="494">
        <v>14289.54</v>
      </c>
      <c r="BK353" s="494">
        <v>3389.61</v>
      </c>
      <c r="BL353" s="494">
        <v>5995.76</v>
      </c>
      <c r="BM353" s="494">
        <v>548.62</v>
      </c>
      <c r="BN353" s="495" t="e">
        <f t="shared" si="354"/>
        <v>#DIV/0!</v>
      </c>
      <c r="BO353" s="495" t="e">
        <f t="shared" si="355"/>
        <v>#DIV/0!</v>
      </c>
      <c r="BP353" s="495" t="e">
        <f t="shared" si="356"/>
        <v>#DIV/0!</v>
      </c>
      <c r="BQ353" s="495" t="e">
        <f t="shared" si="357"/>
        <v>#DIV/0!</v>
      </c>
      <c r="BR353" s="495" t="e">
        <f t="shared" si="358"/>
        <v>#DIV/0!</v>
      </c>
      <c r="BS353" s="495" t="e">
        <f t="shared" si="359"/>
        <v>#DIV/0!</v>
      </c>
      <c r="BT353" s="495" t="e">
        <f t="shared" si="360"/>
        <v>#DIV/0!</v>
      </c>
      <c r="BU353" s="495" t="str">
        <f t="shared" si="361"/>
        <v xml:space="preserve"> </v>
      </c>
      <c r="BV353" s="495" t="e">
        <f t="shared" si="362"/>
        <v>#DIV/0!</v>
      </c>
      <c r="BW353" s="495" t="e">
        <f t="shared" si="363"/>
        <v>#DIV/0!</v>
      </c>
      <c r="BX353" s="495" t="e">
        <f t="shared" si="364"/>
        <v>#DIV/0!</v>
      </c>
      <c r="BY353" s="495" t="str">
        <f t="shared" si="365"/>
        <v xml:space="preserve"> </v>
      </c>
    </row>
    <row r="354" spans="1:77" s="28" customFormat="1" ht="9" customHeight="1">
      <c r="A354" s="372">
        <v>268</v>
      </c>
      <c r="B354" s="156" t="s">
        <v>989</v>
      </c>
      <c r="C354" s="249">
        <v>565.4</v>
      </c>
      <c r="D354" s="376"/>
      <c r="E354" s="371" t="s">
        <v>1006</v>
      </c>
      <c r="F354" s="249"/>
      <c r="G354" s="249"/>
      <c r="H354" s="371">
        <v>1791636</v>
      </c>
      <c r="I354" s="371">
        <f t="shared" si="372"/>
        <v>0</v>
      </c>
      <c r="J354" s="217">
        <v>0</v>
      </c>
      <c r="K354" s="469">
        <v>0</v>
      </c>
      <c r="L354" s="217">
        <v>0</v>
      </c>
      <c r="M354" s="469">
        <v>0</v>
      </c>
      <c r="N354" s="217">
        <v>0</v>
      </c>
      <c r="O354" s="249">
        <v>0</v>
      </c>
      <c r="P354" s="371">
        <v>0</v>
      </c>
      <c r="Q354" s="249">
        <v>0</v>
      </c>
      <c r="R354" s="371">
        <v>0</v>
      </c>
      <c r="S354" s="249">
        <v>0</v>
      </c>
      <c r="T354" s="371">
        <v>0</v>
      </c>
      <c r="U354" s="130">
        <v>0</v>
      </c>
      <c r="V354" s="371">
        <v>0</v>
      </c>
      <c r="W354" s="373">
        <v>554</v>
      </c>
      <c r="X354" s="371">
        <f t="shared" si="373"/>
        <v>1711012.38</v>
      </c>
      <c r="Y354" s="373">
        <v>0</v>
      </c>
      <c r="Z354" s="373">
        <v>0</v>
      </c>
      <c r="AA354" s="373">
        <v>0</v>
      </c>
      <c r="AB354" s="373">
        <v>0</v>
      </c>
      <c r="AC354" s="373">
        <v>0</v>
      </c>
      <c r="AD354" s="373">
        <v>0</v>
      </c>
      <c r="AE354" s="373">
        <v>0</v>
      </c>
      <c r="AF354" s="373">
        <v>0</v>
      </c>
      <c r="AG354" s="373">
        <v>0</v>
      </c>
      <c r="AH354" s="373">
        <v>0</v>
      </c>
      <c r="AI354" s="373">
        <v>0</v>
      </c>
      <c r="AJ354" s="373">
        <f t="shared" si="374"/>
        <v>53749.08</v>
      </c>
      <c r="AK354" s="373">
        <f t="shared" si="375"/>
        <v>26874.54</v>
      </c>
      <c r="AL354" s="373">
        <v>0</v>
      </c>
      <c r="AM354" s="446"/>
      <c r="AN354" s="446"/>
      <c r="AP354" s="486" t="e">
        <f t="shared" si="342"/>
        <v>#DIV/0!</v>
      </c>
      <c r="AQ354" s="486" t="e">
        <f t="shared" si="344"/>
        <v>#DIV/0!</v>
      </c>
      <c r="AR354" s="486" t="e">
        <f t="shared" si="345"/>
        <v>#DIV/0!</v>
      </c>
      <c r="AS354" s="486" t="e">
        <f t="shared" si="346"/>
        <v>#DIV/0!</v>
      </c>
      <c r="AT354" s="486" t="e">
        <f t="shared" si="347"/>
        <v>#DIV/0!</v>
      </c>
      <c r="AU354" s="486" t="e">
        <f t="shared" si="348"/>
        <v>#DIV/0!</v>
      </c>
      <c r="AV354" s="486" t="e">
        <f t="shared" si="349"/>
        <v>#DIV/0!</v>
      </c>
      <c r="AW354" s="486">
        <f t="shared" si="350"/>
        <v>3088.47</v>
      </c>
      <c r="AX354" s="486" t="e">
        <f t="shared" si="351"/>
        <v>#DIV/0!</v>
      </c>
      <c r="AY354" s="486" t="e">
        <f t="shared" si="352"/>
        <v>#DIV/0!</v>
      </c>
      <c r="AZ354" s="486" t="e">
        <f t="shared" si="353"/>
        <v>#DIV/0!</v>
      </c>
      <c r="BA354" s="486">
        <f t="shared" si="343"/>
        <v>0</v>
      </c>
      <c r="BB354" s="494">
        <v>5155.41</v>
      </c>
      <c r="BC354" s="494">
        <v>2070.12</v>
      </c>
      <c r="BD354" s="494">
        <v>848.92</v>
      </c>
      <c r="BE354" s="494">
        <v>819.73</v>
      </c>
      <c r="BF354" s="494">
        <v>611.5</v>
      </c>
      <c r="BG354" s="494">
        <v>1080.04</v>
      </c>
      <c r="BH354" s="494">
        <v>2671800.0099999998</v>
      </c>
      <c r="BI354" s="494">
        <f t="shared" si="288"/>
        <v>4422.8500000000004</v>
      </c>
      <c r="BJ354" s="494">
        <v>14289.54</v>
      </c>
      <c r="BK354" s="494">
        <v>3389.61</v>
      </c>
      <c r="BL354" s="494">
        <v>5995.76</v>
      </c>
      <c r="BM354" s="494">
        <v>548.62</v>
      </c>
      <c r="BN354" s="495" t="e">
        <f t="shared" si="354"/>
        <v>#DIV/0!</v>
      </c>
      <c r="BO354" s="495" t="e">
        <f t="shared" si="355"/>
        <v>#DIV/0!</v>
      </c>
      <c r="BP354" s="495" t="e">
        <f t="shared" si="356"/>
        <v>#DIV/0!</v>
      </c>
      <c r="BQ354" s="495" t="e">
        <f t="shared" si="357"/>
        <v>#DIV/0!</v>
      </c>
      <c r="BR354" s="495" t="e">
        <f t="shared" si="358"/>
        <v>#DIV/0!</v>
      </c>
      <c r="BS354" s="495" t="e">
        <f t="shared" si="359"/>
        <v>#DIV/0!</v>
      </c>
      <c r="BT354" s="495" t="e">
        <f t="shared" si="360"/>
        <v>#DIV/0!</v>
      </c>
      <c r="BU354" s="495" t="str">
        <f t="shared" si="361"/>
        <v xml:space="preserve"> </v>
      </c>
      <c r="BV354" s="495" t="e">
        <f t="shared" si="362"/>
        <v>#DIV/0!</v>
      </c>
      <c r="BW354" s="495" t="e">
        <f t="shared" si="363"/>
        <v>#DIV/0!</v>
      </c>
      <c r="BX354" s="495" t="e">
        <f t="shared" si="364"/>
        <v>#DIV/0!</v>
      </c>
      <c r="BY354" s="495" t="str">
        <f t="shared" si="365"/>
        <v xml:space="preserve"> </v>
      </c>
    </row>
    <row r="355" spans="1:77" s="28" customFormat="1" ht="9" customHeight="1">
      <c r="A355" s="372">
        <v>269</v>
      </c>
      <c r="B355" s="156" t="s">
        <v>990</v>
      </c>
      <c r="C355" s="249">
        <v>508.1</v>
      </c>
      <c r="D355" s="376"/>
      <c r="E355" s="371" t="s">
        <v>1006</v>
      </c>
      <c r="F355" s="249"/>
      <c r="G355" s="249"/>
      <c r="H355" s="371">
        <v>1636404</v>
      </c>
      <c r="I355" s="371">
        <f t="shared" si="372"/>
        <v>0</v>
      </c>
      <c r="J355" s="217">
        <v>0</v>
      </c>
      <c r="K355" s="469">
        <v>0</v>
      </c>
      <c r="L355" s="217">
        <v>0</v>
      </c>
      <c r="M355" s="469">
        <v>0</v>
      </c>
      <c r="N355" s="217">
        <v>0</v>
      </c>
      <c r="O355" s="249">
        <v>0</v>
      </c>
      <c r="P355" s="371">
        <v>0</v>
      </c>
      <c r="Q355" s="249">
        <v>0</v>
      </c>
      <c r="R355" s="371">
        <v>0</v>
      </c>
      <c r="S355" s="249">
        <v>0</v>
      </c>
      <c r="T355" s="371">
        <v>0</v>
      </c>
      <c r="U355" s="130">
        <v>0</v>
      </c>
      <c r="V355" s="371">
        <v>0</v>
      </c>
      <c r="W355" s="373">
        <v>506</v>
      </c>
      <c r="X355" s="371">
        <f t="shared" si="373"/>
        <v>1562765.82</v>
      </c>
      <c r="Y355" s="373">
        <v>0</v>
      </c>
      <c r="Z355" s="373">
        <v>0</v>
      </c>
      <c r="AA355" s="373">
        <v>0</v>
      </c>
      <c r="AB355" s="373">
        <v>0</v>
      </c>
      <c r="AC355" s="373">
        <v>0</v>
      </c>
      <c r="AD355" s="373">
        <v>0</v>
      </c>
      <c r="AE355" s="373">
        <v>0</v>
      </c>
      <c r="AF355" s="373">
        <v>0</v>
      </c>
      <c r="AG355" s="373">
        <v>0</v>
      </c>
      <c r="AH355" s="373">
        <v>0</v>
      </c>
      <c r="AI355" s="373">
        <v>0</v>
      </c>
      <c r="AJ355" s="373">
        <f t="shared" si="374"/>
        <v>49092.12</v>
      </c>
      <c r="AK355" s="373">
        <f t="shared" si="375"/>
        <v>24546.06</v>
      </c>
      <c r="AL355" s="373">
        <v>0</v>
      </c>
      <c r="AM355" s="446"/>
      <c r="AN355" s="446"/>
      <c r="AP355" s="486" t="e">
        <f t="shared" si="342"/>
        <v>#DIV/0!</v>
      </c>
      <c r="AQ355" s="486" t="e">
        <f t="shared" si="344"/>
        <v>#DIV/0!</v>
      </c>
      <c r="AR355" s="486" t="e">
        <f t="shared" si="345"/>
        <v>#DIV/0!</v>
      </c>
      <c r="AS355" s="486" t="e">
        <f t="shared" si="346"/>
        <v>#DIV/0!</v>
      </c>
      <c r="AT355" s="486" t="e">
        <f t="shared" si="347"/>
        <v>#DIV/0!</v>
      </c>
      <c r="AU355" s="486" t="e">
        <f t="shared" si="348"/>
        <v>#DIV/0!</v>
      </c>
      <c r="AV355" s="486" t="e">
        <f t="shared" si="349"/>
        <v>#DIV/0!</v>
      </c>
      <c r="AW355" s="486">
        <f t="shared" si="350"/>
        <v>3088.4700000000003</v>
      </c>
      <c r="AX355" s="486" t="e">
        <f t="shared" si="351"/>
        <v>#DIV/0!</v>
      </c>
      <c r="AY355" s="486" t="e">
        <f t="shared" si="352"/>
        <v>#DIV/0!</v>
      </c>
      <c r="AZ355" s="486" t="e">
        <f t="shared" si="353"/>
        <v>#DIV/0!</v>
      </c>
      <c r="BA355" s="486">
        <f t="shared" si="343"/>
        <v>0</v>
      </c>
      <c r="BB355" s="494">
        <v>5155.41</v>
      </c>
      <c r="BC355" s="494">
        <v>2070.12</v>
      </c>
      <c r="BD355" s="494">
        <v>848.92</v>
      </c>
      <c r="BE355" s="494">
        <v>819.73</v>
      </c>
      <c r="BF355" s="494">
        <v>611.5</v>
      </c>
      <c r="BG355" s="494">
        <v>1080.04</v>
      </c>
      <c r="BH355" s="494">
        <v>2671800.0099999998</v>
      </c>
      <c r="BI355" s="494">
        <f t="shared" ref="BI355:BI418" si="376">IF(E355="ПК",4607.6,4422.85)</f>
        <v>4422.8500000000004</v>
      </c>
      <c r="BJ355" s="494">
        <v>14289.54</v>
      </c>
      <c r="BK355" s="494">
        <v>3389.61</v>
      </c>
      <c r="BL355" s="494">
        <v>5995.76</v>
      </c>
      <c r="BM355" s="494">
        <v>548.62</v>
      </c>
      <c r="BN355" s="495" t="e">
        <f t="shared" si="354"/>
        <v>#DIV/0!</v>
      </c>
      <c r="BO355" s="495" t="e">
        <f t="shared" si="355"/>
        <v>#DIV/0!</v>
      </c>
      <c r="BP355" s="495" t="e">
        <f t="shared" si="356"/>
        <v>#DIV/0!</v>
      </c>
      <c r="BQ355" s="495" t="e">
        <f t="shared" si="357"/>
        <v>#DIV/0!</v>
      </c>
      <c r="BR355" s="495" t="e">
        <f t="shared" si="358"/>
        <v>#DIV/0!</v>
      </c>
      <c r="BS355" s="495" t="e">
        <f t="shared" si="359"/>
        <v>#DIV/0!</v>
      </c>
      <c r="BT355" s="495" t="e">
        <f t="shared" si="360"/>
        <v>#DIV/0!</v>
      </c>
      <c r="BU355" s="495" t="str">
        <f t="shared" si="361"/>
        <v xml:space="preserve"> </v>
      </c>
      <c r="BV355" s="495" t="e">
        <f t="shared" si="362"/>
        <v>#DIV/0!</v>
      </c>
      <c r="BW355" s="495" t="e">
        <f t="shared" si="363"/>
        <v>#DIV/0!</v>
      </c>
      <c r="BX355" s="495" t="e">
        <f t="shared" si="364"/>
        <v>#DIV/0!</v>
      </c>
      <c r="BY355" s="495" t="str">
        <f t="shared" si="365"/>
        <v xml:space="preserve"> </v>
      </c>
    </row>
    <row r="356" spans="1:77" s="28" customFormat="1" ht="9" customHeight="1">
      <c r="A356" s="372">
        <v>270</v>
      </c>
      <c r="B356" s="156" t="s">
        <v>1055</v>
      </c>
      <c r="C356" s="249">
        <v>572</v>
      </c>
      <c r="D356" s="376"/>
      <c r="E356" s="371" t="s">
        <v>1005</v>
      </c>
      <c r="F356" s="249"/>
      <c r="G356" s="249"/>
      <c r="H356" s="371">
        <v>2163766</v>
      </c>
      <c r="I356" s="371">
        <f t="shared" ref="I356" si="377">J356+L356+N356+P356+R356+T356</f>
        <v>0</v>
      </c>
      <c r="J356" s="217">
        <v>0</v>
      </c>
      <c r="K356" s="469">
        <v>0</v>
      </c>
      <c r="L356" s="217">
        <v>0</v>
      </c>
      <c r="M356" s="469">
        <v>0</v>
      </c>
      <c r="N356" s="217">
        <v>0</v>
      </c>
      <c r="O356" s="249">
        <v>0</v>
      </c>
      <c r="P356" s="371">
        <v>0</v>
      </c>
      <c r="Q356" s="249">
        <v>0</v>
      </c>
      <c r="R356" s="371">
        <v>0</v>
      </c>
      <c r="S356" s="249">
        <v>0</v>
      </c>
      <c r="T356" s="371">
        <v>0</v>
      </c>
      <c r="U356" s="130">
        <v>0</v>
      </c>
      <c r="V356" s="371">
        <v>0</v>
      </c>
      <c r="W356" s="373">
        <v>649</v>
      </c>
      <c r="X356" s="371">
        <f t="shared" ref="X356" si="378">ROUND(H356/100*95.5,2)</f>
        <v>2066396.53</v>
      </c>
      <c r="Y356" s="373">
        <v>0</v>
      </c>
      <c r="Z356" s="373">
        <v>0</v>
      </c>
      <c r="AA356" s="373">
        <v>0</v>
      </c>
      <c r="AB356" s="373">
        <v>0</v>
      </c>
      <c r="AC356" s="373">
        <v>0</v>
      </c>
      <c r="AD356" s="373">
        <v>0</v>
      </c>
      <c r="AE356" s="373">
        <v>0</v>
      </c>
      <c r="AF356" s="373">
        <v>0</v>
      </c>
      <c r="AG356" s="373">
        <v>0</v>
      </c>
      <c r="AH356" s="373">
        <v>0</v>
      </c>
      <c r="AI356" s="373">
        <v>0</v>
      </c>
      <c r="AJ356" s="373">
        <f t="shared" ref="AJ356" si="379">ROUND(H356/100*3,2)</f>
        <v>64912.98</v>
      </c>
      <c r="AK356" s="373">
        <f t="shared" ref="AK356" si="380">ROUND(H356/100*1.5,2)</f>
        <v>32456.49</v>
      </c>
      <c r="AL356" s="373">
        <v>0</v>
      </c>
      <c r="AM356" s="446"/>
      <c r="AN356" s="446"/>
      <c r="AP356" s="486" t="e">
        <f t="shared" si="342"/>
        <v>#DIV/0!</v>
      </c>
      <c r="AQ356" s="486" t="e">
        <f t="shared" si="344"/>
        <v>#DIV/0!</v>
      </c>
      <c r="AR356" s="486" t="e">
        <f t="shared" si="345"/>
        <v>#DIV/0!</v>
      </c>
      <c r="AS356" s="486" t="e">
        <f t="shared" si="346"/>
        <v>#DIV/0!</v>
      </c>
      <c r="AT356" s="486" t="e">
        <f t="shared" si="347"/>
        <v>#DIV/0!</v>
      </c>
      <c r="AU356" s="486" t="e">
        <f t="shared" si="348"/>
        <v>#DIV/0!</v>
      </c>
      <c r="AV356" s="486" t="e">
        <f t="shared" si="349"/>
        <v>#DIV/0!</v>
      </c>
      <c r="AW356" s="486">
        <f t="shared" si="350"/>
        <v>3183.9700000000003</v>
      </c>
      <c r="AX356" s="486" t="e">
        <f t="shared" si="351"/>
        <v>#DIV/0!</v>
      </c>
      <c r="AY356" s="486" t="e">
        <f t="shared" si="352"/>
        <v>#DIV/0!</v>
      </c>
      <c r="AZ356" s="486" t="e">
        <f t="shared" si="353"/>
        <v>#DIV/0!</v>
      </c>
      <c r="BA356" s="486">
        <f t="shared" si="343"/>
        <v>0</v>
      </c>
      <c r="BB356" s="494">
        <v>5155.41</v>
      </c>
      <c r="BC356" s="494">
        <v>2070.12</v>
      </c>
      <c r="BD356" s="494">
        <v>848.92</v>
      </c>
      <c r="BE356" s="494">
        <v>819.73</v>
      </c>
      <c r="BF356" s="494">
        <v>611.5</v>
      </c>
      <c r="BG356" s="494">
        <v>1080.04</v>
      </c>
      <c r="BH356" s="494">
        <v>2671800.0099999998</v>
      </c>
      <c r="BI356" s="494">
        <f t="shared" si="376"/>
        <v>4607.6000000000004</v>
      </c>
      <c r="BJ356" s="494">
        <v>14289.54</v>
      </c>
      <c r="BK356" s="494">
        <v>3389.61</v>
      </c>
      <c r="BL356" s="494">
        <v>5995.76</v>
      </c>
      <c r="BM356" s="494">
        <v>548.62</v>
      </c>
      <c r="BN356" s="495" t="e">
        <f t="shared" si="354"/>
        <v>#DIV/0!</v>
      </c>
      <c r="BO356" s="495" t="e">
        <f t="shared" si="355"/>
        <v>#DIV/0!</v>
      </c>
      <c r="BP356" s="495" t="e">
        <f t="shared" si="356"/>
        <v>#DIV/0!</v>
      </c>
      <c r="BQ356" s="495" t="e">
        <f t="shared" si="357"/>
        <v>#DIV/0!</v>
      </c>
      <c r="BR356" s="495" t="e">
        <f t="shared" si="358"/>
        <v>#DIV/0!</v>
      </c>
      <c r="BS356" s="495" t="e">
        <f t="shared" si="359"/>
        <v>#DIV/0!</v>
      </c>
      <c r="BT356" s="495" t="e">
        <f t="shared" si="360"/>
        <v>#DIV/0!</v>
      </c>
      <c r="BU356" s="495" t="str">
        <f t="shared" si="361"/>
        <v xml:space="preserve"> </v>
      </c>
      <c r="BV356" s="495" t="e">
        <f t="shared" si="362"/>
        <v>#DIV/0!</v>
      </c>
      <c r="BW356" s="495" t="e">
        <f t="shared" si="363"/>
        <v>#DIV/0!</v>
      </c>
      <c r="BX356" s="495" t="e">
        <f t="shared" si="364"/>
        <v>#DIV/0!</v>
      </c>
      <c r="BY356" s="495" t="str">
        <f t="shared" si="365"/>
        <v xml:space="preserve"> </v>
      </c>
    </row>
    <row r="357" spans="1:77" s="28" customFormat="1" ht="38.25" customHeight="1">
      <c r="A357" s="954" t="s">
        <v>44</v>
      </c>
      <c r="B357" s="954"/>
      <c r="C357" s="371">
        <f>SUM(C347:C356)</f>
        <v>9539.1999999999989</v>
      </c>
      <c r="D357" s="396"/>
      <c r="E357" s="362" t="s">
        <v>391</v>
      </c>
      <c r="F357" s="374"/>
      <c r="G357" s="374"/>
      <c r="H357" s="371">
        <f>SUM(H347:H356)</f>
        <v>17512634.579999998</v>
      </c>
      <c r="I357" s="371">
        <f t="shared" ref="I357:AN357" si="381">SUM(I347:I356)</f>
        <v>0</v>
      </c>
      <c r="J357" s="371">
        <f t="shared" si="381"/>
        <v>0</v>
      </c>
      <c r="K357" s="371">
        <f t="shared" si="381"/>
        <v>0</v>
      </c>
      <c r="L357" s="371">
        <f t="shared" si="381"/>
        <v>0</v>
      </c>
      <c r="M357" s="371">
        <f t="shared" si="381"/>
        <v>0</v>
      </c>
      <c r="N357" s="371">
        <f t="shared" si="381"/>
        <v>0</v>
      </c>
      <c r="O357" s="371">
        <f t="shared" si="381"/>
        <v>0</v>
      </c>
      <c r="P357" s="371">
        <f t="shared" si="381"/>
        <v>0</v>
      </c>
      <c r="Q357" s="371">
        <f t="shared" si="381"/>
        <v>0</v>
      </c>
      <c r="R357" s="371">
        <f t="shared" si="381"/>
        <v>0</v>
      </c>
      <c r="S357" s="371">
        <f t="shared" si="381"/>
        <v>0</v>
      </c>
      <c r="T357" s="371">
        <f t="shared" si="381"/>
        <v>0</v>
      </c>
      <c r="U357" s="130">
        <f t="shared" si="381"/>
        <v>0</v>
      </c>
      <c r="V357" s="371">
        <f t="shared" si="381"/>
        <v>0</v>
      </c>
      <c r="W357" s="371">
        <f t="shared" si="381"/>
        <v>5351.87</v>
      </c>
      <c r="X357" s="371">
        <f t="shared" si="381"/>
        <v>16724566.020000001</v>
      </c>
      <c r="Y357" s="371">
        <f t="shared" si="381"/>
        <v>0</v>
      </c>
      <c r="Z357" s="371">
        <f t="shared" si="381"/>
        <v>0</v>
      </c>
      <c r="AA357" s="371">
        <f t="shared" si="381"/>
        <v>0</v>
      </c>
      <c r="AB357" s="371">
        <f t="shared" si="381"/>
        <v>0</v>
      </c>
      <c r="AC357" s="371">
        <f t="shared" si="381"/>
        <v>0</v>
      </c>
      <c r="AD357" s="371">
        <f t="shared" si="381"/>
        <v>0</v>
      </c>
      <c r="AE357" s="371">
        <f t="shared" si="381"/>
        <v>0</v>
      </c>
      <c r="AF357" s="371">
        <f t="shared" si="381"/>
        <v>0</v>
      </c>
      <c r="AG357" s="371">
        <f t="shared" si="381"/>
        <v>0</v>
      </c>
      <c r="AH357" s="371">
        <f t="shared" si="381"/>
        <v>0</v>
      </c>
      <c r="AI357" s="371">
        <f t="shared" si="381"/>
        <v>0</v>
      </c>
      <c r="AJ357" s="371">
        <f t="shared" si="381"/>
        <v>525379.04</v>
      </c>
      <c r="AK357" s="371">
        <f t="shared" si="381"/>
        <v>262689.52</v>
      </c>
      <c r="AL357" s="371">
        <f t="shared" si="381"/>
        <v>0</v>
      </c>
      <c r="AM357" s="371">
        <f t="shared" si="381"/>
        <v>0</v>
      </c>
      <c r="AN357" s="371">
        <f t="shared" si="381"/>
        <v>0</v>
      </c>
      <c r="AP357" s="486" t="e">
        <f t="shared" si="342"/>
        <v>#DIV/0!</v>
      </c>
      <c r="AQ357" s="486" t="e">
        <f t="shared" si="344"/>
        <v>#DIV/0!</v>
      </c>
      <c r="AR357" s="497" t="e">
        <f t="shared" si="345"/>
        <v>#DIV/0!</v>
      </c>
      <c r="AS357" s="497" t="e">
        <f t="shared" si="346"/>
        <v>#DIV/0!</v>
      </c>
      <c r="AT357" s="497" t="e">
        <f t="shared" si="347"/>
        <v>#DIV/0!</v>
      </c>
      <c r="AU357" s="497" t="e">
        <f t="shared" si="348"/>
        <v>#DIV/0!</v>
      </c>
      <c r="AV357" s="497" t="e">
        <f t="shared" si="349"/>
        <v>#DIV/0!</v>
      </c>
      <c r="AW357" s="497">
        <f t="shared" si="350"/>
        <v>3124.9948186334873</v>
      </c>
      <c r="AX357" s="497" t="e">
        <f t="shared" si="351"/>
        <v>#DIV/0!</v>
      </c>
      <c r="AY357" s="486" t="e">
        <f t="shared" si="352"/>
        <v>#DIV/0!</v>
      </c>
      <c r="AZ357" s="497" t="e">
        <f t="shared" si="353"/>
        <v>#DIV/0!</v>
      </c>
      <c r="BA357" s="486">
        <f t="shared" si="343"/>
        <v>0</v>
      </c>
      <c r="BB357" s="494">
        <v>5155.41</v>
      </c>
      <c r="BC357" s="494">
        <v>2070.12</v>
      </c>
      <c r="BD357" s="494">
        <v>848.92</v>
      </c>
      <c r="BE357" s="494">
        <v>819.73</v>
      </c>
      <c r="BF357" s="494">
        <v>611.5</v>
      </c>
      <c r="BG357" s="494">
        <v>1080.04</v>
      </c>
      <c r="BH357" s="494">
        <v>2671800.0099999998</v>
      </c>
      <c r="BI357" s="494">
        <f t="shared" si="376"/>
        <v>4422.8500000000004</v>
      </c>
      <c r="BJ357" s="494">
        <v>14289.54</v>
      </c>
      <c r="BK357" s="494">
        <v>3389.61</v>
      </c>
      <c r="BL357" s="494">
        <v>5995.76</v>
      </c>
      <c r="BM357" s="494">
        <v>548.62</v>
      </c>
      <c r="BN357" s="493" t="e">
        <f t="shared" si="354"/>
        <v>#DIV/0!</v>
      </c>
      <c r="BO357" s="493" t="e">
        <f t="shared" si="355"/>
        <v>#DIV/0!</v>
      </c>
      <c r="BP357" s="493" t="e">
        <f t="shared" si="356"/>
        <v>#DIV/0!</v>
      </c>
      <c r="BQ357" s="493" t="e">
        <f t="shared" si="357"/>
        <v>#DIV/0!</v>
      </c>
      <c r="BR357" s="493" t="e">
        <f t="shared" si="358"/>
        <v>#DIV/0!</v>
      </c>
      <c r="BS357" s="493" t="e">
        <f t="shared" si="359"/>
        <v>#DIV/0!</v>
      </c>
      <c r="BT357" s="493" t="e">
        <f t="shared" si="360"/>
        <v>#DIV/0!</v>
      </c>
      <c r="BU357" s="493" t="str">
        <f t="shared" si="361"/>
        <v xml:space="preserve"> </v>
      </c>
      <c r="BV357" s="493" t="e">
        <f t="shared" si="362"/>
        <v>#DIV/0!</v>
      </c>
      <c r="BW357" s="493" t="e">
        <f t="shared" si="363"/>
        <v>#DIV/0!</v>
      </c>
      <c r="BX357" s="493" t="e">
        <f t="shared" si="364"/>
        <v>#DIV/0!</v>
      </c>
      <c r="BY357" s="493" t="str">
        <f t="shared" si="365"/>
        <v xml:space="preserve"> </v>
      </c>
    </row>
    <row r="358" spans="1:77" s="28" customFormat="1" ht="22.5" customHeight="1">
      <c r="A358" s="837" t="s">
        <v>1029</v>
      </c>
      <c r="B358" s="838"/>
      <c r="C358" s="838"/>
      <c r="D358" s="838"/>
      <c r="E358" s="838"/>
      <c r="F358" s="838"/>
      <c r="G358" s="838"/>
      <c r="H358" s="838"/>
      <c r="I358" s="838"/>
      <c r="J358" s="838"/>
      <c r="K358" s="838"/>
      <c r="L358" s="838"/>
      <c r="M358" s="838"/>
      <c r="N358" s="838"/>
      <c r="O358" s="838"/>
      <c r="P358" s="838"/>
      <c r="Q358" s="838"/>
      <c r="R358" s="838"/>
      <c r="S358" s="838"/>
      <c r="T358" s="838"/>
      <c r="U358" s="838"/>
      <c r="V358" s="838"/>
      <c r="W358" s="838"/>
      <c r="X358" s="838"/>
      <c r="Y358" s="838"/>
      <c r="Z358" s="838"/>
      <c r="AA358" s="838"/>
      <c r="AB358" s="838"/>
      <c r="AC358" s="838"/>
      <c r="AD358" s="838"/>
      <c r="AE358" s="838"/>
      <c r="AF358" s="838"/>
      <c r="AG358" s="838"/>
      <c r="AH358" s="838"/>
      <c r="AI358" s="838"/>
      <c r="AJ358" s="838"/>
      <c r="AK358" s="838"/>
      <c r="AL358" s="839"/>
      <c r="AM358" s="280"/>
      <c r="AN358" s="280"/>
      <c r="AP358" s="486" t="e">
        <f t="shared" si="342"/>
        <v>#DIV/0!</v>
      </c>
      <c r="AQ358" s="486" t="e">
        <f t="shared" si="344"/>
        <v>#DIV/0!</v>
      </c>
      <c r="AR358" s="497" t="e">
        <f t="shared" si="345"/>
        <v>#DIV/0!</v>
      </c>
      <c r="AS358" s="497" t="e">
        <f t="shared" si="346"/>
        <v>#DIV/0!</v>
      </c>
      <c r="AT358" s="497" t="e">
        <f t="shared" si="347"/>
        <v>#DIV/0!</v>
      </c>
      <c r="AU358" s="497" t="e">
        <f t="shared" si="348"/>
        <v>#DIV/0!</v>
      </c>
      <c r="AV358" s="497" t="e">
        <f t="shared" si="349"/>
        <v>#DIV/0!</v>
      </c>
      <c r="AW358" s="497" t="e">
        <f t="shared" si="350"/>
        <v>#DIV/0!</v>
      </c>
      <c r="AX358" s="497" t="e">
        <f t="shared" si="351"/>
        <v>#DIV/0!</v>
      </c>
      <c r="AY358" s="486" t="e">
        <f t="shared" si="352"/>
        <v>#DIV/0!</v>
      </c>
      <c r="AZ358" s="497" t="e">
        <f t="shared" si="353"/>
        <v>#DIV/0!</v>
      </c>
      <c r="BA358" s="486" t="e">
        <f t="shared" si="343"/>
        <v>#DIV/0!</v>
      </c>
      <c r="BB358" s="494">
        <v>5155.41</v>
      </c>
      <c r="BC358" s="494">
        <v>2070.12</v>
      </c>
      <c r="BD358" s="494">
        <v>848.92</v>
      </c>
      <c r="BE358" s="494">
        <v>819.73</v>
      </c>
      <c r="BF358" s="494">
        <v>611.5</v>
      </c>
      <c r="BG358" s="494">
        <v>1080.04</v>
      </c>
      <c r="BH358" s="494">
        <v>2671800.0099999998</v>
      </c>
      <c r="BI358" s="494">
        <f t="shared" si="376"/>
        <v>4422.8500000000004</v>
      </c>
      <c r="BJ358" s="494">
        <v>14289.54</v>
      </c>
      <c r="BK358" s="494">
        <v>3389.61</v>
      </c>
      <c r="BL358" s="494">
        <v>5995.76</v>
      </c>
      <c r="BM358" s="494">
        <v>548.62</v>
      </c>
      <c r="BN358" s="493" t="e">
        <f t="shared" si="354"/>
        <v>#DIV/0!</v>
      </c>
      <c r="BO358" s="493" t="e">
        <f t="shared" si="355"/>
        <v>#DIV/0!</v>
      </c>
      <c r="BP358" s="493" t="e">
        <f t="shared" si="356"/>
        <v>#DIV/0!</v>
      </c>
      <c r="BQ358" s="493" t="e">
        <f t="shared" si="357"/>
        <v>#DIV/0!</v>
      </c>
      <c r="BR358" s="493" t="e">
        <f t="shared" si="358"/>
        <v>#DIV/0!</v>
      </c>
      <c r="BS358" s="493" t="e">
        <f t="shared" si="359"/>
        <v>#DIV/0!</v>
      </c>
      <c r="BT358" s="493" t="e">
        <f t="shared" si="360"/>
        <v>#DIV/0!</v>
      </c>
      <c r="BU358" s="493" t="e">
        <f t="shared" si="361"/>
        <v>#DIV/0!</v>
      </c>
      <c r="BV358" s="493" t="e">
        <f t="shared" si="362"/>
        <v>#DIV/0!</v>
      </c>
      <c r="BW358" s="493" t="e">
        <f t="shared" si="363"/>
        <v>#DIV/0!</v>
      </c>
      <c r="BX358" s="493" t="e">
        <f t="shared" si="364"/>
        <v>#DIV/0!</v>
      </c>
      <c r="BY358" s="493" t="e">
        <f t="shared" si="365"/>
        <v>#DIV/0!</v>
      </c>
    </row>
    <row r="359" spans="1:77" s="28" customFormat="1" ht="9" customHeight="1">
      <c r="A359" s="822" t="s">
        <v>1026</v>
      </c>
      <c r="B359" s="822"/>
      <c r="C359" s="407">
        <f>C493+C502+C516+C521+C528+C532+C547+C550+C554+C558+C564+C568+C571+C574+C585+C588+C591+C594+C602+C605+C613+C617+C620+C624+C629+C632+C636+C640+C643+C650+C653+C656+C659+C663+C670+C675+C678+C688+C691</f>
        <v>690485.88000000012</v>
      </c>
      <c r="D359" s="407"/>
      <c r="E359" s="407" t="s">
        <v>391</v>
      </c>
      <c r="F359" s="249"/>
      <c r="G359" s="249"/>
      <c r="H359" s="407">
        <f>H493+H502+H516+H521+H528+H532+H547+H550+H554+H558+H564+H568+H571+H574+H585+H588+H591+H594+H602+H605+H613+H617+H620+H624+H629+H632+H636+H640+H643+H650+H653+H656+H659+H663+H670+H675+H678+H688+H691</f>
        <v>785987364.85000026</v>
      </c>
      <c r="I359" s="407">
        <f>I493+I502+I516+I521+I528+I532+I547+I550+I554+I558+I564+I568+I571+I574+I585+I588+I591+I594+I602+I605+I613+I617+I620+I624+I629+I632+I636+I640+I643+I650+I653+I656+I659+I663+I670+I675+I678+I688+I691</f>
        <v>21998059.73</v>
      </c>
      <c r="J359" s="407">
        <f>J493+J502+J516+J521+J528+J532+J547+J550+J554+J558+J564+J568+J571+J574+J585+J588+J591+J594+J602+J605+J613+J617+J620+J624+J629+J632+J636+J640+J643+J650+J653+J656+J659+J663+J670+J675+J678+J688+J691</f>
        <v>1898408.2300000002</v>
      </c>
      <c r="K359" s="407">
        <f t="shared" ref="K359:AL359" si="382">K493+K502+K516+K521+K528+K532+K547+K550+K554+K558+K564+K568+K571+K574+K585+K588+K591+K594+K602+K605+K613+K617+K620+K624+K629+K632+K636+K640+K643+K650+K653+K656+K659+K663+K670+K675+K678+K688+K691</f>
        <v>770</v>
      </c>
      <c r="L359" s="407">
        <f t="shared" si="382"/>
        <v>12824656.800000001</v>
      </c>
      <c r="M359" s="407">
        <f t="shared" si="382"/>
        <v>564</v>
      </c>
      <c r="N359" s="407">
        <f t="shared" si="382"/>
        <v>2821262.04</v>
      </c>
      <c r="O359" s="407">
        <f t="shared" si="382"/>
        <v>445</v>
      </c>
      <c r="P359" s="407">
        <f t="shared" si="382"/>
        <v>1889441.7200000002</v>
      </c>
      <c r="Q359" s="407">
        <f t="shared" si="382"/>
        <v>0</v>
      </c>
      <c r="R359" s="407">
        <f t="shared" si="382"/>
        <v>1038078.3200000001</v>
      </c>
      <c r="S359" s="407">
        <f t="shared" si="382"/>
        <v>321</v>
      </c>
      <c r="T359" s="407">
        <f t="shared" si="382"/>
        <v>1526212.6199999999</v>
      </c>
      <c r="U359" s="130">
        <f t="shared" si="382"/>
        <v>9</v>
      </c>
      <c r="V359" s="407">
        <f t="shared" si="382"/>
        <v>16877114.490000002</v>
      </c>
      <c r="W359" s="407">
        <f t="shared" si="382"/>
        <v>224058.86999999997</v>
      </c>
      <c r="X359" s="407">
        <f t="shared" si="382"/>
        <v>705470355.69999981</v>
      </c>
      <c r="Y359" s="407">
        <f t="shared" si="382"/>
        <v>0</v>
      </c>
      <c r="Z359" s="407">
        <f t="shared" si="382"/>
        <v>0</v>
      </c>
      <c r="AA359" s="407">
        <f t="shared" si="382"/>
        <v>741.6</v>
      </c>
      <c r="AB359" s="407">
        <f t="shared" si="382"/>
        <v>1535707.43</v>
      </c>
      <c r="AC359" s="407">
        <f t="shared" si="382"/>
        <v>0</v>
      </c>
      <c r="AD359" s="407">
        <f t="shared" si="382"/>
        <v>0</v>
      </c>
      <c r="AE359" s="407">
        <f t="shared" si="382"/>
        <v>0</v>
      </c>
      <c r="AF359" s="407">
        <f t="shared" si="382"/>
        <v>0</v>
      </c>
      <c r="AG359" s="407">
        <f t="shared" si="382"/>
        <v>0</v>
      </c>
      <c r="AH359" s="407">
        <f t="shared" si="382"/>
        <v>0</v>
      </c>
      <c r="AI359" s="407">
        <f t="shared" si="382"/>
        <v>4736696.0599999996</v>
      </c>
      <c r="AJ359" s="407">
        <f t="shared" si="382"/>
        <v>23579620.960000005</v>
      </c>
      <c r="AK359" s="407">
        <f t="shared" si="382"/>
        <v>11789810.480000002</v>
      </c>
      <c r="AL359" s="407">
        <f t="shared" si="382"/>
        <v>0</v>
      </c>
      <c r="AM359" s="407">
        <f t="shared" ref="AM359:AN359" si="383">AH493+AH502+AH516+AH521+AH528+AH532+AH547+AH550+AH554+AH558+AH564+AH568+AH571+AH574+AH585+AH588+AH591+AH594+AH602+AH605+AH613+AH617+AH620+AH624+AH629+AH632+AH636+AH640+AH643+AH650+AH653+AH656+AH659+AH663+AH670+AH675+AH678+AH688+AH691</f>
        <v>0</v>
      </c>
      <c r="AN359" s="407">
        <f t="shared" si="383"/>
        <v>4736696.0599999996</v>
      </c>
      <c r="AP359" s="486" t="e">
        <f t="shared" si="342"/>
        <v>#DIV/0!</v>
      </c>
      <c r="AQ359" s="486">
        <f t="shared" si="344"/>
        <v>16655.398441558442</v>
      </c>
      <c r="AR359" s="497">
        <f t="shared" si="345"/>
        <v>5002.2376595744681</v>
      </c>
      <c r="AS359" s="497">
        <f t="shared" si="346"/>
        <v>4245.9364494382025</v>
      </c>
      <c r="AT359" s="497" t="e">
        <f t="shared" si="347"/>
        <v>#DIV/0!</v>
      </c>
      <c r="AU359" s="497">
        <f t="shared" si="348"/>
        <v>4754.5564485981304</v>
      </c>
      <c r="AV359" s="497">
        <f t="shared" si="349"/>
        <v>1875234.9433333336</v>
      </c>
      <c r="AW359" s="497">
        <f t="shared" si="350"/>
        <v>3148.5937410110114</v>
      </c>
      <c r="AX359" s="497" t="e">
        <f t="shared" si="351"/>
        <v>#DIV/0!</v>
      </c>
      <c r="AY359" s="486">
        <f t="shared" si="352"/>
        <v>2070.8028991370011</v>
      </c>
      <c r="AZ359" s="497" t="e">
        <f t="shared" si="353"/>
        <v>#DIV/0!</v>
      </c>
      <c r="BA359" s="486">
        <f t="shared" si="343"/>
        <v>6.8599463033190462</v>
      </c>
      <c r="BB359" s="494">
        <v>5155.41</v>
      </c>
      <c r="BC359" s="494">
        <v>2070.12</v>
      </c>
      <c r="BD359" s="494">
        <v>848.92</v>
      </c>
      <c r="BE359" s="494">
        <v>819.73</v>
      </c>
      <c r="BF359" s="494">
        <v>611.5</v>
      </c>
      <c r="BG359" s="494">
        <v>1080.04</v>
      </c>
      <c r="BH359" s="494">
        <v>2671800.0099999998</v>
      </c>
      <c r="BI359" s="494">
        <f t="shared" si="376"/>
        <v>4422.8500000000004</v>
      </c>
      <c r="BJ359" s="494">
        <v>14289.54</v>
      </c>
      <c r="BK359" s="494">
        <v>3389.61</v>
      </c>
      <c r="BL359" s="494">
        <v>5995.76</v>
      </c>
      <c r="BM359" s="494">
        <v>548.62</v>
      </c>
      <c r="BN359" s="493" t="e">
        <f t="shared" si="354"/>
        <v>#DIV/0!</v>
      </c>
      <c r="BO359" s="493" t="str">
        <f t="shared" si="355"/>
        <v>+</v>
      </c>
      <c r="BP359" s="493" t="str">
        <f t="shared" si="356"/>
        <v>+</v>
      </c>
      <c r="BQ359" s="493" t="str">
        <f t="shared" si="357"/>
        <v>+</v>
      </c>
      <c r="BR359" s="493" t="e">
        <f t="shared" si="358"/>
        <v>#DIV/0!</v>
      </c>
      <c r="BS359" s="493" t="str">
        <f t="shared" si="359"/>
        <v>+</v>
      </c>
      <c r="BT359" s="493" t="str">
        <f t="shared" si="360"/>
        <v xml:space="preserve"> </v>
      </c>
      <c r="BU359" s="493" t="str">
        <f t="shared" si="361"/>
        <v xml:space="preserve"> </v>
      </c>
      <c r="BV359" s="493" t="e">
        <f t="shared" si="362"/>
        <v>#DIV/0!</v>
      </c>
      <c r="BW359" s="493" t="str">
        <f t="shared" si="363"/>
        <v xml:space="preserve"> </v>
      </c>
      <c r="BX359" s="493" t="e">
        <f t="shared" si="364"/>
        <v>#DIV/0!</v>
      </c>
      <c r="BY359" s="493" t="str">
        <f t="shared" si="365"/>
        <v xml:space="preserve"> </v>
      </c>
    </row>
    <row r="360" spans="1:77" s="28" customFormat="1" ht="17.25" customHeight="1">
      <c r="A360" s="837" t="s">
        <v>217</v>
      </c>
      <c r="B360" s="838"/>
      <c r="C360" s="838"/>
      <c r="D360" s="838"/>
      <c r="E360" s="838"/>
      <c r="F360" s="838"/>
      <c r="G360" s="838"/>
      <c r="H360" s="838"/>
      <c r="I360" s="838"/>
      <c r="J360" s="838"/>
      <c r="K360" s="838"/>
      <c r="L360" s="838"/>
      <c r="M360" s="838"/>
      <c r="N360" s="838"/>
      <c r="O360" s="838"/>
      <c r="P360" s="838"/>
      <c r="Q360" s="838"/>
      <c r="R360" s="838"/>
      <c r="S360" s="838"/>
      <c r="T360" s="838"/>
      <c r="U360" s="838"/>
      <c r="V360" s="838"/>
      <c r="W360" s="838"/>
      <c r="X360" s="838"/>
      <c r="Y360" s="838"/>
      <c r="Z360" s="838"/>
      <c r="AA360" s="838"/>
      <c r="AB360" s="838"/>
      <c r="AC360" s="838"/>
      <c r="AD360" s="838"/>
      <c r="AE360" s="838"/>
      <c r="AF360" s="838"/>
      <c r="AG360" s="838"/>
      <c r="AH360" s="838"/>
      <c r="AI360" s="838"/>
      <c r="AJ360" s="838"/>
      <c r="AK360" s="838"/>
      <c r="AL360" s="839"/>
      <c r="AM360" s="280"/>
      <c r="AN360" s="280"/>
      <c r="AO360" s="404">
        <f>J359+L359+N359+P359+R359+T359+V359+X359+AB359+AI359+AJ359+AK359</f>
        <v>785987364.84999979</v>
      </c>
      <c r="AP360" s="486" t="e">
        <f t="shared" si="342"/>
        <v>#DIV/0!</v>
      </c>
      <c r="AQ360" s="486" t="e">
        <f t="shared" si="344"/>
        <v>#DIV/0!</v>
      </c>
      <c r="AR360" s="497" t="e">
        <f t="shared" si="345"/>
        <v>#DIV/0!</v>
      </c>
      <c r="AS360" s="497" t="e">
        <f t="shared" si="346"/>
        <v>#DIV/0!</v>
      </c>
      <c r="AT360" s="497" t="e">
        <f t="shared" si="347"/>
        <v>#DIV/0!</v>
      </c>
      <c r="AU360" s="497" t="e">
        <f t="shared" si="348"/>
        <v>#DIV/0!</v>
      </c>
      <c r="AV360" s="497" t="e">
        <f t="shared" si="349"/>
        <v>#DIV/0!</v>
      </c>
      <c r="AW360" s="497" t="e">
        <f t="shared" si="350"/>
        <v>#DIV/0!</v>
      </c>
      <c r="AX360" s="497" t="e">
        <f t="shared" si="351"/>
        <v>#DIV/0!</v>
      </c>
      <c r="AY360" s="486" t="e">
        <f t="shared" si="352"/>
        <v>#DIV/0!</v>
      </c>
      <c r="AZ360" s="497" t="e">
        <f t="shared" si="353"/>
        <v>#DIV/0!</v>
      </c>
      <c r="BA360" s="486" t="e">
        <f t="shared" si="343"/>
        <v>#DIV/0!</v>
      </c>
      <c r="BB360" s="494">
        <v>5155.41</v>
      </c>
      <c r="BC360" s="494">
        <v>2070.12</v>
      </c>
      <c r="BD360" s="494">
        <v>848.92</v>
      </c>
      <c r="BE360" s="494">
        <v>819.73</v>
      </c>
      <c r="BF360" s="494">
        <v>611.5</v>
      </c>
      <c r="BG360" s="494">
        <v>1080.04</v>
      </c>
      <c r="BH360" s="494">
        <v>2671800.0099999998</v>
      </c>
      <c r="BI360" s="494">
        <f t="shared" si="376"/>
        <v>4422.8500000000004</v>
      </c>
      <c r="BJ360" s="494">
        <v>14289.54</v>
      </c>
      <c r="BK360" s="494">
        <v>3389.61</v>
      </c>
      <c r="BL360" s="494">
        <v>5995.76</v>
      </c>
      <c r="BM360" s="494">
        <v>548.62</v>
      </c>
      <c r="BN360" s="493" t="e">
        <f t="shared" si="354"/>
        <v>#DIV/0!</v>
      </c>
      <c r="BO360" s="493" t="e">
        <f t="shared" si="355"/>
        <v>#DIV/0!</v>
      </c>
      <c r="BP360" s="493" t="e">
        <f t="shared" si="356"/>
        <v>#DIV/0!</v>
      </c>
      <c r="BQ360" s="493" t="e">
        <f t="shared" si="357"/>
        <v>#DIV/0!</v>
      </c>
      <c r="BR360" s="493" t="e">
        <f t="shared" si="358"/>
        <v>#DIV/0!</v>
      </c>
      <c r="BS360" s="493" t="e">
        <f t="shared" si="359"/>
        <v>#DIV/0!</v>
      </c>
      <c r="BT360" s="493" t="e">
        <f t="shared" si="360"/>
        <v>#DIV/0!</v>
      </c>
      <c r="BU360" s="493" t="e">
        <f t="shared" si="361"/>
        <v>#DIV/0!</v>
      </c>
      <c r="BV360" s="493" t="e">
        <f t="shared" si="362"/>
        <v>#DIV/0!</v>
      </c>
      <c r="BW360" s="493" t="e">
        <f t="shared" si="363"/>
        <v>#DIV/0!</v>
      </c>
      <c r="BX360" s="493" t="e">
        <f t="shared" si="364"/>
        <v>#DIV/0!</v>
      </c>
      <c r="BY360" s="493" t="e">
        <f t="shared" si="365"/>
        <v>#DIV/0!</v>
      </c>
    </row>
    <row r="361" spans="1:77" s="28" customFormat="1" ht="9" customHeight="1">
      <c r="A361" s="406">
        <v>1</v>
      </c>
      <c r="B361" s="206" t="s">
        <v>622</v>
      </c>
      <c r="C361" s="376">
        <v>2697.2</v>
      </c>
      <c r="D361" s="376"/>
      <c r="E361" s="413" t="s">
        <v>1006</v>
      </c>
      <c r="F361" s="413"/>
      <c r="G361" s="413"/>
      <c r="H361" s="211">
        <v>3680292</v>
      </c>
      <c r="I361" s="407">
        <f t="shared" ref="I361" si="384">J361+L361+N361+P361+R361+T361</f>
        <v>0</v>
      </c>
      <c r="J361" s="217">
        <v>0</v>
      </c>
      <c r="K361" s="469">
        <v>0</v>
      </c>
      <c r="L361" s="217">
        <v>0</v>
      </c>
      <c r="M361" s="469">
        <v>0</v>
      </c>
      <c r="N361" s="217">
        <v>0</v>
      </c>
      <c r="O361" s="249">
        <v>0</v>
      </c>
      <c r="P361" s="407">
        <v>0</v>
      </c>
      <c r="Q361" s="249">
        <v>0</v>
      </c>
      <c r="R361" s="407">
        <v>0</v>
      </c>
      <c r="S361" s="249">
        <v>0</v>
      </c>
      <c r="T361" s="407">
        <v>0</v>
      </c>
      <c r="U361" s="130">
        <v>0</v>
      </c>
      <c r="V361" s="407">
        <v>0</v>
      </c>
      <c r="W361" s="410">
        <v>1138</v>
      </c>
      <c r="X361" s="407">
        <f t="shared" ref="X361" si="385">ROUND(H361/100*95.5,2)</f>
        <v>3514678.86</v>
      </c>
      <c r="Y361" s="410">
        <v>0</v>
      </c>
      <c r="Z361" s="410">
        <v>0</v>
      </c>
      <c r="AA361" s="410">
        <v>0</v>
      </c>
      <c r="AB361" s="410">
        <v>0</v>
      </c>
      <c r="AC361" s="410">
        <v>0</v>
      </c>
      <c r="AD361" s="410">
        <v>0</v>
      </c>
      <c r="AE361" s="410">
        <v>0</v>
      </c>
      <c r="AF361" s="410">
        <v>0</v>
      </c>
      <c r="AG361" s="410">
        <v>0</v>
      </c>
      <c r="AH361" s="410">
        <v>0</v>
      </c>
      <c r="AI361" s="410">
        <v>0</v>
      </c>
      <c r="AJ361" s="410">
        <f t="shared" ref="AJ361" si="386">ROUND(H361/100*3,2)</f>
        <v>110408.76</v>
      </c>
      <c r="AK361" s="410">
        <f t="shared" ref="AK361" si="387">ROUND(H361/100*1.5,2)</f>
        <v>55204.38</v>
      </c>
      <c r="AL361" s="410">
        <v>0</v>
      </c>
      <c r="AM361" s="446"/>
      <c r="AN361" s="446"/>
      <c r="AO361" s="404">
        <f>AO360-H493</f>
        <v>264110884.25999981</v>
      </c>
      <c r="AP361" s="486" t="e">
        <f t="shared" si="342"/>
        <v>#DIV/0!</v>
      </c>
      <c r="AQ361" s="486" t="e">
        <f t="shared" si="344"/>
        <v>#DIV/0!</v>
      </c>
      <c r="AR361" s="486" t="e">
        <f t="shared" si="345"/>
        <v>#DIV/0!</v>
      </c>
      <c r="AS361" s="486" t="e">
        <f t="shared" si="346"/>
        <v>#DIV/0!</v>
      </c>
      <c r="AT361" s="486" t="e">
        <f t="shared" si="347"/>
        <v>#DIV/0!</v>
      </c>
      <c r="AU361" s="486" t="e">
        <f t="shared" si="348"/>
        <v>#DIV/0!</v>
      </c>
      <c r="AV361" s="486" t="e">
        <f t="shared" si="349"/>
        <v>#DIV/0!</v>
      </c>
      <c r="AW361" s="486">
        <f t="shared" si="350"/>
        <v>3088.47</v>
      </c>
      <c r="AX361" s="486" t="e">
        <f t="shared" si="351"/>
        <v>#DIV/0!</v>
      </c>
      <c r="AY361" s="486" t="e">
        <f t="shared" si="352"/>
        <v>#DIV/0!</v>
      </c>
      <c r="AZ361" s="486" t="e">
        <f t="shared" si="353"/>
        <v>#DIV/0!</v>
      </c>
      <c r="BA361" s="486">
        <f t="shared" si="343"/>
        <v>0</v>
      </c>
      <c r="BB361" s="494">
        <v>5155.41</v>
      </c>
      <c r="BC361" s="494">
        <v>2070.12</v>
      </c>
      <c r="BD361" s="494">
        <v>848.92</v>
      </c>
      <c r="BE361" s="494">
        <v>819.73</v>
      </c>
      <c r="BF361" s="494">
        <v>611.5</v>
      </c>
      <c r="BG361" s="494">
        <v>1080.04</v>
      </c>
      <c r="BH361" s="494">
        <v>2671800.0099999998</v>
      </c>
      <c r="BI361" s="494">
        <f t="shared" si="376"/>
        <v>4422.8500000000004</v>
      </c>
      <c r="BJ361" s="494">
        <v>14289.54</v>
      </c>
      <c r="BK361" s="494">
        <v>3389.61</v>
      </c>
      <c r="BL361" s="494">
        <v>5995.76</v>
      </c>
      <c r="BM361" s="494">
        <v>548.62</v>
      </c>
      <c r="BN361" s="495" t="e">
        <f t="shared" si="354"/>
        <v>#DIV/0!</v>
      </c>
      <c r="BO361" s="495" t="e">
        <f t="shared" si="355"/>
        <v>#DIV/0!</v>
      </c>
      <c r="BP361" s="495" t="e">
        <f t="shared" si="356"/>
        <v>#DIV/0!</v>
      </c>
      <c r="BQ361" s="495" t="e">
        <f t="shared" si="357"/>
        <v>#DIV/0!</v>
      </c>
      <c r="BR361" s="495" t="e">
        <f t="shared" si="358"/>
        <v>#DIV/0!</v>
      </c>
      <c r="BS361" s="495" t="e">
        <f t="shared" si="359"/>
        <v>#DIV/0!</v>
      </c>
      <c r="BT361" s="495" t="e">
        <f t="shared" si="360"/>
        <v>#DIV/0!</v>
      </c>
      <c r="BU361" s="495" t="str">
        <f t="shared" si="361"/>
        <v xml:space="preserve"> </v>
      </c>
      <c r="BV361" s="495" t="e">
        <f t="shared" si="362"/>
        <v>#DIV/0!</v>
      </c>
      <c r="BW361" s="495" t="e">
        <f t="shared" si="363"/>
        <v>#DIV/0!</v>
      </c>
      <c r="BX361" s="495" t="e">
        <f t="shared" si="364"/>
        <v>#DIV/0!</v>
      </c>
      <c r="BY361" s="495" t="str">
        <f t="shared" si="365"/>
        <v xml:space="preserve"> </v>
      </c>
    </row>
    <row r="362" spans="1:77" s="28" customFormat="1" ht="9" customHeight="1">
      <c r="A362" s="406">
        <v>2</v>
      </c>
      <c r="B362" s="206" t="s">
        <v>623</v>
      </c>
      <c r="C362" s="376">
        <v>2154.1</v>
      </c>
      <c r="D362" s="376"/>
      <c r="E362" s="413" t="s">
        <v>1005</v>
      </c>
      <c r="F362" s="413"/>
      <c r="G362" s="413"/>
      <c r="H362" s="211">
        <v>2865324</v>
      </c>
      <c r="I362" s="407">
        <f t="shared" ref="I362:I369" si="388">J362+L362+N362+P362+R362+T362</f>
        <v>0</v>
      </c>
      <c r="J362" s="217">
        <v>0</v>
      </c>
      <c r="K362" s="469">
        <v>0</v>
      </c>
      <c r="L362" s="217">
        <v>0</v>
      </c>
      <c r="M362" s="469">
        <v>0</v>
      </c>
      <c r="N362" s="217">
        <v>0</v>
      </c>
      <c r="O362" s="249">
        <v>0</v>
      </c>
      <c r="P362" s="407">
        <v>0</v>
      </c>
      <c r="Q362" s="249">
        <v>0</v>
      </c>
      <c r="R362" s="407">
        <v>0</v>
      </c>
      <c r="S362" s="249">
        <v>0</v>
      </c>
      <c r="T362" s="407">
        <v>0</v>
      </c>
      <c r="U362" s="130">
        <v>0</v>
      </c>
      <c r="V362" s="407">
        <v>0</v>
      </c>
      <c r="W362" s="410">
        <v>886</v>
      </c>
      <c r="X362" s="407">
        <f t="shared" ref="X362:X369" si="389">ROUND(H362/100*95.5,2)</f>
        <v>2736384.42</v>
      </c>
      <c r="Y362" s="410">
        <v>0</v>
      </c>
      <c r="Z362" s="410">
        <v>0</v>
      </c>
      <c r="AA362" s="410">
        <v>0</v>
      </c>
      <c r="AB362" s="410">
        <v>0</v>
      </c>
      <c r="AC362" s="410">
        <v>0</v>
      </c>
      <c r="AD362" s="410">
        <v>0</v>
      </c>
      <c r="AE362" s="410">
        <v>0</v>
      </c>
      <c r="AF362" s="410">
        <v>0</v>
      </c>
      <c r="AG362" s="410">
        <v>0</v>
      </c>
      <c r="AH362" s="410">
        <v>0</v>
      </c>
      <c r="AI362" s="410">
        <v>0</v>
      </c>
      <c r="AJ362" s="410">
        <f t="shared" ref="AJ362:AJ369" si="390">ROUND(H362/100*3,2)</f>
        <v>85959.72</v>
      </c>
      <c r="AK362" s="410">
        <f t="shared" ref="AK362:AK369" si="391">ROUND(H362/100*1.5,2)</f>
        <v>42979.86</v>
      </c>
      <c r="AL362" s="410">
        <v>0</v>
      </c>
      <c r="AM362" s="446"/>
      <c r="AN362" s="446"/>
      <c r="AP362" s="486" t="e">
        <f t="shared" si="342"/>
        <v>#DIV/0!</v>
      </c>
      <c r="AQ362" s="486" t="e">
        <f t="shared" si="344"/>
        <v>#DIV/0!</v>
      </c>
      <c r="AR362" s="486" t="e">
        <f t="shared" si="345"/>
        <v>#DIV/0!</v>
      </c>
      <c r="AS362" s="486" t="e">
        <f t="shared" si="346"/>
        <v>#DIV/0!</v>
      </c>
      <c r="AT362" s="486" t="e">
        <f t="shared" si="347"/>
        <v>#DIV/0!</v>
      </c>
      <c r="AU362" s="486" t="e">
        <f t="shared" si="348"/>
        <v>#DIV/0!</v>
      </c>
      <c r="AV362" s="486" t="e">
        <f t="shared" si="349"/>
        <v>#DIV/0!</v>
      </c>
      <c r="AW362" s="486">
        <f t="shared" si="350"/>
        <v>3088.47</v>
      </c>
      <c r="AX362" s="486" t="e">
        <f t="shared" si="351"/>
        <v>#DIV/0!</v>
      </c>
      <c r="AY362" s="486" t="e">
        <f t="shared" si="352"/>
        <v>#DIV/0!</v>
      </c>
      <c r="AZ362" s="486" t="e">
        <f t="shared" si="353"/>
        <v>#DIV/0!</v>
      </c>
      <c r="BA362" s="486">
        <f t="shared" si="343"/>
        <v>0</v>
      </c>
      <c r="BB362" s="494">
        <v>5155.41</v>
      </c>
      <c r="BC362" s="494">
        <v>2070.12</v>
      </c>
      <c r="BD362" s="494">
        <v>848.92</v>
      </c>
      <c r="BE362" s="494">
        <v>819.73</v>
      </c>
      <c r="BF362" s="494">
        <v>611.5</v>
      </c>
      <c r="BG362" s="494">
        <v>1080.04</v>
      </c>
      <c r="BH362" s="494">
        <v>2671800.0099999998</v>
      </c>
      <c r="BI362" s="494">
        <f t="shared" si="376"/>
        <v>4607.6000000000004</v>
      </c>
      <c r="BJ362" s="494">
        <v>14289.54</v>
      </c>
      <c r="BK362" s="494">
        <v>3389.61</v>
      </c>
      <c r="BL362" s="494">
        <v>5995.76</v>
      </c>
      <c r="BM362" s="494">
        <v>548.62</v>
      </c>
      <c r="BN362" s="495" t="e">
        <f t="shared" si="354"/>
        <v>#DIV/0!</v>
      </c>
      <c r="BO362" s="495" t="e">
        <f t="shared" si="355"/>
        <v>#DIV/0!</v>
      </c>
      <c r="BP362" s="495" t="e">
        <f t="shared" si="356"/>
        <v>#DIV/0!</v>
      </c>
      <c r="BQ362" s="495" t="e">
        <f t="shared" si="357"/>
        <v>#DIV/0!</v>
      </c>
      <c r="BR362" s="495" t="e">
        <f t="shared" si="358"/>
        <v>#DIV/0!</v>
      </c>
      <c r="BS362" s="495" t="e">
        <f t="shared" si="359"/>
        <v>#DIV/0!</v>
      </c>
      <c r="BT362" s="495" t="e">
        <f t="shared" si="360"/>
        <v>#DIV/0!</v>
      </c>
      <c r="BU362" s="495" t="str">
        <f t="shared" si="361"/>
        <v xml:space="preserve"> </v>
      </c>
      <c r="BV362" s="495" t="e">
        <f t="shared" si="362"/>
        <v>#DIV/0!</v>
      </c>
      <c r="BW362" s="495" t="e">
        <f t="shared" si="363"/>
        <v>#DIV/0!</v>
      </c>
      <c r="BX362" s="495" t="e">
        <f t="shared" si="364"/>
        <v>#DIV/0!</v>
      </c>
      <c r="BY362" s="495" t="str">
        <f t="shared" si="365"/>
        <v xml:space="preserve"> </v>
      </c>
    </row>
    <row r="363" spans="1:77" s="28" customFormat="1" ht="9" customHeight="1">
      <c r="A363" s="406">
        <v>3</v>
      </c>
      <c r="B363" s="206" t="s">
        <v>624</v>
      </c>
      <c r="C363" s="376">
        <v>4019.9</v>
      </c>
      <c r="D363" s="376"/>
      <c r="E363" s="413" t="s">
        <v>1005</v>
      </c>
      <c r="F363" s="413"/>
      <c r="G363" s="413"/>
      <c r="H363" s="211">
        <v>4520904</v>
      </c>
      <c r="I363" s="407">
        <f t="shared" si="388"/>
        <v>0</v>
      </c>
      <c r="J363" s="217">
        <v>0</v>
      </c>
      <c r="K363" s="469">
        <v>0</v>
      </c>
      <c r="L363" s="217">
        <v>0</v>
      </c>
      <c r="M363" s="469">
        <v>0</v>
      </c>
      <c r="N363" s="217">
        <v>0</v>
      </c>
      <c r="O363" s="249">
        <v>0</v>
      </c>
      <c r="P363" s="407">
        <v>0</v>
      </c>
      <c r="Q363" s="249">
        <v>0</v>
      </c>
      <c r="R363" s="407">
        <v>0</v>
      </c>
      <c r="S363" s="249">
        <v>0</v>
      </c>
      <c r="T363" s="407">
        <v>0</v>
      </c>
      <c r="U363" s="130">
        <v>0</v>
      </c>
      <c r="V363" s="407">
        <v>0</v>
      </c>
      <c r="W363" s="410">
        <v>1356</v>
      </c>
      <c r="X363" s="407">
        <f t="shared" si="389"/>
        <v>4317463.32</v>
      </c>
      <c r="Y363" s="410">
        <v>0</v>
      </c>
      <c r="Z363" s="410">
        <v>0</v>
      </c>
      <c r="AA363" s="410">
        <v>0</v>
      </c>
      <c r="AB363" s="410">
        <v>0</v>
      </c>
      <c r="AC363" s="410">
        <v>0</v>
      </c>
      <c r="AD363" s="410">
        <v>0</v>
      </c>
      <c r="AE363" s="410">
        <v>0</v>
      </c>
      <c r="AF363" s="410">
        <v>0</v>
      </c>
      <c r="AG363" s="410">
        <v>0</v>
      </c>
      <c r="AH363" s="410">
        <v>0</v>
      </c>
      <c r="AI363" s="410">
        <v>0</v>
      </c>
      <c r="AJ363" s="410">
        <f t="shared" si="390"/>
        <v>135627.12</v>
      </c>
      <c r="AK363" s="410">
        <f t="shared" si="391"/>
        <v>67813.56</v>
      </c>
      <c r="AL363" s="410">
        <v>0</v>
      </c>
      <c r="AM363" s="446"/>
      <c r="AN363" s="446"/>
      <c r="AP363" s="486" t="e">
        <f t="shared" si="342"/>
        <v>#DIV/0!</v>
      </c>
      <c r="AQ363" s="486" t="e">
        <f t="shared" si="344"/>
        <v>#DIV/0!</v>
      </c>
      <c r="AR363" s="486" t="e">
        <f t="shared" si="345"/>
        <v>#DIV/0!</v>
      </c>
      <c r="AS363" s="486" t="e">
        <f t="shared" si="346"/>
        <v>#DIV/0!</v>
      </c>
      <c r="AT363" s="486" t="e">
        <f t="shared" si="347"/>
        <v>#DIV/0!</v>
      </c>
      <c r="AU363" s="486" t="e">
        <f t="shared" si="348"/>
        <v>#DIV/0!</v>
      </c>
      <c r="AV363" s="486" t="e">
        <f t="shared" si="349"/>
        <v>#DIV/0!</v>
      </c>
      <c r="AW363" s="486">
        <f t="shared" si="350"/>
        <v>3183.9700000000003</v>
      </c>
      <c r="AX363" s="486" t="e">
        <f t="shared" si="351"/>
        <v>#DIV/0!</v>
      </c>
      <c r="AY363" s="486" t="e">
        <f t="shared" si="352"/>
        <v>#DIV/0!</v>
      </c>
      <c r="AZ363" s="486" t="e">
        <f t="shared" si="353"/>
        <v>#DIV/0!</v>
      </c>
      <c r="BA363" s="486">
        <f t="shared" si="343"/>
        <v>0</v>
      </c>
      <c r="BB363" s="494">
        <v>5155.41</v>
      </c>
      <c r="BC363" s="494">
        <v>2070.12</v>
      </c>
      <c r="BD363" s="494">
        <v>848.92</v>
      </c>
      <c r="BE363" s="494">
        <v>819.73</v>
      </c>
      <c r="BF363" s="494">
        <v>611.5</v>
      </c>
      <c r="BG363" s="494">
        <v>1080.04</v>
      </c>
      <c r="BH363" s="494">
        <v>2671800.0099999998</v>
      </c>
      <c r="BI363" s="494">
        <f t="shared" si="376"/>
        <v>4607.6000000000004</v>
      </c>
      <c r="BJ363" s="494">
        <v>14289.54</v>
      </c>
      <c r="BK363" s="494">
        <v>3389.61</v>
      </c>
      <c r="BL363" s="494">
        <v>5995.76</v>
      </c>
      <c r="BM363" s="494">
        <v>548.62</v>
      </c>
      <c r="BN363" s="495" t="e">
        <f t="shared" si="354"/>
        <v>#DIV/0!</v>
      </c>
      <c r="BO363" s="495" t="e">
        <f t="shared" si="355"/>
        <v>#DIV/0!</v>
      </c>
      <c r="BP363" s="495" t="e">
        <f t="shared" si="356"/>
        <v>#DIV/0!</v>
      </c>
      <c r="BQ363" s="495" t="e">
        <f t="shared" si="357"/>
        <v>#DIV/0!</v>
      </c>
      <c r="BR363" s="495" t="e">
        <f t="shared" si="358"/>
        <v>#DIV/0!</v>
      </c>
      <c r="BS363" s="495" t="e">
        <f t="shared" si="359"/>
        <v>#DIV/0!</v>
      </c>
      <c r="BT363" s="495" t="e">
        <f t="shared" si="360"/>
        <v>#DIV/0!</v>
      </c>
      <c r="BU363" s="495" t="str">
        <f t="shared" si="361"/>
        <v xml:space="preserve"> </v>
      </c>
      <c r="BV363" s="495" t="e">
        <f t="shared" si="362"/>
        <v>#DIV/0!</v>
      </c>
      <c r="BW363" s="495" t="e">
        <f t="shared" si="363"/>
        <v>#DIV/0!</v>
      </c>
      <c r="BX363" s="495" t="e">
        <f t="shared" si="364"/>
        <v>#DIV/0!</v>
      </c>
      <c r="BY363" s="495" t="str">
        <f t="shared" si="365"/>
        <v xml:space="preserve"> </v>
      </c>
    </row>
    <row r="364" spans="1:77" s="28" customFormat="1" ht="9" customHeight="1">
      <c r="A364" s="406">
        <v>4</v>
      </c>
      <c r="B364" s="206" t="s">
        <v>625</v>
      </c>
      <c r="C364" s="376">
        <v>9829.9</v>
      </c>
      <c r="D364" s="376"/>
      <c r="E364" s="413" t="s">
        <v>1005</v>
      </c>
      <c r="F364" s="413"/>
      <c r="G364" s="413"/>
      <c r="H364" s="211">
        <v>5677802</v>
      </c>
      <c r="I364" s="407">
        <f t="shared" si="388"/>
        <v>0</v>
      </c>
      <c r="J364" s="217">
        <v>0</v>
      </c>
      <c r="K364" s="469">
        <v>0</v>
      </c>
      <c r="L364" s="217">
        <v>0</v>
      </c>
      <c r="M364" s="469">
        <v>0</v>
      </c>
      <c r="N364" s="217">
        <v>0</v>
      </c>
      <c r="O364" s="249">
        <v>0</v>
      </c>
      <c r="P364" s="407">
        <v>0</v>
      </c>
      <c r="Q364" s="249">
        <v>0</v>
      </c>
      <c r="R364" s="407">
        <v>0</v>
      </c>
      <c r="S364" s="249">
        <v>0</v>
      </c>
      <c r="T364" s="407">
        <v>0</v>
      </c>
      <c r="U364" s="130">
        <v>0</v>
      </c>
      <c r="V364" s="407">
        <v>0</v>
      </c>
      <c r="W364" s="410">
        <v>1703</v>
      </c>
      <c r="X364" s="407">
        <f t="shared" si="389"/>
        <v>5422300.9100000001</v>
      </c>
      <c r="Y364" s="410">
        <v>0</v>
      </c>
      <c r="Z364" s="410">
        <v>0</v>
      </c>
      <c r="AA364" s="410">
        <v>0</v>
      </c>
      <c r="AB364" s="410">
        <v>0</v>
      </c>
      <c r="AC364" s="410">
        <v>0</v>
      </c>
      <c r="AD364" s="410">
        <v>0</v>
      </c>
      <c r="AE364" s="410">
        <v>0</v>
      </c>
      <c r="AF364" s="410">
        <v>0</v>
      </c>
      <c r="AG364" s="410">
        <v>0</v>
      </c>
      <c r="AH364" s="410">
        <v>0</v>
      </c>
      <c r="AI364" s="410">
        <v>0</v>
      </c>
      <c r="AJ364" s="410">
        <f t="shared" si="390"/>
        <v>170334.06</v>
      </c>
      <c r="AK364" s="410">
        <f t="shared" si="391"/>
        <v>85167.03</v>
      </c>
      <c r="AL364" s="410">
        <v>0</v>
      </c>
      <c r="AM364" s="446"/>
      <c r="AN364" s="446"/>
      <c r="AP364" s="486" t="e">
        <f t="shared" si="342"/>
        <v>#DIV/0!</v>
      </c>
      <c r="AQ364" s="486" t="e">
        <f t="shared" si="344"/>
        <v>#DIV/0!</v>
      </c>
      <c r="AR364" s="486" t="e">
        <f t="shared" si="345"/>
        <v>#DIV/0!</v>
      </c>
      <c r="AS364" s="486" t="e">
        <f t="shared" si="346"/>
        <v>#DIV/0!</v>
      </c>
      <c r="AT364" s="486" t="e">
        <f t="shared" si="347"/>
        <v>#DIV/0!</v>
      </c>
      <c r="AU364" s="486" t="e">
        <f t="shared" si="348"/>
        <v>#DIV/0!</v>
      </c>
      <c r="AV364" s="486" t="e">
        <f t="shared" si="349"/>
        <v>#DIV/0!</v>
      </c>
      <c r="AW364" s="486">
        <f t="shared" si="350"/>
        <v>3183.9700000000003</v>
      </c>
      <c r="AX364" s="486" t="e">
        <f t="shared" si="351"/>
        <v>#DIV/0!</v>
      </c>
      <c r="AY364" s="486" t="e">
        <f t="shared" si="352"/>
        <v>#DIV/0!</v>
      </c>
      <c r="AZ364" s="486" t="e">
        <f t="shared" si="353"/>
        <v>#DIV/0!</v>
      </c>
      <c r="BA364" s="486">
        <f t="shared" si="343"/>
        <v>0</v>
      </c>
      <c r="BB364" s="494">
        <v>5155.41</v>
      </c>
      <c r="BC364" s="494">
        <v>2070.12</v>
      </c>
      <c r="BD364" s="494">
        <v>848.92</v>
      </c>
      <c r="BE364" s="494">
        <v>819.73</v>
      </c>
      <c r="BF364" s="494">
        <v>611.5</v>
      </c>
      <c r="BG364" s="494">
        <v>1080.04</v>
      </c>
      <c r="BH364" s="494">
        <v>2671800.0099999998</v>
      </c>
      <c r="BI364" s="494">
        <f t="shared" si="376"/>
        <v>4607.6000000000004</v>
      </c>
      <c r="BJ364" s="494">
        <v>14289.54</v>
      </c>
      <c r="BK364" s="494">
        <v>3389.61</v>
      </c>
      <c r="BL364" s="494">
        <v>5995.76</v>
      </c>
      <c r="BM364" s="494">
        <v>548.62</v>
      </c>
      <c r="BN364" s="495" t="e">
        <f t="shared" si="354"/>
        <v>#DIV/0!</v>
      </c>
      <c r="BO364" s="495" t="e">
        <f t="shared" si="355"/>
        <v>#DIV/0!</v>
      </c>
      <c r="BP364" s="495" t="e">
        <f t="shared" si="356"/>
        <v>#DIV/0!</v>
      </c>
      <c r="BQ364" s="495" t="e">
        <f t="shared" si="357"/>
        <v>#DIV/0!</v>
      </c>
      <c r="BR364" s="495" t="e">
        <f t="shared" si="358"/>
        <v>#DIV/0!</v>
      </c>
      <c r="BS364" s="495" t="e">
        <f t="shared" si="359"/>
        <v>#DIV/0!</v>
      </c>
      <c r="BT364" s="495" t="e">
        <f t="shared" si="360"/>
        <v>#DIV/0!</v>
      </c>
      <c r="BU364" s="495" t="str">
        <f t="shared" si="361"/>
        <v xml:space="preserve"> </v>
      </c>
      <c r="BV364" s="495" t="e">
        <f t="shared" si="362"/>
        <v>#DIV/0!</v>
      </c>
      <c r="BW364" s="495" t="e">
        <f t="shared" si="363"/>
        <v>#DIV/0!</v>
      </c>
      <c r="BX364" s="495" t="e">
        <f t="shared" si="364"/>
        <v>#DIV/0!</v>
      </c>
      <c r="BY364" s="495" t="str">
        <f t="shared" si="365"/>
        <v xml:space="preserve"> </v>
      </c>
    </row>
    <row r="365" spans="1:77" s="28" customFormat="1" ht="9" customHeight="1">
      <c r="A365" s="406">
        <v>5</v>
      </c>
      <c r="B365" s="206" t="s">
        <v>626</v>
      </c>
      <c r="C365" s="376">
        <v>11948.5</v>
      </c>
      <c r="D365" s="376"/>
      <c r="E365" s="413" t="s">
        <v>1005</v>
      </c>
      <c r="F365" s="413"/>
      <c r="G365" s="413"/>
      <c r="H365" s="211">
        <v>6988730.7999999998</v>
      </c>
      <c r="I365" s="407">
        <f t="shared" si="388"/>
        <v>0</v>
      </c>
      <c r="J365" s="217">
        <v>0</v>
      </c>
      <c r="K365" s="469">
        <v>0</v>
      </c>
      <c r="L365" s="217">
        <v>0</v>
      </c>
      <c r="M365" s="469">
        <v>0</v>
      </c>
      <c r="N365" s="217">
        <v>0</v>
      </c>
      <c r="O365" s="249">
        <v>0</v>
      </c>
      <c r="P365" s="407">
        <v>0</v>
      </c>
      <c r="Q365" s="249">
        <v>0</v>
      </c>
      <c r="R365" s="407">
        <v>0</v>
      </c>
      <c r="S365" s="249">
        <v>0</v>
      </c>
      <c r="T365" s="407">
        <v>0</v>
      </c>
      <c r="U365" s="130">
        <v>0</v>
      </c>
      <c r="V365" s="407">
        <v>0</v>
      </c>
      <c r="W365" s="410">
        <v>2096.1999999999998</v>
      </c>
      <c r="X365" s="407">
        <f t="shared" si="389"/>
        <v>6674237.9100000001</v>
      </c>
      <c r="Y365" s="410">
        <v>0</v>
      </c>
      <c r="Z365" s="410">
        <v>0</v>
      </c>
      <c r="AA365" s="410">
        <v>0</v>
      </c>
      <c r="AB365" s="410">
        <v>0</v>
      </c>
      <c r="AC365" s="410">
        <v>0</v>
      </c>
      <c r="AD365" s="410">
        <v>0</v>
      </c>
      <c r="AE365" s="410">
        <v>0</v>
      </c>
      <c r="AF365" s="410">
        <v>0</v>
      </c>
      <c r="AG365" s="410">
        <v>0</v>
      </c>
      <c r="AH365" s="410">
        <v>0</v>
      </c>
      <c r="AI365" s="410">
        <v>0</v>
      </c>
      <c r="AJ365" s="410">
        <f t="shared" si="390"/>
        <v>209661.92</v>
      </c>
      <c r="AK365" s="410">
        <f t="shared" si="391"/>
        <v>104830.96</v>
      </c>
      <c r="AL365" s="410">
        <v>0</v>
      </c>
      <c r="AM365" s="446"/>
      <c r="AN365" s="446"/>
      <c r="AP365" s="486" t="e">
        <f t="shared" si="342"/>
        <v>#DIV/0!</v>
      </c>
      <c r="AQ365" s="486" t="e">
        <f t="shared" si="344"/>
        <v>#DIV/0!</v>
      </c>
      <c r="AR365" s="486" t="e">
        <f t="shared" si="345"/>
        <v>#DIV/0!</v>
      </c>
      <c r="AS365" s="486" t="e">
        <f t="shared" si="346"/>
        <v>#DIV/0!</v>
      </c>
      <c r="AT365" s="486" t="e">
        <f t="shared" si="347"/>
        <v>#DIV/0!</v>
      </c>
      <c r="AU365" s="486" t="e">
        <f t="shared" si="348"/>
        <v>#DIV/0!</v>
      </c>
      <c r="AV365" s="486" t="e">
        <f t="shared" si="349"/>
        <v>#DIV/0!</v>
      </c>
      <c r="AW365" s="486">
        <f t="shared" si="350"/>
        <v>3183.9699980917853</v>
      </c>
      <c r="AX365" s="486" t="e">
        <f t="shared" si="351"/>
        <v>#DIV/0!</v>
      </c>
      <c r="AY365" s="486" t="e">
        <f t="shared" si="352"/>
        <v>#DIV/0!</v>
      </c>
      <c r="AZ365" s="486" t="e">
        <f t="shared" si="353"/>
        <v>#DIV/0!</v>
      </c>
      <c r="BA365" s="486">
        <f t="shared" si="343"/>
        <v>0</v>
      </c>
      <c r="BB365" s="494">
        <v>5155.41</v>
      </c>
      <c r="BC365" s="494">
        <v>2070.12</v>
      </c>
      <c r="BD365" s="494">
        <v>848.92</v>
      </c>
      <c r="BE365" s="494">
        <v>819.73</v>
      </c>
      <c r="BF365" s="494">
        <v>611.5</v>
      </c>
      <c r="BG365" s="494">
        <v>1080.04</v>
      </c>
      <c r="BH365" s="494">
        <v>2671800.0099999998</v>
      </c>
      <c r="BI365" s="494">
        <f t="shared" si="376"/>
        <v>4607.6000000000004</v>
      </c>
      <c r="BJ365" s="494">
        <v>14289.54</v>
      </c>
      <c r="BK365" s="494">
        <v>3389.61</v>
      </c>
      <c r="BL365" s="494">
        <v>5995.76</v>
      </c>
      <c r="BM365" s="494">
        <v>548.62</v>
      </c>
      <c r="BN365" s="495" t="e">
        <f t="shared" si="354"/>
        <v>#DIV/0!</v>
      </c>
      <c r="BO365" s="495" t="e">
        <f t="shared" si="355"/>
        <v>#DIV/0!</v>
      </c>
      <c r="BP365" s="495" t="e">
        <f t="shared" si="356"/>
        <v>#DIV/0!</v>
      </c>
      <c r="BQ365" s="495" t="e">
        <f t="shared" si="357"/>
        <v>#DIV/0!</v>
      </c>
      <c r="BR365" s="495" t="e">
        <f t="shared" si="358"/>
        <v>#DIV/0!</v>
      </c>
      <c r="BS365" s="495" t="e">
        <f t="shared" si="359"/>
        <v>#DIV/0!</v>
      </c>
      <c r="BT365" s="495" t="e">
        <f t="shared" si="360"/>
        <v>#DIV/0!</v>
      </c>
      <c r="BU365" s="495" t="str">
        <f t="shared" si="361"/>
        <v xml:space="preserve"> </v>
      </c>
      <c r="BV365" s="495" t="e">
        <f t="shared" si="362"/>
        <v>#DIV/0!</v>
      </c>
      <c r="BW365" s="495" t="e">
        <f t="shared" si="363"/>
        <v>#DIV/0!</v>
      </c>
      <c r="BX365" s="495" t="e">
        <f t="shared" si="364"/>
        <v>#DIV/0!</v>
      </c>
      <c r="BY365" s="495" t="str">
        <f t="shared" si="365"/>
        <v xml:space="preserve"> </v>
      </c>
    </row>
    <row r="366" spans="1:77" s="28" customFormat="1" ht="9" customHeight="1">
      <c r="A366" s="406">
        <v>6</v>
      </c>
      <c r="B366" s="206" t="s">
        <v>627</v>
      </c>
      <c r="C366" s="376">
        <v>3415</v>
      </c>
      <c r="D366" s="376"/>
      <c r="E366" s="413" t="s">
        <v>1005</v>
      </c>
      <c r="F366" s="413"/>
      <c r="G366" s="413"/>
      <c r="H366" s="211">
        <v>3450690</v>
      </c>
      <c r="I366" s="407">
        <f t="shared" si="388"/>
        <v>0</v>
      </c>
      <c r="J366" s="217">
        <v>0</v>
      </c>
      <c r="K366" s="469">
        <v>0</v>
      </c>
      <c r="L366" s="217">
        <v>0</v>
      </c>
      <c r="M366" s="469">
        <v>0</v>
      </c>
      <c r="N366" s="217">
        <v>0</v>
      </c>
      <c r="O366" s="249">
        <v>0</v>
      </c>
      <c r="P366" s="407">
        <v>0</v>
      </c>
      <c r="Q366" s="249">
        <v>0</v>
      </c>
      <c r="R366" s="407">
        <v>0</v>
      </c>
      <c r="S366" s="249">
        <v>0</v>
      </c>
      <c r="T366" s="407">
        <v>0</v>
      </c>
      <c r="U366" s="130">
        <v>0</v>
      </c>
      <c r="V366" s="407">
        <v>0</v>
      </c>
      <c r="W366" s="410">
        <v>1035</v>
      </c>
      <c r="X366" s="407">
        <f t="shared" si="389"/>
        <v>3295408.95</v>
      </c>
      <c r="Y366" s="410">
        <v>0</v>
      </c>
      <c r="Z366" s="410">
        <v>0</v>
      </c>
      <c r="AA366" s="410">
        <v>0</v>
      </c>
      <c r="AB366" s="410">
        <v>0</v>
      </c>
      <c r="AC366" s="410">
        <v>0</v>
      </c>
      <c r="AD366" s="410">
        <v>0</v>
      </c>
      <c r="AE366" s="410">
        <v>0</v>
      </c>
      <c r="AF366" s="410">
        <v>0</v>
      </c>
      <c r="AG366" s="410">
        <v>0</v>
      </c>
      <c r="AH366" s="410">
        <v>0</v>
      </c>
      <c r="AI366" s="410">
        <v>0</v>
      </c>
      <c r="AJ366" s="410">
        <f t="shared" si="390"/>
        <v>103520.7</v>
      </c>
      <c r="AK366" s="410">
        <f t="shared" si="391"/>
        <v>51760.35</v>
      </c>
      <c r="AL366" s="410">
        <v>0</v>
      </c>
      <c r="AM366" s="446"/>
      <c r="AN366" s="446"/>
      <c r="AP366" s="486" t="e">
        <f t="shared" si="342"/>
        <v>#DIV/0!</v>
      </c>
      <c r="AQ366" s="486" t="e">
        <f t="shared" si="344"/>
        <v>#DIV/0!</v>
      </c>
      <c r="AR366" s="486" t="e">
        <f t="shared" si="345"/>
        <v>#DIV/0!</v>
      </c>
      <c r="AS366" s="486" t="e">
        <f t="shared" si="346"/>
        <v>#DIV/0!</v>
      </c>
      <c r="AT366" s="486" t="e">
        <f t="shared" si="347"/>
        <v>#DIV/0!</v>
      </c>
      <c r="AU366" s="486" t="e">
        <f t="shared" si="348"/>
        <v>#DIV/0!</v>
      </c>
      <c r="AV366" s="486" t="e">
        <f t="shared" si="349"/>
        <v>#DIV/0!</v>
      </c>
      <c r="AW366" s="486">
        <f t="shared" si="350"/>
        <v>3183.9700000000003</v>
      </c>
      <c r="AX366" s="486" t="e">
        <f t="shared" si="351"/>
        <v>#DIV/0!</v>
      </c>
      <c r="AY366" s="486" t="e">
        <f t="shared" si="352"/>
        <v>#DIV/0!</v>
      </c>
      <c r="AZ366" s="486" t="e">
        <f t="shared" si="353"/>
        <v>#DIV/0!</v>
      </c>
      <c r="BA366" s="486">
        <f t="shared" si="343"/>
        <v>0</v>
      </c>
      <c r="BB366" s="494">
        <v>5155.41</v>
      </c>
      <c r="BC366" s="494">
        <v>2070.12</v>
      </c>
      <c r="BD366" s="494">
        <v>848.92</v>
      </c>
      <c r="BE366" s="494">
        <v>819.73</v>
      </c>
      <c r="BF366" s="494">
        <v>611.5</v>
      </c>
      <c r="BG366" s="494">
        <v>1080.04</v>
      </c>
      <c r="BH366" s="494">
        <v>2671800.0099999998</v>
      </c>
      <c r="BI366" s="494">
        <f t="shared" si="376"/>
        <v>4607.6000000000004</v>
      </c>
      <c r="BJ366" s="494">
        <v>14289.54</v>
      </c>
      <c r="BK366" s="494">
        <v>3389.61</v>
      </c>
      <c r="BL366" s="494">
        <v>5995.76</v>
      </c>
      <c r="BM366" s="494">
        <v>548.62</v>
      </c>
      <c r="BN366" s="495" t="e">
        <f t="shared" si="354"/>
        <v>#DIV/0!</v>
      </c>
      <c r="BO366" s="495" t="e">
        <f t="shared" si="355"/>
        <v>#DIV/0!</v>
      </c>
      <c r="BP366" s="495" t="e">
        <f t="shared" si="356"/>
        <v>#DIV/0!</v>
      </c>
      <c r="BQ366" s="495" t="e">
        <f t="shared" si="357"/>
        <v>#DIV/0!</v>
      </c>
      <c r="BR366" s="495" t="e">
        <f t="shared" si="358"/>
        <v>#DIV/0!</v>
      </c>
      <c r="BS366" s="495" t="e">
        <f t="shared" si="359"/>
        <v>#DIV/0!</v>
      </c>
      <c r="BT366" s="495" t="e">
        <f t="shared" si="360"/>
        <v>#DIV/0!</v>
      </c>
      <c r="BU366" s="495" t="str">
        <f t="shared" si="361"/>
        <v xml:space="preserve"> </v>
      </c>
      <c r="BV366" s="495" t="e">
        <f t="shared" si="362"/>
        <v>#DIV/0!</v>
      </c>
      <c r="BW366" s="495" t="e">
        <f t="shared" si="363"/>
        <v>#DIV/0!</v>
      </c>
      <c r="BX366" s="495" t="e">
        <f t="shared" si="364"/>
        <v>#DIV/0!</v>
      </c>
      <c r="BY366" s="495" t="str">
        <f t="shared" si="365"/>
        <v xml:space="preserve"> </v>
      </c>
    </row>
    <row r="367" spans="1:77" s="28" customFormat="1" ht="9" customHeight="1">
      <c r="A367" s="406">
        <v>7</v>
      </c>
      <c r="B367" s="206" t="s">
        <v>628</v>
      </c>
      <c r="C367" s="376">
        <v>2028</v>
      </c>
      <c r="D367" s="376"/>
      <c r="E367" s="413" t="s">
        <v>1005</v>
      </c>
      <c r="F367" s="413"/>
      <c r="G367" s="413"/>
      <c r="H367" s="211">
        <v>2077082</v>
      </c>
      <c r="I367" s="407">
        <f t="shared" si="388"/>
        <v>0</v>
      </c>
      <c r="J367" s="217">
        <v>0</v>
      </c>
      <c r="K367" s="469">
        <v>0</v>
      </c>
      <c r="L367" s="217">
        <v>0</v>
      </c>
      <c r="M367" s="469">
        <v>0</v>
      </c>
      <c r="N367" s="217">
        <v>0</v>
      </c>
      <c r="O367" s="249">
        <v>0</v>
      </c>
      <c r="P367" s="407">
        <v>0</v>
      </c>
      <c r="Q367" s="249">
        <v>0</v>
      </c>
      <c r="R367" s="407">
        <v>0</v>
      </c>
      <c r="S367" s="249">
        <v>0</v>
      </c>
      <c r="T367" s="407">
        <v>0</v>
      </c>
      <c r="U367" s="130">
        <v>0</v>
      </c>
      <c r="V367" s="407">
        <v>0</v>
      </c>
      <c r="W367" s="410">
        <v>623</v>
      </c>
      <c r="X367" s="407">
        <f t="shared" si="389"/>
        <v>1983613.31</v>
      </c>
      <c r="Y367" s="410">
        <v>0</v>
      </c>
      <c r="Z367" s="410">
        <v>0</v>
      </c>
      <c r="AA367" s="410">
        <v>0</v>
      </c>
      <c r="AB367" s="410">
        <v>0</v>
      </c>
      <c r="AC367" s="410">
        <v>0</v>
      </c>
      <c r="AD367" s="410">
        <v>0</v>
      </c>
      <c r="AE367" s="410">
        <v>0</v>
      </c>
      <c r="AF367" s="410">
        <v>0</v>
      </c>
      <c r="AG367" s="410">
        <v>0</v>
      </c>
      <c r="AH367" s="410">
        <v>0</v>
      </c>
      <c r="AI367" s="410">
        <v>0</v>
      </c>
      <c r="AJ367" s="410">
        <f t="shared" si="390"/>
        <v>62312.46</v>
      </c>
      <c r="AK367" s="410">
        <f t="shared" si="391"/>
        <v>31156.23</v>
      </c>
      <c r="AL367" s="410">
        <v>0</v>
      </c>
      <c r="AM367" s="446"/>
      <c r="AN367" s="446"/>
      <c r="AP367" s="486" t="e">
        <f t="shared" si="342"/>
        <v>#DIV/0!</v>
      </c>
      <c r="AQ367" s="486" t="e">
        <f t="shared" si="344"/>
        <v>#DIV/0!</v>
      </c>
      <c r="AR367" s="486" t="e">
        <f t="shared" si="345"/>
        <v>#DIV/0!</v>
      </c>
      <c r="AS367" s="486" t="e">
        <f t="shared" si="346"/>
        <v>#DIV/0!</v>
      </c>
      <c r="AT367" s="486" t="e">
        <f t="shared" si="347"/>
        <v>#DIV/0!</v>
      </c>
      <c r="AU367" s="486" t="e">
        <f t="shared" si="348"/>
        <v>#DIV/0!</v>
      </c>
      <c r="AV367" s="486" t="e">
        <f t="shared" si="349"/>
        <v>#DIV/0!</v>
      </c>
      <c r="AW367" s="486">
        <f t="shared" si="350"/>
        <v>3183.9700000000003</v>
      </c>
      <c r="AX367" s="486" t="e">
        <f t="shared" si="351"/>
        <v>#DIV/0!</v>
      </c>
      <c r="AY367" s="486" t="e">
        <f t="shared" si="352"/>
        <v>#DIV/0!</v>
      </c>
      <c r="AZ367" s="486" t="e">
        <f t="shared" si="353"/>
        <v>#DIV/0!</v>
      </c>
      <c r="BA367" s="486">
        <f t="shared" si="343"/>
        <v>0</v>
      </c>
      <c r="BB367" s="494">
        <v>5155.41</v>
      </c>
      <c r="BC367" s="494">
        <v>2070.12</v>
      </c>
      <c r="BD367" s="494">
        <v>848.92</v>
      </c>
      <c r="BE367" s="494">
        <v>819.73</v>
      </c>
      <c r="BF367" s="494">
        <v>611.5</v>
      </c>
      <c r="BG367" s="494">
        <v>1080.04</v>
      </c>
      <c r="BH367" s="494">
        <v>2671800.0099999998</v>
      </c>
      <c r="BI367" s="494">
        <f t="shared" si="376"/>
        <v>4607.6000000000004</v>
      </c>
      <c r="BJ367" s="494">
        <v>14289.54</v>
      </c>
      <c r="BK367" s="494">
        <v>3389.61</v>
      </c>
      <c r="BL367" s="494">
        <v>5995.76</v>
      </c>
      <c r="BM367" s="494">
        <v>548.62</v>
      </c>
      <c r="BN367" s="495" t="e">
        <f t="shared" si="354"/>
        <v>#DIV/0!</v>
      </c>
      <c r="BO367" s="495" t="e">
        <f t="shared" si="355"/>
        <v>#DIV/0!</v>
      </c>
      <c r="BP367" s="495" t="e">
        <f t="shared" si="356"/>
        <v>#DIV/0!</v>
      </c>
      <c r="BQ367" s="495" t="e">
        <f t="shared" si="357"/>
        <v>#DIV/0!</v>
      </c>
      <c r="BR367" s="495" t="e">
        <f t="shared" si="358"/>
        <v>#DIV/0!</v>
      </c>
      <c r="BS367" s="495" t="e">
        <f t="shared" si="359"/>
        <v>#DIV/0!</v>
      </c>
      <c r="BT367" s="495" t="e">
        <f t="shared" si="360"/>
        <v>#DIV/0!</v>
      </c>
      <c r="BU367" s="495" t="str">
        <f t="shared" si="361"/>
        <v xml:space="preserve"> </v>
      </c>
      <c r="BV367" s="495" t="e">
        <f t="shared" si="362"/>
        <v>#DIV/0!</v>
      </c>
      <c r="BW367" s="495" t="e">
        <f t="shared" si="363"/>
        <v>#DIV/0!</v>
      </c>
      <c r="BX367" s="495" t="e">
        <f t="shared" si="364"/>
        <v>#DIV/0!</v>
      </c>
      <c r="BY367" s="495" t="str">
        <f t="shared" si="365"/>
        <v xml:space="preserve"> </v>
      </c>
    </row>
    <row r="368" spans="1:77" s="28" customFormat="1" ht="9" customHeight="1">
      <c r="A368" s="406">
        <v>8</v>
      </c>
      <c r="B368" s="206" t="s">
        <v>629</v>
      </c>
      <c r="C368" s="376">
        <v>3393</v>
      </c>
      <c r="D368" s="376"/>
      <c r="E368" s="413" t="s">
        <v>1005</v>
      </c>
      <c r="F368" s="413"/>
      <c r="G368" s="413"/>
      <c r="H368" s="211">
        <v>3540708</v>
      </c>
      <c r="I368" s="407">
        <f t="shared" si="388"/>
        <v>0</v>
      </c>
      <c r="J368" s="217">
        <v>0</v>
      </c>
      <c r="K368" s="469">
        <v>0</v>
      </c>
      <c r="L368" s="217">
        <v>0</v>
      </c>
      <c r="M368" s="469">
        <v>0</v>
      </c>
      <c r="N368" s="217">
        <v>0</v>
      </c>
      <c r="O368" s="249">
        <v>0</v>
      </c>
      <c r="P368" s="407">
        <v>0</v>
      </c>
      <c r="Q368" s="249">
        <v>0</v>
      </c>
      <c r="R368" s="407">
        <v>0</v>
      </c>
      <c r="S368" s="249">
        <v>0</v>
      </c>
      <c r="T368" s="407">
        <v>0</v>
      </c>
      <c r="U368" s="130">
        <v>0</v>
      </c>
      <c r="V368" s="407">
        <v>0</v>
      </c>
      <c r="W368" s="410">
        <v>1062</v>
      </c>
      <c r="X368" s="407">
        <f t="shared" si="389"/>
        <v>3381376.14</v>
      </c>
      <c r="Y368" s="410">
        <v>0</v>
      </c>
      <c r="Z368" s="410">
        <v>0</v>
      </c>
      <c r="AA368" s="410">
        <v>0</v>
      </c>
      <c r="AB368" s="410">
        <v>0</v>
      </c>
      <c r="AC368" s="410">
        <v>0</v>
      </c>
      <c r="AD368" s="410">
        <v>0</v>
      </c>
      <c r="AE368" s="410">
        <v>0</v>
      </c>
      <c r="AF368" s="410">
        <v>0</v>
      </c>
      <c r="AG368" s="410">
        <v>0</v>
      </c>
      <c r="AH368" s="410">
        <v>0</v>
      </c>
      <c r="AI368" s="410">
        <v>0</v>
      </c>
      <c r="AJ368" s="410">
        <f t="shared" si="390"/>
        <v>106221.24</v>
      </c>
      <c r="AK368" s="410">
        <f t="shared" si="391"/>
        <v>53110.62</v>
      </c>
      <c r="AL368" s="410">
        <v>0</v>
      </c>
      <c r="AM368" s="446"/>
      <c r="AN368" s="446"/>
      <c r="AP368" s="486" t="e">
        <f t="shared" si="342"/>
        <v>#DIV/0!</v>
      </c>
      <c r="AQ368" s="486" t="e">
        <f t="shared" si="344"/>
        <v>#DIV/0!</v>
      </c>
      <c r="AR368" s="486" t="e">
        <f t="shared" si="345"/>
        <v>#DIV/0!</v>
      </c>
      <c r="AS368" s="486" t="e">
        <f t="shared" si="346"/>
        <v>#DIV/0!</v>
      </c>
      <c r="AT368" s="486" t="e">
        <f t="shared" si="347"/>
        <v>#DIV/0!</v>
      </c>
      <c r="AU368" s="486" t="e">
        <f t="shared" si="348"/>
        <v>#DIV/0!</v>
      </c>
      <c r="AV368" s="486" t="e">
        <f t="shared" si="349"/>
        <v>#DIV/0!</v>
      </c>
      <c r="AW368" s="486">
        <f t="shared" si="350"/>
        <v>3183.9700000000003</v>
      </c>
      <c r="AX368" s="486" t="e">
        <f t="shared" si="351"/>
        <v>#DIV/0!</v>
      </c>
      <c r="AY368" s="486" t="e">
        <f t="shared" si="352"/>
        <v>#DIV/0!</v>
      </c>
      <c r="AZ368" s="486" t="e">
        <f t="shared" si="353"/>
        <v>#DIV/0!</v>
      </c>
      <c r="BA368" s="486">
        <f t="shared" si="343"/>
        <v>0</v>
      </c>
      <c r="BB368" s="494">
        <v>5155.41</v>
      </c>
      <c r="BC368" s="494">
        <v>2070.12</v>
      </c>
      <c r="BD368" s="494">
        <v>848.92</v>
      </c>
      <c r="BE368" s="494">
        <v>819.73</v>
      </c>
      <c r="BF368" s="494">
        <v>611.5</v>
      </c>
      <c r="BG368" s="494">
        <v>1080.04</v>
      </c>
      <c r="BH368" s="494">
        <v>2671800.0099999998</v>
      </c>
      <c r="BI368" s="494">
        <f t="shared" si="376"/>
        <v>4607.6000000000004</v>
      </c>
      <c r="BJ368" s="494">
        <v>14289.54</v>
      </c>
      <c r="BK368" s="494">
        <v>3389.61</v>
      </c>
      <c r="BL368" s="494">
        <v>5995.76</v>
      </c>
      <c r="BM368" s="494">
        <v>548.62</v>
      </c>
      <c r="BN368" s="495" t="e">
        <f t="shared" si="354"/>
        <v>#DIV/0!</v>
      </c>
      <c r="BO368" s="495" t="e">
        <f t="shared" si="355"/>
        <v>#DIV/0!</v>
      </c>
      <c r="BP368" s="495" t="e">
        <f t="shared" si="356"/>
        <v>#DIV/0!</v>
      </c>
      <c r="BQ368" s="495" t="e">
        <f t="shared" si="357"/>
        <v>#DIV/0!</v>
      </c>
      <c r="BR368" s="495" t="e">
        <f t="shared" si="358"/>
        <v>#DIV/0!</v>
      </c>
      <c r="BS368" s="495" t="e">
        <f t="shared" si="359"/>
        <v>#DIV/0!</v>
      </c>
      <c r="BT368" s="495" t="e">
        <f t="shared" si="360"/>
        <v>#DIV/0!</v>
      </c>
      <c r="BU368" s="495" t="str">
        <f t="shared" si="361"/>
        <v xml:space="preserve"> </v>
      </c>
      <c r="BV368" s="495" t="e">
        <f t="shared" si="362"/>
        <v>#DIV/0!</v>
      </c>
      <c r="BW368" s="495" t="e">
        <f t="shared" si="363"/>
        <v>#DIV/0!</v>
      </c>
      <c r="BX368" s="495" t="e">
        <f t="shared" si="364"/>
        <v>#DIV/0!</v>
      </c>
      <c r="BY368" s="495" t="str">
        <f t="shared" si="365"/>
        <v xml:space="preserve"> </v>
      </c>
    </row>
    <row r="369" spans="1:77" s="28" customFormat="1" ht="9" customHeight="1">
      <c r="A369" s="406">
        <v>9</v>
      </c>
      <c r="B369" s="206" t="s">
        <v>630</v>
      </c>
      <c r="C369" s="376">
        <v>3576.9</v>
      </c>
      <c r="D369" s="376"/>
      <c r="E369" s="413" t="s">
        <v>1005</v>
      </c>
      <c r="F369" s="413"/>
      <c r="G369" s="413"/>
      <c r="H369" s="211">
        <v>3337334</v>
      </c>
      <c r="I369" s="407">
        <f t="shared" si="388"/>
        <v>0</v>
      </c>
      <c r="J369" s="217">
        <v>0</v>
      </c>
      <c r="K369" s="469">
        <v>0</v>
      </c>
      <c r="L369" s="217">
        <v>0</v>
      </c>
      <c r="M369" s="469">
        <v>0</v>
      </c>
      <c r="N369" s="217">
        <v>0</v>
      </c>
      <c r="O369" s="249">
        <v>0</v>
      </c>
      <c r="P369" s="407">
        <v>0</v>
      </c>
      <c r="Q369" s="249">
        <v>0</v>
      </c>
      <c r="R369" s="407">
        <v>0</v>
      </c>
      <c r="S369" s="249">
        <v>0</v>
      </c>
      <c r="T369" s="407">
        <v>0</v>
      </c>
      <c r="U369" s="130">
        <v>0</v>
      </c>
      <c r="V369" s="407">
        <v>0</v>
      </c>
      <c r="W369" s="410">
        <v>1001</v>
      </c>
      <c r="X369" s="407">
        <f t="shared" si="389"/>
        <v>3187153.97</v>
      </c>
      <c r="Y369" s="410">
        <v>0</v>
      </c>
      <c r="Z369" s="410">
        <v>0</v>
      </c>
      <c r="AA369" s="410">
        <v>0</v>
      </c>
      <c r="AB369" s="410">
        <v>0</v>
      </c>
      <c r="AC369" s="410">
        <v>0</v>
      </c>
      <c r="AD369" s="410">
        <v>0</v>
      </c>
      <c r="AE369" s="410">
        <v>0</v>
      </c>
      <c r="AF369" s="410">
        <v>0</v>
      </c>
      <c r="AG369" s="410">
        <v>0</v>
      </c>
      <c r="AH369" s="410">
        <v>0</v>
      </c>
      <c r="AI369" s="410">
        <v>0</v>
      </c>
      <c r="AJ369" s="410">
        <f t="shared" si="390"/>
        <v>100120.02</v>
      </c>
      <c r="AK369" s="410">
        <f t="shared" si="391"/>
        <v>50060.01</v>
      </c>
      <c r="AL369" s="410">
        <v>0</v>
      </c>
      <c r="AM369" s="446"/>
      <c r="AN369" s="446"/>
      <c r="AP369" s="486" t="e">
        <f t="shared" si="342"/>
        <v>#DIV/0!</v>
      </c>
      <c r="AQ369" s="486" t="e">
        <f t="shared" si="344"/>
        <v>#DIV/0!</v>
      </c>
      <c r="AR369" s="486" t="e">
        <f t="shared" si="345"/>
        <v>#DIV/0!</v>
      </c>
      <c r="AS369" s="486" t="e">
        <f t="shared" si="346"/>
        <v>#DIV/0!</v>
      </c>
      <c r="AT369" s="486" t="e">
        <f t="shared" si="347"/>
        <v>#DIV/0!</v>
      </c>
      <c r="AU369" s="486" t="e">
        <f t="shared" si="348"/>
        <v>#DIV/0!</v>
      </c>
      <c r="AV369" s="486" t="e">
        <f t="shared" si="349"/>
        <v>#DIV/0!</v>
      </c>
      <c r="AW369" s="486">
        <f t="shared" si="350"/>
        <v>3183.9700000000003</v>
      </c>
      <c r="AX369" s="486" t="e">
        <f t="shared" si="351"/>
        <v>#DIV/0!</v>
      </c>
      <c r="AY369" s="486" t="e">
        <f t="shared" si="352"/>
        <v>#DIV/0!</v>
      </c>
      <c r="AZ369" s="486" t="e">
        <f t="shared" si="353"/>
        <v>#DIV/0!</v>
      </c>
      <c r="BA369" s="486">
        <f t="shared" si="343"/>
        <v>0</v>
      </c>
      <c r="BB369" s="494">
        <v>5155.41</v>
      </c>
      <c r="BC369" s="494">
        <v>2070.12</v>
      </c>
      <c r="BD369" s="494">
        <v>848.92</v>
      </c>
      <c r="BE369" s="494">
        <v>819.73</v>
      </c>
      <c r="BF369" s="494">
        <v>611.5</v>
      </c>
      <c r="BG369" s="494">
        <v>1080.04</v>
      </c>
      <c r="BH369" s="494">
        <v>2671800.0099999998</v>
      </c>
      <c r="BI369" s="494">
        <f t="shared" si="376"/>
        <v>4607.6000000000004</v>
      </c>
      <c r="BJ369" s="494">
        <v>14289.54</v>
      </c>
      <c r="BK369" s="494">
        <v>3389.61</v>
      </c>
      <c r="BL369" s="494">
        <v>5995.76</v>
      </c>
      <c r="BM369" s="494">
        <v>548.62</v>
      </c>
      <c r="BN369" s="495" t="e">
        <f t="shared" si="354"/>
        <v>#DIV/0!</v>
      </c>
      <c r="BO369" s="495" t="e">
        <f t="shared" si="355"/>
        <v>#DIV/0!</v>
      </c>
      <c r="BP369" s="495" t="e">
        <f t="shared" si="356"/>
        <v>#DIV/0!</v>
      </c>
      <c r="BQ369" s="495" t="e">
        <f t="shared" si="357"/>
        <v>#DIV/0!</v>
      </c>
      <c r="BR369" s="495" t="e">
        <f t="shared" si="358"/>
        <v>#DIV/0!</v>
      </c>
      <c r="BS369" s="495" t="e">
        <f t="shared" si="359"/>
        <v>#DIV/0!</v>
      </c>
      <c r="BT369" s="495" t="e">
        <f t="shared" si="360"/>
        <v>#DIV/0!</v>
      </c>
      <c r="BU369" s="495" t="str">
        <f t="shared" si="361"/>
        <v xml:space="preserve"> </v>
      </c>
      <c r="BV369" s="495" t="e">
        <f t="shared" si="362"/>
        <v>#DIV/0!</v>
      </c>
      <c r="BW369" s="495" t="e">
        <f t="shared" si="363"/>
        <v>#DIV/0!</v>
      </c>
      <c r="BX369" s="495" t="e">
        <f t="shared" si="364"/>
        <v>#DIV/0!</v>
      </c>
      <c r="BY369" s="495" t="str">
        <f t="shared" si="365"/>
        <v xml:space="preserve"> </v>
      </c>
    </row>
    <row r="370" spans="1:77" s="28" customFormat="1" ht="9" customHeight="1">
      <c r="A370" s="406">
        <v>10</v>
      </c>
      <c r="B370" s="206" t="s">
        <v>631</v>
      </c>
      <c r="C370" s="376">
        <v>3222.6</v>
      </c>
      <c r="D370" s="376"/>
      <c r="E370" s="413" t="s">
        <v>1005</v>
      </c>
      <c r="F370" s="413"/>
      <c r="G370" s="413"/>
      <c r="H370" s="211">
        <v>2770554</v>
      </c>
      <c r="I370" s="407">
        <f t="shared" ref="I370:I433" si="392">J370+L370+N370+P370+R370+T370</f>
        <v>0</v>
      </c>
      <c r="J370" s="217">
        <v>0</v>
      </c>
      <c r="K370" s="469">
        <v>0</v>
      </c>
      <c r="L370" s="217">
        <v>0</v>
      </c>
      <c r="M370" s="469">
        <v>0</v>
      </c>
      <c r="N370" s="217">
        <v>0</v>
      </c>
      <c r="O370" s="249">
        <v>0</v>
      </c>
      <c r="P370" s="407">
        <v>0</v>
      </c>
      <c r="Q370" s="249">
        <v>0</v>
      </c>
      <c r="R370" s="407">
        <v>0</v>
      </c>
      <c r="S370" s="249">
        <v>0</v>
      </c>
      <c r="T370" s="407">
        <v>0</v>
      </c>
      <c r="U370" s="130">
        <v>0</v>
      </c>
      <c r="V370" s="407">
        <v>0</v>
      </c>
      <c r="W370" s="410">
        <v>831</v>
      </c>
      <c r="X370" s="407">
        <f t="shared" ref="X370:X433" si="393">ROUND(H370/100*95.5,2)</f>
        <v>2645879.0699999998</v>
      </c>
      <c r="Y370" s="410">
        <v>0</v>
      </c>
      <c r="Z370" s="410">
        <v>0</v>
      </c>
      <c r="AA370" s="410">
        <v>0</v>
      </c>
      <c r="AB370" s="410">
        <v>0</v>
      </c>
      <c r="AC370" s="410">
        <v>0</v>
      </c>
      <c r="AD370" s="410">
        <v>0</v>
      </c>
      <c r="AE370" s="410">
        <v>0</v>
      </c>
      <c r="AF370" s="410">
        <v>0</v>
      </c>
      <c r="AG370" s="410">
        <v>0</v>
      </c>
      <c r="AH370" s="410">
        <v>0</v>
      </c>
      <c r="AI370" s="410">
        <v>0</v>
      </c>
      <c r="AJ370" s="410">
        <f t="shared" ref="AJ370:AJ433" si="394">ROUND(H370/100*3,2)</f>
        <v>83116.62</v>
      </c>
      <c r="AK370" s="410">
        <f t="shared" ref="AK370:AK433" si="395">ROUND(H370/100*1.5,2)</f>
        <v>41558.31</v>
      </c>
      <c r="AL370" s="410">
        <v>0</v>
      </c>
      <c r="AM370" s="446"/>
      <c r="AN370" s="446"/>
      <c r="AP370" s="486" t="e">
        <f t="shared" si="342"/>
        <v>#DIV/0!</v>
      </c>
      <c r="AQ370" s="486" t="e">
        <f t="shared" si="344"/>
        <v>#DIV/0!</v>
      </c>
      <c r="AR370" s="486" t="e">
        <f t="shared" si="345"/>
        <v>#DIV/0!</v>
      </c>
      <c r="AS370" s="486" t="e">
        <f t="shared" si="346"/>
        <v>#DIV/0!</v>
      </c>
      <c r="AT370" s="486" t="e">
        <f t="shared" si="347"/>
        <v>#DIV/0!</v>
      </c>
      <c r="AU370" s="486" t="e">
        <f t="shared" si="348"/>
        <v>#DIV/0!</v>
      </c>
      <c r="AV370" s="486" t="e">
        <f t="shared" si="349"/>
        <v>#DIV/0!</v>
      </c>
      <c r="AW370" s="486">
        <f t="shared" si="350"/>
        <v>3183.97</v>
      </c>
      <c r="AX370" s="486" t="e">
        <f t="shared" si="351"/>
        <v>#DIV/0!</v>
      </c>
      <c r="AY370" s="486" t="e">
        <f t="shared" si="352"/>
        <v>#DIV/0!</v>
      </c>
      <c r="AZ370" s="486" t="e">
        <f t="shared" si="353"/>
        <v>#DIV/0!</v>
      </c>
      <c r="BA370" s="486">
        <f t="shared" si="343"/>
        <v>0</v>
      </c>
      <c r="BB370" s="494">
        <v>5155.41</v>
      </c>
      <c r="BC370" s="494">
        <v>2070.12</v>
      </c>
      <c r="BD370" s="494">
        <v>848.92</v>
      </c>
      <c r="BE370" s="494">
        <v>819.73</v>
      </c>
      <c r="BF370" s="494">
        <v>611.5</v>
      </c>
      <c r="BG370" s="494">
        <v>1080.04</v>
      </c>
      <c r="BH370" s="494">
        <v>2671800.0099999998</v>
      </c>
      <c r="BI370" s="494">
        <f t="shared" si="376"/>
        <v>4607.6000000000004</v>
      </c>
      <c r="BJ370" s="494">
        <v>14289.54</v>
      </c>
      <c r="BK370" s="494">
        <v>3389.61</v>
      </c>
      <c r="BL370" s="494">
        <v>5995.76</v>
      </c>
      <c r="BM370" s="494">
        <v>548.62</v>
      </c>
      <c r="BN370" s="495" t="e">
        <f t="shared" si="354"/>
        <v>#DIV/0!</v>
      </c>
      <c r="BO370" s="495" t="e">
        <f t="shared" si="355"/>
        <v>#DIV/0!</v>
      </c>
      <c r="BP370" s="495" t="e">
        <f t="shared" si="356"/>
        <v>#DIV/0!</v>
      </c>
      <c r="BQ370" s="495" t="e">
        <f t="shared" si="357"/>
        <v>#DIV/0!</v>
      </c>
      <c r="BR370" s="495" t="e">
        <f t="shared" si="358"/>
        <v>#DIV/0!</v>
      </c>
      <c r="BS370" s="495" t="e">
        <f t="shared" si="359"/>
        <v>#DIV/0!</v>
      </c>
      <c r="BT370" s="495" t="e">
        <f t="shared" si="360"/>
        <v>#DIV/0!</v>
      </c>
      <c r="BU370" s="495" t="str">
        <f t="shared" si="361"/>
        <v xml:space="preserve"> </v>
      </c>
      <c r="BV370" s="495" t="e">
        <f t="shared" si="362"/>
        <v>#DIV/0!</v>
      </c>
      <c r="BW370" s="495" t="e">
        <f t="shared" si="363"/>
        <v>#DIV/0!</v>
      </c>
      <c r="BX370" s="495" t="e">
        <f t="shared" si="364"/>
        <v>#DIV/0!</v>
      </c>
      <c r="BY370" s="495" t="str">
        <f t="shared" si="365"/>
        <v xml:space="preserve"> </v>
      </c>
    </row>
    <row r="371" spans="1:77" s="28" customFormat="1" ht="9" customHeight="1">
      <c r="A371" s="406">
        <v>11</v>
      </c>
      <c r="B371" s="206" t="s">
        <v>632</v>
      </c>
      <c r="C371" s="376">
        <v>2850.4</v>
      </c>
      <c r="D371" s="376"/>
      <c r="E371" s="413" t="s">
        <v>1005</v>
      </c>
      <c r="F371" s="413"/>
      <c r="G371" s="413"/>
      <c r="H371" s="211">
        <v>2427152</v>
      </c>
      <c r="I371" s="407">
        <f t="shared" si="392"/>
        <v>0</v>
      </c>
      <c r="J371" s="217">
        <v>0</v>
      </c>
      <c r="K371" s="469">
        <v>0</v>
      </c>
      <c r="L371" s="217">
        <v>0</v>
      </c>
      <c r="M371" s="469">
        <v>0</v>
      </c>
      <c r="N371" s="217">
        <v>0</v>
      </c>
      <c r="O371" s="249">
        <v>0</v>
      </c>
      <c r="P371" s="407">
        <v>0</v>
      </c>
      <c r="Q371" s="249">
        <v>0</v>
      </c>
      <c r="R371" s="407">
        <v>0</v>
      </c>
      <c r="S371" s="249">
        <v>0</v>
      </c>
      <c r="T371" s="407">
        <v>0</v>
      </c>
      <c r="U371" s="130">
        <v>0</v>
      </c>
      <c r="V371" s="407">
        <v>0</v>
      </c>
      <c r="W371" s="410">
        <v>728</v>
      </c>
      <c r="X371" s="407">
        <f t="shared" si="393"/>
        <v>2317930.16</v>
      </c>
      <c r="Y371" s="410">
        <v>0</v>
      </c>
      <c r="Z371" s="410">
        <v>0</v>
      </c>
      <c r="AA371" s="410">
        <v>0</v>
      </c>
      <c r="AB371" s="410">
        <v>0</v>
      </c>
      <c r="AC371" s="410">
        <v>0</v>
      </c>
      <c r="AD371" s="410">
        <v>0</v>
      </c>
      <c r="AE371" s="410">
        <v>0</v>
      </c>
      <c r="AF371" s="410">
        <v>0</v>
      </c>
      <c r="AG371" s="410">
        <v>0</v>
      </c>
      <c r="AH371" s="410">
        <v>0</v>
      </c>
      <c r="AI371" s="410">
        <v>0</v>
      </c>
      <c r="AJ371" s="410">
        <f t="shared" si="394"/>
        <v>72814.559999999998</v>
      </c>
      <c r="AK371" s="410">
        <f t="shared" si="395"/>
        <v>36407.279999999999</v>
      </c>
      <c r="AL371" s="410">
        <v>0</v>
      </c>
      <c r="AM371" s="446"/>
      <c r="AN371" s="446"/>
      <c r="AP371" s="486" t="e">
        <f t="shared" si="342"/>
        <v>#DIV/0!</v>
      </c>
      <c r="AQ371" s="486" t="e">
        <f t="shared" si="344"/>
        <v>#DIV/0!</v>
      </c>
      <c r="AR371" s="486" t="e">
        <f t="shared" si="345"/>
        <v>#DIV/0!</v>
      </c>
      <c r="AS371" s="486" t="e">
        <f t="shared" si="346"/>
        <v>#DIV/0!</v>
      </c>
      <c r="AT371" s="486" t="e">
        <f t="shared" si="347"/>
        <v>#DIV/0!</v>
      </c>
      <c r="AU371" s="486" t="e">
        <f t="shared" si="348"/>
        <v>#DIV/0!</v>
      </c>
      <c r="AV371" s="486" t="e">
        <f t="shared" si="349"/>
        <v>#DIV/0!</v>
      </c>
      <c r="AW371" s="486">
        <f t="shared" si="350"/>
        <v>3183.9700000000003</v>
      </c>
      <c r="AX371" s="486" t="e">
        <f t="shared" si="351"/>
        <v>#DIV/0!</v>
      </c>
      <c r="AY371" s="486" t="e">
        <f t="shared" si="352"/>
        <v>#DIV/0!</v>
      </c>
      <c r="AZ371" s="486" t="e">
        <f t="shared" si="353"/>
        <v>#DIV/0!</v>
      </c>
      <c r="BA371" s="486">
        <f t="shared" si="343"/>
        <v>0</v>
      </c>
      <c r="BB371" s="494">
        <v>5155.41</v>
      </c>
      <c r="BC371" s="494">
        <v>2070.12</v>
      </c>
      <c r="BD371" s="494">
        <v>848.92</v>
      </c>
      <c r="BE371" s="494">
        <v>819.73</v>
      </c>
      <c r="BF371" s="494">
        <v>611.5</v>
      </c>
      <c r="BG371" s="494">
        <v>1080.04</v>
      </c>
      <c r="BH371" s="494">
        <v>2671800.0099999998</v>
      </c>
      <c r="BI371" s="494">
        <f t="shared" si="376"/>
        <v>4607.6000000000004</v>
      </c>
      <c r="BJ371" s="494">
        <v>14289.54</v>
      </c>
      <c r="BK371" s="494">
        <v>3389.61</v>
      </c>
      <c r="BL371" s="494">
        <v>5995.76</v>
      </c>
      <c r="BM371" s="494">
        <v>548.62</v>
      </c>
      <c r="BN371" s="495" t="e">
        <f t="shared" si="354"/>
        <v>#DIV/0!</v>
      </c>
      <c r="BO371" s="495" t="e">
        <f t="shared" si="355"/>
        <v>#DIV/0!</v>
      </c>
      <c r="BP371" s="495" t="e">
        <f t="shared" si="356"/>
        <v>#DIV/0!</v>
      </c>
      <c r="BQ371" s="495" t="e">
        <f t="shared" si="357"/>
        <v>#DIV/0!</v>
      </c>
      <c r="BR371" s="495" t="e">
        <f t="shared" si="358"/>
        <v>#DIV/0!</v>
      </c>
      <c r="BS371" s="495" t="e">
        <f t="shared" si="359"/>
        <v>#DIV/0!</v>
      </c>
      <c r="BT371" s="495" t="e">
        <f t="shared" si="360"/>
        <v>#DIV/0!</v>
      </c>
      <c r="BU371" s="495" t="str">
        <f t="shared" si="361"/>
        <v xml:space="preserve"> </v>
      </c>
      <c r="BV371" s="495" t="e">
        <f t="shared" si="362"/>
        <v>#DIV/0!</v>
      </c>
      <c r="BW371" s="495" t="e">
        <f t="shared" si="363"/>
        <v>#DIV/0!</v>
      </c>
      <c r="BX371" s="495" t="e">
        <f t="shared" si="364"/>
        <v>#DIV/0!</v>
      </c>
      <c r="BY371" s="495" t="str">
        <f t="shared" si="365"/>
        <v xml:space="preserve"> </v>
      </c>
    </row>
    <row r="372" spans="1:77" s="28" customFormat="1" ht="9" customHeight="1">
      <c r="A372" s="406">
        <v>12</v>
      </c>
      <c r="B372" s="206" t="s">
        <v>633</v>
      </c>
      <c r="C372" s="376">
        <v>3206</v>
      </c>
      <c r="D372" s="376"/>
      <c r="E372" s="413" t="s">
        <v>1005</v>
      </c>
      <c r="F372" s="413"/>
      <c r="G372" s="413"/>
      <c r="H372" s="211">
        <v>2770554</v>
      </c>
      <c r="I372" s="407">
        <f t="shared" si="392"/>
        <v>0</v>
      </c>
      <c r="J372" s="217">
        <v>0</v>
      </c>
      <c r="K372" s="469">
        <v>0</v>
      </c>
      <c r="L372" s="217">
        <v>0</v>
      </c>
      <c r="M372" s="469">
        <v>0</v>
      </c>
      <c r="N372" s="217">
        <v>0</v>
      </c>
      <c r="O372" s="249">
        <v>0</v>
      </c>
      <c r="P372" s="407">
        <v>0</v>
      </c>
      <c r="Q372" s="249">
        <v>0</v>
      </c>
      <c r="R372" s="407">
        <v>0</v>
      </c>
      <c r="S372" s="249">
        <v>0</v>
      </c>
      <c r="T372" s="407">
        <v>0</v>
      </c>
      <c r="U372" s="130">
        <v>0</v>
      </c>
      <c r="V372" s="407">
        <v>0</v>
      </c>
      <c r="W372" s="410">
        <v>831</v>
      </c>
      <c r="X372" s="407">
        <f t="shared" si="393"/>
        <v>2645879.0699999998</v>
      </c>
      <c r="Y372" s="410">
        <v>0</v>
      </c>
      <c r="Z372" s="410">
        <v>0</v>
      </c>
      <c r="AA372" s="410">
        <v>0</v>
      </c>
      <c r="AB372" s="410">
        <v>0</v>
      </c>
      <c r="AC372" s="410">
        <v>0</v>
      </c>
      <c r="AD372" s="410">
        <v>0</v>
      </c>
      <c r="AE372" s="410">
        <v>0</v>
      </c>
      <c r="AF372" s="410">
        <v>0</v>
      </c>
      <c r="AG372" s="410">
        <v>0</v>
      </c>
      <c r="AH372" s="410">
        <v>0</v>
      </c>
      <c r="AI372" s="410">
        <v>0</v>
      </c>
      <c r="AJ372" s="410">
        <f t="shared" si="394"/>
        <v>83116.62</v>
      </c>
      <c r="AK372" s="410">
        <f t="shared" si="395"/>
        <v>41558.31</v>
      </c>
      <c r="AL372" s="410">
        <v>0</v>
      </c>
      <c r="AM372" s="446"/>
      <c r="AN372" s="446"/>
      <c r="AP372" s="486" t="e">
        <f t="shared" si="342"/>
        <v>#DIV/0!</v>
      </c>
      <c r="AQ372" s="486" t="e">
        <f t="shared" si="344"/>
        <v>#DIV/0!</v>
      </c>
      <c r="AR372" s="486" t="e">
        <f t="shared" si="345"/>
        <v>#DIV/0!</v>
      </c>
      <c r="AS372" s="486" t="e">
        <f t="shared" si="346"/>
        <v>#DIV/0!</v>
      </c>
      <c r="AT372" s="486" t="e">
        <f t="shared" si="347"/>
        <v>#DIV/0!</v>
      </c>
      <c r="AU372" s="486" t="e">
        <f t="shared" si="348"/>
        <v>#DIV/0!</v>
      </c>
      <c r="AV372" s="486" t="e">
        <f t="shared" si="349"/>
        <v>#DIV/0!</v>
      </c>
      <c r="AW372" s="486">
        <f t="shared" si="350"/>
        <v>3183.97</v>
      </c>
      <c r="AX372" s="486" t="e">
        <f t="shared" si="351"/>
        <v>#DIV/0!</v>
      </c>
      <c r="AY372" s="486" t="e">
        <f t="shared" si="352"/>
        <v>#DIV/0!</v>
      </c>
      <c r="AZ372" s="486" t="e">
        <f t="shared" si="353"/>
        <v>#DIV/0!</v>
      </c>
      <c r="BA372" s="486">
        <f t="shared" si="343"/>
        <v>0</v>
      </c>
      <c r="BB372" s="494">
        <v>5155.41</v>
      </c>
      <c r="BC372" s="494">
        <v>2070.12</v>
      </c>
      <c r="BD372" s="494">
        <v>848.92</v>
      </c>
      <c r="BE372" s="494">
        <v>819.73</v>
      </c>
      <c r="BF372" s="494">
        <v>611.5</v>
      </c>
      <c r="BG372" s="494">
        <v>1080.04</v>
      </c>
      <c r="BH372" s="494">
        <v>2671800.0099999998</v>
      </c>
      <c r="BI372" s="494">
        <f t="shared" si="376"/>
        <v>4607.6000000000004</v>
      </c>
      <c r="BJ372" s="494">
        <v>14289.54</v>
      </c>
      <c r="BK372" s="494">
        <v>3389.61</v>
      </c>
      <c r="BL372" s="494">
        <v>5995.76</v>
      </c>
      <c r="BM372" s="494">
        <v>548.62</v>
      </c>
      <c r="BN372" s="495" t="e">
        <f t="shared" si="354"/>
        <v>#DIV/0!</v>
      </c>
      <c r="BO372" s="495" t="e">
        <f t="shared" si="355"/>
        <v>#DIV/0!</v>
      </c>
      <c r="BP372" s="495" t="e">
        <f t="shared" si="356"/>
        <v>#DIV/0!</v>
      </c>
      <c r="BQ372" s="495" t="e">
        <f t="shared" si="357"/>
        <v>#DIV/0!</v>
      </c>
      <c r="BR372" s="495" t="e">
        <f t="shared" si="358"/>
        <v>#DIV/0!</v>
      </c>
      <c r="BS372" s="495" t="e">
        <f t="shared" si="359"/>
        <v>#DIV/0!</v>
      </c>
      <c r="BT372" s="495" t="e">
        <f t="shared" si="360"/>
        <v>#DIV/0!</v>
      </c>
      <c r="BU372" s="495" t="str">
        <f t="shared" si="361"/>
        <v xml:space="preserve"> </v>
      </c>
      <c r="BV372" s="495" t="e">
        <f t="shared" si="362"/>
        <v>#DIV/0!</v>
      </c>
      <c r="BW372" s="495" t="e">
        <f t="shared" si="363"/>
        <v>#DIV/0!</v>
      </c>
      <c r="BX372" s="495" t="e">
        <f t="shared" si="364"/>
        <v>#DIV/0!</v>
      </c>
      <c r="BY372" s="495" t="str">
        <f t="shared" si="365"/>
        <v xml:space="preserve"> </v>
      </c>
    </row>
    <row r="373" spans="1:77" s="28" customFormat="1" ht="9" customHeight="1">
      <c r="A373" s="406">
        <v>13</v>
      </c>
      <c r="B373" s="206" t="s">
        <v>634</v>
      </c>
      <c r="C373" s="376">
        <v>2455.5</v>
      </c>
      <c r="D373" s="376"/>
      <c r="E373" s="413" t="s">
        <v>1005</v>
      </c>
      <c r="F373" s="413"/>
      <c r="G373" s="413"/>
      <c r="H373" s="211">
        <v>2847236</v>
      </c>
      <c r="I373" s="407">
        <f t="shared" si="392"/>
        <v>0</v>
      </c>
      <c r="J373" s="217">
        <v>0</v>
      </c>
      <c r="K373" s="469">
        <v>0</v>
      </c>
      <c r="L373" s="217">
        <v>0</v>
      </c>
      <c r="M373" s="469">
        <v>0</v>
      </c>
      <c r="N373" s="217">
        <v>0</v>
      </c>
      <c r="O373" s="249">
        <v>0</v>
      </c>
      <c r="P373" s="407">
        <v>0</v>
      </c>
      <c r="Q373" s="249">
        <v>0</v>
      </c>
      <c r="R373" s="407">
        <v>0</v>
      </c>
      <c r="S373" s="249">
        <v>0</v>
      </c>
      <c r="T373" s="407">
        <v>0</v>
      </c>
      <c r="U373" s="130">
        <v>0</v>
      </c>
      <c r="V373" s="407">
        <v>0</v>
      </c>
      <c r="W373" s="410">
        <v>854</v>
      </c>
      <c r="X373" s="407">
        <f t="shared" si="393"/>
        <v>2719110.38</v>
      </c>
      <c r="Y373" s="410">
        <v>0</v>
      </c>
      <c r="Z373" s="410">
        <v>0</v>
      </c>
      <c r="AA373" s="410">
        <v>0</v>
      </c>
      <c r="AB373" s="410">
        <v>0</v>
      </c>
      <c r="AC373" s="410">
        <v>0</v>
      </c>
      <c r="AD373" s="410">
        <v>0</v>
      </c>
      <c r="AE373" s="410">
        <v>0</v>
      </c>
      <c r="AF373" s="410">
        <v>0</v>
      </c>
      <c r="AG373" s="410">
        <v>0</v>
      </c>
      <c r="AH373" s="410">
        <v>0</v>
      </c>
      <c r="AI373" s="410">
        <v>0</v>
      </c>
      <c r="AJ373" s="410">
        <f t="shared" si="394"/>
        <v>85417.08</v>
      </c>
      <c r="AK373" s="410">
        <f t="shared" si="395"/>
        <v>42708.54</v>
      </c>
      <c r="AL373" s="410">
        <v>0</v>
      </c>
      <c r="AM373" s="446"/>
      <c r="AN373" s="446"/>
      <c r="AP373" s="486" t="e">
        <f t="shared" si="342"/>
        <v>#DIV/0!</v>
      </c>
      <c r="AQ373" s="486" t="e">
        <f t="shared" si="344"/>
        <v>#DIV/0!</v>
      </c>
      <c r="AR373" s="486" t="e">
        <f t="shared" si="345"/>
        <v>#DIV/0!</v>
      </c>
      <c r="AS373" s="486" t="e">
        <f t="shared" si="346"/>
        <v>#DIV/0!</v>
      </c>
      <c r="AT373" s="486" t="e">
        <f t="shared" si="347"/>
        <v>#DIV/0!</v>
      </c>
      <c r="AU373" s="486" t="e">
        <f t="shared" si="348"/>
        <v>#DIV/0!</v>
      </c>
      <c r="AV373" s="486" t="e">
        <f t="shared" si="349"/>
        <v>#DIV/0!</v>
      </c>
      <c r="AW373" s="486">
        <f t="shared" si="350"/>
        <v>3183.97</v>
      </c>
      <c r="AX373" s="486" t="e">
        <f t="shared" si="351"/>
        <v>#DIV/0!</v>
      </c>
      <c r="AY373" s="486" t="e">
        <f t="shared" si="352"/>
        <v>#DIV/0!</v>
      </c>
      <c r="AZ373" s="486" t="e">
        <f t="shared" si="353"/>
        <v>#DIV/0!</v>
      </c>
      <c r="BA373" s="486">
        <f t="shared" si="343"/>
        <v>0</v>
      </c>
      <c r="BB373" s="494">
        <v>5155.41</v>
      </c>
      <c r="BC373" s="494">
        <v>2070.12</v>
      </c>
      <c r="BD373" s="494">
        <v>848.92</v>
      </c>
      <c r="BE373" s="494">
        <v>819.73</v>
      </c>
      <c r="BF373" s="494">
        <v>611.5</v>
      </c>
      <c r="BG373" s="494">
        <v>1080.04</v>
      </c>
      <c r="BH373" s="494">
        <v>2671800.0099999998</v>
      </c>
      <c r="BI373" s="494">
        <f t="shared" si="376"/>
        <v>4607.6000000000004</v>
      </c>
      <c r="BJ373" s="494">
        <v>14289.54</v>
      </c>
      <c r="BK373" s="494">
        <v>3389.61</v>
      </c>
      <c r="BL373" s="494">
        <v>5995.76</v>
      </c>
      <c r="BM373" s="494">
        <v>548.62</v>
      </c>
      <c r="BN373" s="495" t="e">
        <f t="shared" si="354"/>
        <v>#DIV/0!</v>
      </c>
      <c r="BO373" s="495" t="e">
        <f t="shared" si="355"/>
        <v>#DIV/0!</v>
      </c>
      <c r="BP373" s="495" t="e">
        <f t="shared" si="356"/>
        <v>#DIV/0!</v>
      </c>
      <c r="BQ373" s="495" t="e">
        <f t="shared" si="357"/>
        <v>#DIV/0!</v>
      </c>
      <c r="BR373" s="495" t="e">
        <f t="shared" si="358"/>
        <v>#DIV/0!</v>
      </c>
      <c r="BS373" s="495" t="e">
        <f t="shared" si="359"/>
        <v>#DIV/0!</v>
      </c>
      <c r="BT373" s="495" t="e">
        <f t="shared" si="360"/>
        <v>#DIV/0!</v>
      </c>
      <c r="BU373" s="495" t="str">
        <f t="shared" si="361"/>
        <v xml:space="preserve"> </v>
      </c>
      <c r="BV373" s="495" t="e">
        <f t="shared" si="362"/>
        <v>#DIV/0!</v>
      </c>
      <c r="BW373" s="495" t="e">
        <f t="shared" si="363"/>
        <v>#DIV/0!</v>
      </c>
      <c r="BX373" s="495" t="e">
        <f t="shared" si="364"/>
        <v>#DIV/0!</v>
      </c>
      <c r="BY373" s="495" t="str">
        <f t="shared" si="365"/>
        <v xml:space="preserve"> </v>
      </c>
    </row>
    <row r="374" spans="1:77" s="28" customFormat="1" ht="9" customHeight="1">
      <c r="A374" s="406">
        <v>14</v>
      </c>
      <c r="B374" s="206" t="s">
        <v>635</v>
      </c>
      <c r="C374" s="376">
        <v>2443.9</v>
      </c>
      <c r="D374" s="376"/>
      <c r="E374" s="413" t="s">
        <v>1005</v>
      </c>
      <c r="F374" s="413"/>
      <c r="G374" s="413"/>
      <c r="H374" s="211">
        <v>2847236</v>
      </c>
      <c r="I374" s="407">
        <f t="shared" si="392"/>
        <v>0</v>
      </c>
      <c r="J374" s="217">
        <v>0</v>
      </c>
      <c r="K374" s="469">
        <v>0</v>
      </c>
      <c r="L374" s="217">
        <v>0</v>
      </c>
      <c r="M374" s="469">
        <v>0</v>
      </c>
      <c r="N374" s="217">
        <v>0</v>
      </c>
      <c r="O374" s="249">
        <v>0</v>
      </c>
      <c r="P374" s="407">
        <v>0</v>
      </c>
      <c r="Q374" s="249">
        <v>0</v>
      </c>
      <c r="R374" s="407">
        <v>0</v>
      </c>
      <c r="S374" s="249">
        <v>0</v>
      </c>
      <c r="T374" s="407">
        <v>0</v>
      </c>
      <c r="U374" s="130">
        <v>0</v>
      </c>
      <c r="V374" s="407">
        <v>0</v>
      </c>
      <c r="W374" s="410">
        <v>854</v>
      </c>
      <c r="X374" s="407">
        <f t="shared" si="393"/>
        <v>2719110.38</v>
      </c>
      <c r="Y374" s="410">
        <v>0</v>
      </c>
      <c r="Z374" s="410">
        <v>0</v>
      </c>
      <c r="AA374" s="410">
        <v>0</v>
      </c>
      <c r="AB374" s="410">
        <v>0</v>
      </c>
      <c r="AC374" s="410">
        <v>0</v>
      </c>
      <c r="AD374" s="410">
        <v>0</v>
      </c>
      <c r="AE374" s="410">
        <v>0</v>
      </c>
      <c r="AF374" s="410">
        <v>0</v>
      </c>
      <c r="AG374" s="410">
        <v>0</v>
      </c>
      <c r="AH374" s="410">
        <v>0</v>
      </c>
      <c r="AI374" s="410">
        <v>0</v>
      </c>
      <c r="AJ374" s="410">
        <f t="shared" si="394"/>
        <v>85417.08</v>
      </c>
      <c r="AK374" s="410">
        <f t="shared" si="395"/>
        <v>42708.54</v>
      </c>
      <c r="AL374" s="410">
        <v>0</v>
      </c>
      <c r="AM374" s="446"/>
      <c r="AN374" s="446"/>
      <c r="AP374" s="486" t="e">
        <f t="shared" si="342"/>
        <v>#DIV/0!</v>
      </c>
      <c r="AQ374" s="486" t="e">
        <f t="shared" si="344"/>
        <v>#DIV/0!</v>
      </c>
      <c r="AR374" s="486" t="e">
        <f t="shared" si="345"/>
        <v>#DIV/0!</v>
      </c>
      <c r="AS374" s="486" t="e">
        <f t="shared" si="346"/>
        <v>#DIV/0!</v>
      </c>
      <c r="AT374" s="486" t="e">
        <f t="shared" si="347"/>
        <v>#DIV/0!</v>
      </c>
      <c r="AU374" s="486" t="e">
        <f t="shared" si="348"/>
        <v>#DIV/0!</v>
      </c>
      <c r="AV374" s="486" t="e">
        <f t="shared" si="349"/>
        <v>#DIV/0!</v>
      </c>
      <c r="AW374" s="486">
        <f t="shared" si="350"/>
        <v>3183.97</v>
      </c>
      <c r="AX374" s="486" t="e">
        <f t="shared" si="351"/>
        <v>#DIV/0!</v>
      </c>
      <c r="AY374" s="486" t="e">
        <f t="shared" si="352"/>
        <v>#DIV/0!</v>
      </c>
      <c r="AZ374" s="486" t="e">
        <f t="shared" si="353"/>
        <v>#DIV/0!</v>
      </c>
      <c r="BA374" s="486">
        <f t="shared" si="343"/>
        <v>0</v>
      </c>
      <c r="BB374" s="494">
        <v>5155.41</v>
      </c>
      <c r="BC374" s="494">
        <v>2070.12</v>
      </c>
      <c r="BD374" s="494">
        <v>848.92</v>
      </c>
      <c r="BE374" s="494">
        <v>819.73</v>
      </c>
      <c r="BF374" s="494">
        <v>611.5</v>
      </c>
      <c r="BG374" s="494">
        <v>1080.04</v>
      </c>
      <c r="BH374" s="494">
        <v>2671800.0099999998</v>
      </c>
      <c r="BI374" s="494">
        <f t="shared" si="376"/>
        <v>4607.6000000000004</v>
      </c>
      <c r="BJ374" s="494">
        <v>14289.54</v>
      </c>
      <c r="BK374" s="494">
        <v>3389.61</v>
      </c>
      <c r="BL374" s="494">
        <v>5995.76</v>
      </c>
      <c r="BM374" s="494">
        <v>548.62</v>
      </c>
      <c r="BN374" s="495" t="e">
        <f t="shared" si="354"/>
        <v>#DIV/0!</v>
      </c>
      <c r="BO374" s="495" t="e">
        <f t="shared" si="355"/>
        <v>#DIV/0!</v>
      </c>
      <c r="BP374" s="495" t="e">
        <f t="shared" si="356"/>
        <v>#DIV/0!</v>
      </c>
      <c r="BQ374" s="495" t="e">
        <f t="shared" si="357"/>
        <v>#DIV/0!</v>
      </c>
      <c r="BR374" s="495" t="e">
        <f t="shared" si="358"/>
        <v>#DIV/0!</v>
      </c>
      <c r="BS374" s="495" t="e">
        <f t="shared" si="359"/>
        <v>#DIV/0!</v>
      </c>
      <c r="BT374" s="495" t="e">
        <f t="shared" si="360"/>
        <v>#DIV/0!</v>
      </c>
      <c r="BU374" s="495" t="str">
        <f t="shared" si="361"/>
        <v xml:space="preserve"> </v>
      </c>
      <c r="BV374" s="495" t="e">
        <f t="shared" si="362"/>
        <v>#DIV/0!</v>
      </c>
      <c r="BW374" s="495" t="e">
        <f t="shared" si="363"/>
        <v>#DIV/0!</v>
      </c>
      <c r="BX374" s="495" t="e">
        <f t="shared" si="364"/>
        <v>#DIV/0!</v>
      </c>
      <c r="BY374" s="495" t="str">
        <f t="shared" si="365"/>
        <v xml:space="preserve"> </v>
      </c>
    </row>
    <row r="375" spans="1:77" s="28" customFormat="1" ht="9" customHeight="1">
      <c r="A375" s="406">
        <v>15</v>
      </c>
      <c r="B375" s="206" t="s">
        <v>636</v>
      </c>
      <c r="C375" s="376">
        <v>3555.3</v>
      </c>
      <c r="D375" s="376"/>
      <c r="E375" s="413" t="s">
        <v>1005</v>
      </c>
      <c r="F375" s="413"/>
      <c r="G375" s="413"/>
      <c r="H375" s="211">
        <v>3317330</v>
      </c>
      <c r="I375" s="407">
        <f t="shared" si="392"/>
        <v>0</v>
      </c>
      <c r="J375" s="217">
        <v>0</v>
      </c>
      <c r="K375" s="469">
        <v>0</v>
      </c>
      <c r="L375" s="217">
        <v>0</v>
      </c>
      <c r="M375" s="469">
        <v>0</v>
      </c>
      <c r="N375" s="217">
        <v>0</v>
      </c>
      <c r="O375" s="249">
        <v>0</v>
      </c>
      <c r="P375" s="407">
        <v>0</v>
      </c>
      <c r="Q375" s="249">
        <v>0</v>
      </c>
      <c r="R375" s="407">
        <v>0</v>
      </c>
      <c r="S375" s="249">
        <v>0</v>
      </c>
      <c r="T375" s="407">
        <v>0</v>
      </c>
      <c r="U375" s="130">
        <v>0</v>
      </c>
      <c r="V375" s="407">
        <v>0</v>
      </c>
      <c r="W375" s="410">
        <v>995</v>
      </c>
      <c r="X375" s="407">
        <f t="shared" si="393"/>
        <v>3168050.15</v>
      </c>
      <c r="Y375" s="410">
        <v>0</v>
      </c>
      <c r="Z375" s="410">
        <v>0</v>
      </c>
      <c r="AA375" s="410">
        <v>0</v>
      </c>
      <c r="AB375" s="410">
        <v>0</v>
      </c>
      <c r="AC375" s="410">
        <v>0</v>
      </c>
      <c r="AD375" s="410">
        <v>0</v>
      </c>
      <c r="AE375" s="410">
        <v>0</v>
      </c>
      <c r="AF375" s="410">
        <v>0</v>
      </c>
      <c r="AG375" s="410">
        <v>0</v>
      </c>
      <c r="AH375" s="410">
        <v>0</v>
      </c>
      <c r="AI375" s="410">
        <v>0</v>
      </c>
      <c r="AJ375" s="410">
        <f t="shared" si="394"/>
        <v>99519.9</v>
      </c>
      <c r="AK375" s="410">
        <f t="shared" si="395"/>
        <v>49759.95</v>
      </c>
      <c r="AL375" s="410">
        <v>0</v>
      </c>
      <c r="AM375" s="446"/>
      <c r="AN375" s="446"/>
      <c r="AP375" s="486" t="e">
        <f t="shared" si="342"/>
        <v>#DIV/0!</v>
      </c>
      <c r="AQ375" s="486" t="e">
        <f t="shared" si="344"/>
        <v>#DIV/0!</v>
      </c>
      <c r="AR375" s="486" t="e">
        <f t="shared" si="345"/>
        <v>#DIV/0!</v>
      </c>
      <c r="AS375" s="486" t="e">
        <f t="shared" si="346"/>
        <v>#DIV/0!</v>
      </c>
      <c r="AT375" s="486" t="e">
        <f t="shared" si="347"/>
        <v>#DIV/0!</v>
      </c>
      <c r="AU375" s="486" t="e">
        <f t="shared" si="348"/>
        <v>#DIV/0!</v>
      </c>
      <c r="AV375" s="486" t="e">
        <f t="shared" si="349"/>
        <v>#DIV/0!</v>
      </c>
      <c r="AW375" s="486">
        <f t="shared" si="350"/>
        <v>3183.97</v>
      </c>
      <c r="AX375" s="486" t="e">
        <f t="shared" si="351"/>
        <v>#DIV/0!</v>
      </c>
      <c r="AY375" s="486" t="e">
        <f t="shared" si="352"/>
        <v>#DIV/0!</v>
      </c>
      <c r="AZ375" s="486" t="e">
        <f t="shared" si="353"/>
        <v>#DIV/0!</v>
      </c>
      <c r="BA375" s="486">
        <f t="shared" si="343"/>
        <v>0</v>
      </c>
      <c r="BB375" s="494">
        <v>5155.41</v>
      </c>
      <c r="BC375" s="494">
        <v>2070.12</v>
      </c>
      <c r="BD375" s="494">
        <v>848.92</v>
      </c>
      <c r="BE375" s="494">
        <v>819.73</v>
      </c>
      <c r="BF375" s="494">
        <v>611.5</v>
      </c>
      <c r="BG375" s="494">
        <v>1080.04</v>
      </c>
      <c r="BH375" s="494">
        <v>2671800.0099999998</v>
      </c>
      <c r="BI375" s="494">
        <f t="shared" si="376"/>
        <v>4607.6000000000004</v>
      </c>
      <c r="BJ375" s="494">
        <v>14289.54</v>
      </c>
      <c r="BK375" s="494">
        <v>3389.61</v>
      </c>
      <c r="BL375" s="494">
        <v>5995.76</v>
      </c>
      <c r="BM375" s="494">
        <v>548.62</v>
      </c>
      <c r="BN375" s="495" t="e">
        <f t="shared" si="354"/>
        <v>#DIV/0!</v>
      </c>
      <c r="BO375" s="495" t="e">
        <f t="shared" si="355"/>
        <v>#DIV/0!</v>
      </c>
      <c r="BP375" s="495" t="e">
        <f t="shared" si="356"/>
        <v>#DIV/0!</v>
      </c>
      <c r="BQ375" s="495" t="e">
        <f t="shared" si="357"/>
        <v>#DIV/0!</v>
      </c>
      <c r="BR375" s="495" t="e">
        <f t="shared" si="358"/>
        <v>#DIV/0!</v>
      </c>
      <c r="BS375" s="495" t="e">
        <f t="shared" si="359"/>
        <v>#DIV/0!</v>
      </c>
      <c r="BT375" s="495" t="e">
        <f t="shared" si="360"/>
        <v>#DIV/0!</v>
      </c>
      <c r="BU375" s="495" t="str">
        <f t="shared" si="361"/>
        <v xml:space="preserve"> </v>
      </c>
      <c r="BV375" s="495" t="e">
        <f t="shared" si="362"/>
        <v>#DIV/0!</v>
      </c>
      <c r="BW375" s="495" t="e">
        <f t="shared" si="363"/>
        <v>#DIV/0!</v>
      </c>
      <c r="BX375" s="495" t="e">
        <f t="shared" si="364"/>
        <v>#DIV/0!</v>
      </c>
      <c r="BY375" s="495" t="str">
        <f t="shared" si="365"/>
        <v xml:space="preserve"> </v>
      </c>
    </row>
    <row r="376" spans="1:77" s="28" customFormat="1" ht="9" customHeight="1">
      <c r="A376" s="406">
        <v>16</v>
      </c>
      <c r="B376" s="206" t="s">
        <v>637</v>
      </c>
      <c r="C376" s="376">
        <v>3588</v>
      </c>
      <c r="D376" s="376"/>
      <c r="E376" s="413" t="s">
        <v>1005</v>
      </c>
      <c r="F376" s="413"/>
      <c r="G376" s="413"/>
      <c r="H376" s="211">
        <v>3330666</v>
      </c>
      <c r="I376" s="407">
        <f t="shared" si="392"/>
        <v>0</v>
      </c>
      <c r="J376" s="217">
        <v>0</v>
      </c>
      <c r="K376" s="469">
        <v>0</v>
      </c>
      <c r="L376" s="217">
        <v>0</v>
      </c>
      <c r="M376" s="469">
        <v>0</v>
      </c>
      <c r="N376" s="217">
        <v>0</v>
      </c>
      <c r="O376" s="249">
        <v>0</v>
      </c>
      <c r="P376" s="407">
        <v>0</v>
      </c>
      <c r="Q376" s="249">
        <v>0</v>
      </c>
      <c r="R376" s="407">
        <v>0</v>
      </c>
      <c r="S376" s="249">
        <v>0</v>
      </c>
      <c r="T376" s="407">
        <v>0</v>
      </c>
      <c r="U376" s="130">
        <v>0</v>
      </c>
      <c r="V376" s="407">
        <v>0</v>
      </c>
      <c r="W376" s="410">
        <v>999</v>
      </c>
      <c r="X376" s="407">
        <f t="shared" si="393"/>
        <v>3180786.03</v>
      </c>
      <c r="Y376" s="410">
        <v>0</v>
      </c>
      <c r="Z376" s="410">
        <v>0</v>
      </c>
      <c r="AA376" s="410">
        <v>0</v>
      </c>
      <c r="AB376" s="410">
        <v>0</v>
      </c>
      <c r="AC376" s="410">
        <v>0</v>
      </c>
      <c r="AD376" s="410">
        <v>0</v>
      </c>
      <c r="AE376" s="410">
        <v>0</v>
      </c>
      <c r="AF376" s="410">
        <v>0</v>
      </c>
      <c r="AG376" s="410">
        <v>0</v>
      </c>
      <c r="AH376" s="410">
        <v>0</v>
      </c>
      <c r="AI376" s="410">
        <v>0</v>
      </c>
      <c r="AJ376" s="410">
        <f t="shared" si="394"/>
        <v>99919.98</v>
      </c>
      <c r="AK376" s="410">
        <f t="shared" si="395"/>
        <v>49959.99</v>
      </c>
      <c r="AL376" s="410">
        <v>0</v>
      </c>
      <c r="AM376" s="446"/>
      <c r="AN376" s="446"/>
      <c r="AP376" s="486" t="e">
        <f t="shared" si="342"/>
        <v>#DIV/0!</v>
      </c>
      <c r="AQ376" s="486" t="e">
        <f t="shared" si="344"/>
        <v>#DIV/0!</v>
      </c>
      <c r="AR376" s="486" t="e">
        <f t="shared" si="345"/>
        <v>#DIV/0!</v>
      </c>
      <c r="AS376" s="486" t="e">
        <f t="shared" si="346"/>
        <v>#DIV/0!</v>
      </c>
      <c r="AT376" s="486" t="e">
        <f t="shared" si="347"/>
        <v>#DIV/0!</v>
      </c>
      <c r="AU376" s="486" t="e">
        <f t="shared" si="348"/>
        <v>#DIV/0!</v>
      </c>
      <c r="AV376" s="486" t="e">
        <f t="shared" si="349"/>
        <v>#DIV/0!</v>
      </c>
      <c r="AW376" s="486">
        <f t="shared" si="350"/>
        <v>3183.97</v>
      </c>
      <c r="AX376" s="486" t="e">
        <f t="shared" si="351"/>
        <v>#DIV/0!</v>
      </c>
      <c r="AY376" s="486" t="e">
        <f t="shared" si="352"/>
        <v>#DIV/0!</v>
      </c>
      <c r="AZ376" s="486" t="e">
        <f t="shared" si="353"/>
        <v>#DIV/0!</v>
      </c>
      <c r="BA376" s="486">
        <f t="shared" si="343"/>
        <v>0</v>
      </c>
      <c r="BB376" s="494">
        <v>5155.41</v>
      </c>
      <c r="BC376" s="494">
        <v>2070.12</v>
      </c>
      <c r="BD376" s="494">
        <v>848.92</v>
      </c>
      <c r="BE376" s="494">
        <v>819.73</v>
      </c>
      <c r="BF376" s="494">
        <v>611.5</v>
      </c>
      <c r="BG376" s="494">
        <v>1080.04</v>
      </c>
      <c r="BH376" s="494">
        <v>2671800.0099999998</v>
      </c>
      <c r="BI376" s="494">
        <f t="shared" si="376"/>
        <v>4607.6000000000004</v>
      </c>
      <c r="BJ376" s="494">
        <v>14289.54</v>
      </c>
      <c r="BK376" s="494">
        <v>3389.61</v>
      </c>
      <c r="BL376" s="494">
        <v>5995.76</v>
      </c>
      <c r="BM376" s="494">
        <v>548.62</v>
      </c>
      <c r="BN376" s="495" t="e">
        <f t="shared" si="354"/>
        <v>#DIV/0!</v>
      </c>
      <c r="BO376" s="495" t="e">
        <f t="shared" si="355"/>
        <v>#DIV/0!</v>
      </c>
      <c r="BP376" s="495" t="e">
        <f t="shared" si="356"/>
        <v>#DIV/0!</v>
      </c>
      <c r="BQ376" s="495" t="e">
        <f t="shared" si="357"/>
        <v>#DIV/0!</v>
      </c>
      <c r="BR376" s="495" t="e">
        <f t="shared" si="358"/>
        <v>#DIV/0!</v>
      </c>
      <c r="BS376" s="495" t="e">
        <f t="shared" si="359"/>
        <v>#DIV/0!</v>
      </c>
      <c r="BT376" s="495" t="e">
        <f t="shared" si="360"/>
        <v>#DIV/0!</v>
      </c>
      <c r="BU376" s="495" t="str">
        <f t="shared" si="361"/>
        <v xml:space="preserve"> </v>
      </c>
      <c r="BV376" s="495" t="e">
        <f t="shared" si="362"/>
        <v>#DIV/0!</v>
      </c>
      <c r="BW376" s="495" t="e">
        <f t="shared" si="363"/>
        <v>#DIV/0!</v>
      </c>
      <c r="BX376" s="495" t="e">
        <f t="shared" si="364"/>
        <v>#DIV/0!</v>
      </c>
      <c r="BY376" s="495" t="str">
        <f t="shared" si="365"/>
        <v xml:space="preserve"> </v>
      </c>
    </row>
    <row r="377" spans="1:77" s="28" customFormat="1" ht="9" customHeight="1">
      <c r="A377" s="406">
        <v>17</v>
      </c>
      <c r="B377" s="206" t="s">
        <v>639</v>
      </c>
      <c r="C377" s="376">
        <v>3569.7</v>
      </c>
      <c r="D377" s="376"/>
      <c r="E377" s="413" t="s">
        <v>1005</v>
      </c>
      <c r="F377" s="413"/>
      <c r="G377" s="413"/>
      <c r="H377" s="211">
        <v>3000600</v>
      </c>
      <c r="I377" s="407">
        <f t="shared" si="392"/>
        <v>0</v>
      </c>
      <c r="J377" s="217">
        <v>0</v>
      </c>
      <c r="K377" s="469">
        <v>0</v>
      </c>
      <c r="L377" s="217">
        <v>0</v>
      </c>
      <c r="M377" s="469">
        <v>0</v>
      </c>
      <c r="N377" s="217">
        <v>0</v>
      </c>
      <c r="O377" s="249">
        <v>0</v>
      </c>
      <c r="P377" s="407">
        <v>0</v>
      </c>
      <c r="Q377" s="249">
        <v>0</v>
      </c>
      <c r="R377" s="407">
        <v>0</v>
      </c>
      <c r="S377" s="249">
        <v>0</v>
      </c>
      <c r="T377" s="407">
        <v>0</v>
      </c>
      <c r="U377" s="130">
        <v>0</v>
      </c>
      <c r="V377" s="407">
        <v>0</v>
      </c>
      <c r="W377" s="410">
        <v>900</v>
      </c>
      <c r="X377" s="407">
        <f t="shared" si="393"/>
        <v>2865573</v>
      </c>
      <c r="Y377" s="410">
        <v>0</v>
      </c>
      <c r="Z377" s="410">
        <v>0</v>
      </c>
      <c r="AA377" s="410">
        <v>0</v>
      </c>
      <c r="AB377" s="410">
        <v>0</v>
      </c>
      <c r="AC377" s="410">
        <v>0</v>
      </c>
      <c r="AD377" s="410">
        <v>0</v>
      </c>
      <c r="AE377" s="410">
        <v>0</v>
      </c>
      <c r="AF377" s="410">
        <v>0</v>
      </c>
      <c r="AG377" s="410">
        <v>0</v>
      </c>
      <c r="AH377" s="410">
        <v>0</v>
      </c>
      <c r="AI377" s="410">
        <v>0</v>
      </c>
      <c r="AJ377" s="410">
        <f t="shared" si="394"/>
        <v>90018</v>
      </c>
      <c r="AK377" s="410">
        <f t="shared" si="395"/>
        <v>45009</v>
      </c>
      <c r="AL377" s="410">
        <v>0</v>
      </c>
      <c r="AM377" s="446"/>
      <c r="AN377" s="446"/>
      <c r="AP377" s="486" t="e">
        <f t="shared" si="342"/>
        <v>#DIV/0!</v>
      </c>
      <c r="AQ377" s="486" t="e">
        <f t="shared" si="344"/>
        <v>#DIV/0!</v>
      </c>
      <c r="AR377" s="486" t="e">
        <f t="shared" si="345"/>
        <v>#DIV/0!</v>
      </c>
      <c r="AS377" s="486" t="e">
        <f t="shared" si="346"/>
        <v>#DIV/0!</v>
      </c>
      <c r="AT377" s="486" t="e">
        <f t="shared" si="347"/>
        <v>#DIV/0!</v>
      </c>
      <c r="AU377" s="486" t="e">
        <f t="shared" si="348"/>
        <v>#DIV/0!</v>
      </c>
      <c r="AV377" s="486" t="e">
        <f t="shared" si="349"/>
        <v>#DIV/0!</v>
      </c>
      <c r="AW377" s="486">
        <f t="shared" si="350"/>
        <v>3183.97</v>
      </c>
      <c r="AX377" s="486" t="e">
        <f t="shared" si="351"/>
        <v>#DIV/0!</v>
      </c>
      <c r="AY377" s="486" t="e">
        <f t="shared" si="352"/>
        <v>#DIV/0!</v>
      </c>
      <c r="AZ377" s="486" t="e">
        <f t="shared" si="353"/>
        <v>#DIV/0!</v>
      </c>
      <c r="BA377" s="486">
        <f t="shared" si="343"/>
        <v>0</v>
      </c>
      <c r="BB377" s="494">
        <v>5155.41</v>
      </c>
      <c r="BC377" s="494">
        <v>2070.12</v>
      </c>
      <c r="BD377" s="494">
        <v>848.92</v>
      </c>
      <c r="BE377" s="494">
        <v>819.73</v>
      </c>
      <c r="BF377" s="494">
        <v>611.5</v>
      </c>
      <c r="BG377" s="494">
        <v>1080.04</v>
      </c>
      <c r="BH377" s="494">
        <v>2671800.0099999998</v>
      </c>
      <c r="BI377" s="494">
        <f t="shared" si="376"/>
        <v>4607.6000000000004</v>
      </c>
      <c r="BJ377" s="494">
        <v>14289.54</v>
      </c>
      <c r="BK377" s="494">
        <v>3389.61</v>
      </c>
      <c r="BL377" s="494">
        <v>5995.76</v>
      </c>
      <c r="BM377" s="494">
        <v>548.62</v>
      </c>
      <c r="BN377" s="495" t="e">
        <f t="shared" si="354"/>
        <v>#DIV/0!</v>
      </c>
      <c r="BO377" s="495" t="e">
        <f t="shared" si="355"/>
        <v>#DIV/0!</v>
      </c>
      <c r="BP377" s="495" t="e">
        <f t="shared" si="356"/>
        <v>#DIV/0!</v>
      </c>
      <c r="BQ377" s="495" t="e">
        <f t="shared" si="357"/>
        <v>#DIV/0!</v>
      </c>
      <c r="BR377" s="495" t="e">
        <f t="shared" si="358"/>
        <v>#DIV/0!</v>
      </c>
      <c r="BS377" s="495" t="e">
        <f t="shared" si="359"/>
        <v>#DIV/0!</v>
      </c>
      <c r="BT377" s="495" t="e">
        <f t="shared" si="360"/>
        <v>#DIV/0!</v>
      </c>
      <c r="BU377" s="495" t="str">
        <f t="shared" si="361"/>
        <v xml:space="preserve"> </v>
      </c>
      <c r="BV377" s="495" t="e">
        <f t="shared" si="362"/>
        <v>#DIV/0!</v>
      </c>
      <c r="BW377" s="495" t="e">
        <f t="shared" si="363"/>
        <v>#DIV/0!</v>
      </c>
      <c r="BX377" s="495" t="e">
        <f t="shared" si="364"/>
        <v>#DIV/0!</v>
      </c>
      <c r="BY377" s="495" t="str">
        <f t="shared" si="365"/>
        <v xml:space="preserve"> </v>
      </c>
    </row>
    <row r="378" spans="1:77" s="28" customFormat="1" ht="9" customHeight="1">
      <c r="A378" s="406">
        <v>18</v>
      </c>
      <c r="B378" s="206" t="s">
        <v>640</v>
      </c>
      <c r="C378" s="376">
        <v>3545.6</v>
      </c>
      <c r="D378" s="376"/>
      <c r="E378" s="413" t="s">
        <v>1005</v>
      </c>
      <c r="F378" s="413"/>
      <c r="G378" s="413"/>
      <c r="H378" s="211">
        <v>3247316</v>
      </c>
      <c r="I378" s="407">
        <f t="shared" si="392"/>
        <v>0</v>
      </c>
      <c r="J378" s="217">
        <v>0</v>
      </c>
      <c r="K378" s="469">
        <v>0</v>
      </c>
      <c r="L378" s="217">
        <v>0</v>
      </c>
      <c r="M378" s="469">
        <v>0</v>
      </c>
      <c r="N378" s="217">
        <v>0</v>
      </c>
      <c r="O378" s="249">
        <v>0</v>
      </c>
      <c r="P378" s="407">
        <v>0</v>
      </c>
      <c r="Q378" s="249">
        <v>0</v>
      </c>
      <c r="R378" s="407">
        <v>0</v>
      </c>
      <c r="S378" s="249">
        <v>0</v>
      </c>
      <c r="T378" s="407">
        <v>0</v>
      </c>
      <c r="U378" s="130">
        <v>0</v>
      </c>
      <c r="V378" s="407">
        <v>0</v>
      </c>
      <c r="W378" s="410">
        <v>974</v>
      </c>
      <c r="X378" s="407">
        <f t="shared" si="393"/>
        <v>3101186.78</v>
      </c>
      <c r="Y378" s="410">
        <v>0</v>
      </c>
      <c r="Z378" s="410">
        <v>0</v>
      </c>
      <c r="AA378" s="410">
        <v>0</v>
      </c>
      <c r="AB378" s="410">
        <v>0</v>
      </c>
      <c r="AC378" s="410">
        <v>0</v>
      </c>
      <c r="AD378" s="410">
        <v>0</v>
      </c>
      <c r="AE378" s="410">
        <v>0</v>
      </c>
      <c r="AF378" s="410">
        <v>0</v>
      </c>
      <c r="AG378" s="410">
        <v>0</v>
      </c>
      <c r="AH378" s="410">
        <v>0</v>
      </c>
      <c r="AI378" s="410">
        <v>0</v>
      </c>
      <c r="AJ378" s="410">
        <f t="shared" si="394"/>
        <v>97419.48</v>
      </c>
      <c r="AK378" s="410">
        <f t="shared" si="395"/>
        <v>48709.74</v>
      </c>
      <c r="AL378" s="410">
        <v>0</v>
      </c>
      <c r="AM378" s="446"/>
      <c r="AN378" s="446"/>
      <c r="AP378" s="486" t="e">
        <f t="shared" si="342"/>
        <v>#DIV/0!</v>
      </c>
      <c r="AQ378" s="486" t="e">
        <f t="shared" si="344"/>
        <v>#DIV/0!</v>
      </c>
      <c r="AR378" s="486" t="e">
        <f t="shared" si="345"/>
        <v>#DIV/0!</v>
      </c>
      <c r="AS378" s="486" t="e">
        <f t="shared" si="346"/>
        <v>#DIV/0!</v>
      </c>
      <c r="AT378" s="486" t="e">
        <f t="shared" si="347"/>
        <v>#DIV/0!</v>
      </c>
      <c r="AU378" s="486" t="e">
        <f t="shared" si="348"/>
        <v>#DIV/0!</v>
      </c>
      <c r="AV378" s="486" t="e">
        <f t="shared" si="349"/>
        <v>#DIV/0!</v>
      </c>
      <c r="AW378" s="486">
        <f t="shared" si="350"/>
        <v>3183.97</v>
      </c>
      <c r="AX378" s="486" t="e">
        <f t="shared" si="351"/>
        <v>#DIV/0!</v>
      </c>
      <c r="AY378" s="486" t="e">
        <f t="shared" si="352"/>
        <v>#DIV/0!</v>
      </c>
      <c r="AZ378" s="486" t="e">
        <f t="shared" si="353"/>
        <v>#DIV/0!</v>
      </c>
      <c r="BA378" s="486">
        <f t="shared" si="343"/>
        <v>0</v>
      </c>
      <c r="BB378" s="494">
        <v>5155.41</v>
      </c>
      <c r="BC378" s="494">
        <v>2070.12</v>
      </c>
      <c r="BD378" s="494">
        <v>848.92</v>
      </c>
      <c r="BE378" s="494">
        <v>819.73</v>
      </c>
      <c r="BF378" s="494">
        <v>611.5</v>
      </c>
      <c r="BG378" s="494">
        <v>1080.04</v>
      </c>
      <c r="BH378" s="494">
        <v>2671800.0099999998</v>
      </c>
      <c r="BI378" s="494">
        <f t="shared" si="376"/>
        <v>4607.6000000000004</v>
      </c>
      <c r="BJ378" s="494">
        <v>14289.54</v>
      </c>
      <c r="BK378" s="494">
        <v>3389.61</v>
      </c>
      <c r="BL378" s="494">
        <v>5995.76</v>
      </c>
      <c r="BM378" s="494">
        <v>548.62</v>
      </c>
      <c r="BN378" s="495" t="e">
        <f t="shared" si="354"/>
        <v>#DIV/0!</v>
      </c>
      <c r="BO378" s="495" t="e">
        <f t="shared" si="355"/>
        <v>#DIV/0!</v>
      </c>
      <c r="BP378" s="495" t="e">
        <f t="shared" si="356"/>
        <v>#DIV/0!</v>
      </c>
      <c r="BQ378" s="495" t="e">
        <f t="shared" si="357"/>
        <v>#DIV/0!</v>
      </c>
      <c r="BR378" s="495" t="e">
        <f t="shared" si="358"/>
        <v>#DIV/0!</v>
      </c>
      <c r="BS378" s="495" t="e">
        <f t="shared" si="359"/>
        <v>#DIV/0!</v>
      </c>
      <c r="BT378" s="495" t="e">
        <f t="shared" si="360"/>
        <v>#DIV/0!</v>
      </c>
      <c r="BU378" s="495" t="str">
        <f t="shared" si="361"/>
        <v xml:space="preserve"> </v>
      </c>
      <c r="BV378" s="495" t="e">
        <f t="shared" si="362"/>
        <v>#DIV/0!</v>
      </c>
      <c r="BW378" s="495" t="e">
        <f t="shared" si="363"/>
        <v>#DIV/0!</v>
      </c>
      <c r="BX378" s="495" t="e">
        <f t="shared" si="364"/>
        <v>#DIV/0!</v>
      </c>
      <c r="BY378" s="495" t="str">
        <f t="shared" si="365"/>
        <v xml:space="preserve"> </v>
      </c>
    </row>
    <row r="379" spans="1:77" s="28" customFormat="1" ht="9" customHeight="1">
      <c r="A379" s="406">
        <v>19</v>
      </c>
      <c r="B379" s="206" t="s">
        <v>641</v>
      </c>
      <c r="C379" s="376">
        <v>5711</v>
      </c>
      <c r="D379" s="376"/>
      <c r="E379" s="413" t="s">
        <v>1005</v>
      </c>
      <c r="F379" s="413"/>
      <c r="G379" s="413"/>
      <c r="H379" s="211">
        <v>7001400</v>
      </c>
      <c r="I379" s="407">
        <f t="shared" si="392"/>
        <v>0</v>
      </c>
      <c r="J379" s="217">
        <v>0</v>
      </c>
      <c r="K379" s="469">
        <v>0</v>
      </c>
      <c r="L379" s="217">
        <v>0</v>
      </c>
      <c r="M379" s="469">
        <v>0</v>
      </c>
      <c r="N379" s="217">
        <v>0</v>
      </c>
      <c r="O379" s="249">
        <v>0</v>
      </c>
      <c r="P379" s="407">
        <v>0</v>
      </c>
      <c r="Q379" s="249">
        <v>0</v>
      </c>
      <c r="R379" s="407">
        <v>0</v>
      </c>
      <c r="S379" s="249">
        <v>0</v>
      </c>
      <c r="T379" s="407">
        <v>0</v>
      </c>
      <c r="U379" s="130">
        <v>0</v>
      </c>
      <c r="V379" s="407">
        <v>0</v>
      </c>
      <c r="W379" s="410">
        <v>2100</v>
      </c>
      <c r="X379" s="407">
        <f t="shared" si="393"/>
        <v>6686337</v>
      </c>
      <c r="Y379" s="410">
        <v>0</v>
      </c>
      <c r="Z379" s="410">
        <v>0</v>
      </c>
      <c r="AA379" s="410">
        <v>0</v>
      </c>
      <c r="AB379" s="410">
        <v>0</v>
      </c>
      <c r="AC379" s="410">
        <v>0</v>
      </c>
      <c r="AD379" s="410">
        <v>0</v>
      </c>
      <c r="AE379" s="410">
        <v>0</v>
      </c>
      <c r="AF379" s="410">
        <v>0</v>
      </c>
      <c r="AG379" s="410">
        <v>0</v>
      </c>
      <c r="AH379" s="410">
        <v>0</v>
      </c>
      <c r="AI379" s="410">
        <v>0</v>
      </c>
      <c r="AJ379" s="410">
        <f t="shared" si="394"/>
        <v>210042</v>
      </c>
      <c r="AK379" s="410">
        <f t="shared" si="395"/>
        <v>105021</v>
      </c>
      <c r="AL379" s="410">
        <v>0</v>
      </c>
      <c r="AM379" s="446"/>
      <c r="AN379" s="446"/>
      <c r="AP379" s="486" t="e">
        <f t="shared" si="342"/>
        <v>#DIV/0!</v>
      </c>
      <c r="AQ379" s="486" t="e">
        <f t="shared" si="344"/>
        <v>#DIV/0!</v>
      </c>
      <c r="AR379" s="486" t="e">
        <f t="shared" si="345"/>
        <v>#DIV/0!</v>
      </c>
      <c r="AS379" s="486" t="e">
        <f t="shared" si="346"/>
        <v>#DIV/0!</v>
      </c>
      <c r="AT379" s="486" t="e">
        <f t="shared" si="347"/>
        <v>#DIV/0!</v>
      </c>
      <c r="AU379" s="486" t="e">
        <f t="shared" si="348"/>
        <v>#DIV/0!</v>
      </c>
      <c r="AV379" s="486" t="e">
        <f t="shared" si="349"/>
        <v>#DIV/0!</v>
      </c>
      <c r="AW379" s="486">
        <f t="shared" si="350"/>
        <v>3183.97</v>
      </c>
      <c r="AX379" s="486" t="e">
        <f t="shared" si="351"/>
        <v>#DIV/0!</v>
      </c>
      <c r="AY379" s="486" t="e">
        <f t="shared" si="352"/>
        <v>#DIV/0!</v>
      </c>
      <c r="AZ379" s="486" t="e">
        <f t="shared" si="353"/>
        <v>#DIV/0!</v>
      </c>
      <c r="BA379" s="486">
        <f t="shared" si="343"/>
        <v>0</v>
      </c>
      <c r="BB379" s="494">
        <v>5155.41</v>
      </c>
      <c r="BC379" s="494">
        <v>2070.12</v>
      </c>
      <c r="BD379" s="494">
        <v>848.92</v>
      </c>
      <c r="BE379" s="494">
        <v>819.73</v>
      </c>
      <c r="BF379" s="494">
        <v>611.5</v>
      </c>
      <c r="BG379" s="494">
        <v>1080.04</v>
      </c>
      <c r="BH379" s="494">
        <v>2671800.0099999998</v>
      </c>
      <c r="BI379" s="494">
        <f t="shared" si="376"/>
        <v>4607.6000000000004</v>
      </c>
      <c r="BJ379" s="494">
        <v>14289.54</v>
      </c>
      <c r="BK379" s="494">
        <v>3389.61</v>
      </c>
      <c r="BL379" s="494">
        <v>5995.76</v>
      </c>
      <c r="BM379" s="494">
        <v>548.62</v>
      </c>
      <c r="BN379" s="495" t="e">
        <f t="shared" si="354"/>
        <v>#DIV/0!</v>
      </c>
      <c r="BO379" s="495" t="e">
        <f t="shared" si="355"/>
        <v>#DIV/0!</v>
      </c>
      <c r="BP379" s="495" t="e">
        <f t="shared" si="356"/>
        <v>#DIV/0!</v>
      </c>
      <c r="BQ379" s="495" t="e">
        <f t="shared" si="357"/>
        <v>#DIV/0!</v>
      </c>
      <c r="BR379" s="495" t="e">
        <f t="shared" si="358"/>
        <v>#DIV/0!</v>
      </c>
      <c r="BS379" s="495" t="e">
        <f t="shared" si="359"/>
        <v>#DIV/0!</v>
      </c>
      <c r="BT379" s="495" t="e">
        <f t="shared" si="360"/>
        <v>#DIV/0!</v>
      </c>
      <c r="BU379" s="495" t="str">
        <f t="shared" si="361"/>
        <v xml:space="preserve"> </v>
      </c>
      <c r="BV379" s="495" t="e">
        <f t="shared" si="362"/>
        <v>#DIV/0!</v>
      </c>
      <c r="BW379" s="495" t="e">
        <f t="shared" si="363"/>
        <v>#DIV/0!</v>
      </c>
      <c r="BX379" s="495" t="e">
        <f t="shared" si="364"/>
        <v>#DIV/0!</v>
      </c>
      <c r="BY379" s="495" t="str">
        <f t="shared" si="365"/>
        <v xml:space="preserve"> </v>
      </c>
    </row>
    <row r="380" spans="1:77" s="28" customFormat="1" ht="9" customHeight="1">
      <c r="A380" s="406">
        <v>20</v>
      </c>
      <c r="B380" s="206" t="s">
        <v>642</v>
      </c>
      <c r="C380" s="376">
        <v>1992.5</v>
      </c>
      <c r="D380" s="376"/>
      <c r="E380" s="413" t="s">
        <v>1005</v>
      </c>
      <c r="F380" s="413"/>
      <c r="G380" s="413"/>
      <c r="H380" s="211">
        <v>2610522</v>
      </c>
      <c r="I380" s="407">
        <f t="shared" si="392"/>
        <v>0</v>
      </c>
      <c r="J380" s="217">
        <v>0</v>
      </c>
      <c r="K380" s="469">
        <v>0</v>
      </c>
      <c r="L380" s="217">
        <v>0</v>
      </c>
      <c r="M380" s="469">
        <v>0</v>
      </c>
      <c r="N380" s="217">
        <v>0</v>
      </c>
      <c r="O380" s="249">
        <v>0</v>
      </c>
      <c r="P380" s="407">
        <v>0</v>
      </c>
      <c r="Q380" s="249">
        <v>0</v>
      </c>
      <c r="R380" s="407">
        <v>0</v>
      </c>
      <c r="S380" s="249">
        <v>0</v>
      </c>
      <c r="T380" s="407">
        <v>0</v>
      </c>
      <c r="U380" s="130">
        <v>0</v>
      </c>
      <c r="V380" s="407">
        <v>0</v>
      </c>
      <c r="W380" s="410">
        <v>783</v>
      </c>
      <c r="X380" s="407">
        <f t="shared" si="393"/>
        <v>2493048.5099999998</v>
      </c>
      <c r="Y380" s="410">
        <v>0</v>
      </c>
      <c r="Z380" s="410">
        <v>0</v>
      </c>
      <c r="AA380" s="410">
        <v>0</v>
      </c>
      <c r="AB380" s="410">
        <v>0</v>
      </c>
      <c r="AC380" s="410">
        <v>0</v>
      </c>
      <c r="AD380" s="410">
        <v>0</v>
      </c>
      <c r="AE380" s="410">
        <v>0</v>
      </c>
      <c r="AF380" s="410">
        <v>0</v>
      </c>
      <c r="AG380" s="410">
        <v>0</v>
      </c>
      <c r="AH380" s="410">
        <v>0</v>
      </c>
      <c r="AI380" s="410">
        <v>0</v>
      </c>
      <c r="AJ380" s="410">
        <f t="shared" si="394"/>
        <v>78315.66</v>
      </c>
      <c r="AK380" s="410">
        <f t="shared" si="395"/>
        <v>39157.83</v>
      </c>
      <c r="AL380" s="410">
        <v>0</v>
      </c>
      <c r="AM380" s="446"/>
      <c r="AN380" s="446"/>
      <c r="AP380" s="486" t="e">
        <f t="shared" si="342"/>
        <v>#DIV/0!</v>
      </c>
      <c r="AQ380" s="486" t="e">
        <f t="shared" si="344"/>
        <v>#DIV/0!</v>
      </c>
      <c r="AR380" s="486" t="e">
        <f t="shared" si="345"/>
        <v>#DIV/0!</v>
      </c>
      <c r="AS380" s="486" t="e">
        <f t="shared" si="346"/>
        <v>#DIV/0!</v>
      </c>
      <c r="AT380" s="486" t="e">
        <f t="shared" si="347"/>
        <v>#DIV/0!</v>
      </c>
      <c r="AU380" s="486" t="e">
        <f t="shared" si="348"/>
        <v>#DIV/0!</v>
      </c>
      <c r="AV380" s="486" t="e">
        <f t="shared" si="349"/>
        <v>#DIV/0!</v>
      </c>
      <c r="AW380" s="486">
        <f t="shared" si="350"/>
        <v>3183.97</v>
      </c>
      <c r="AX380" s="486" t="e">
        <f t="shared" si="351"/>
        <v>#DIV/0!</v>
      </c>
      <c r="AY380" s="486" t="e">
        <f t="shared" si="352"/>
        <v>#DIV/0!</v>
      </c>
      <c r="AZ380" s="486" t="e">
        <f t="shared" si="353"/>
        <v>#DIV/0!</v>
      </c>
      <c r="BA380" s="486">
        <f t="shared" si="343"/>
        <v>0</v>
      </c>
      <c r="BB380" s="494">
        <v>5155.41</v>
      </c>
      <c r="BC380" s="494">
        <v>2070.12</v>
      </c>
      <c r="BD380" s="494">
        <v>848.92</v>
      </c>
      <c r="BE380" s="494">
        <v>819.73</v>
      </c>
      <c r="BF380" s="494">
        <v>611.5</v>
      </c>
      <c r="BG380" s="494">
        <v>1080.04</v>
      </c>
      <c r="BH380" s="494">
        <v>2671800.0099999998</v>
      </c>
      <c r="BI380" s="494">
        <f t="shared" si="376"/>
        <v>4607.6000000000004</v>
      </c>
      <c r="BJ380" s="494">
        <v>14289.54</v>
      </c>
      <c r="BK380" s="494">
        <v>3389.61</v>
      </c>
      <c r="BL380" s="494">
        <v>5995.76</v>
      </c>
      <c r="BM380" s="494">
        <v>548.62</v>
      </c>
      <c r="BN380" s="495" t="e">
        <f t="shared" si="354"/>
        <v>#DIV/0!</v>
      </c>
      <c r="BO380" s="495" t="e">
        <f t="shared" si="355"/>
        <v>#DIV/0!</v>
      </c>
      <c r="BP380" s="495" t="e">
        <f t="shared" si="356"/>
        <v>#DIV/0!</v>
      </c>
      <c r="BQ380" s="495" t="e">
        <f t="shared" si="357"/>
        <v>#DIV/0!</v>
      </c>
      <c r="BR380" s="495" t="e">
        <f t="shared" si="358"/>
        <v>#DIV/0!</v>
      </c>
      <c r="BS380" s="495" t="e">
        <f t="shared" si="359"/>
        <v>#DIV/0!</v>
      </c>
      <c r="BT380" s="495" t="e">
        <f t="shared" si="360"/>
        <v>#DIV/0!</v>
      </c>
      <c r="BU380" s="495" t="str">
        <f t="shared" si="361"/>
        <v xml:space="preserve"> </v>
      </c>
      <c r="BV380" s="495" t="e">
        <f t="shared" si="362"/>
        <v>#DIV/0!</v>
      </c>
      <c r="BW380" s="495" t="e">
        <f t="shared" si="363"/>
        <v>#DIV/0!</v>
      </c>
      <c r="BX380" s="495" t="e">
        <f t="shared" si="364"/>
        <v>#DIV/0!</v>
      </c>
      <c r="BY380" s="495" t="str">
        <f t="shared" si="365"/>
        <v xml:space="preserve"> </v>
      </c>
    </row>
    <row r="381" spans="1:77" s="28" customFormat="1" ht="9" customHeight="1">
      <c r="A381" s="406">
        <v>21</v>
      </c>
      <c r="B381" s="206" t="s">
        <v>643</v>
      </c>
      <c r="C381" s="376">
        <v>3489</v>
      </c>
      <c r="D381" s="376"/>
      <c r="E381" s="413" t="s">
        <v>1005</v>
      </c>
      <c r="F381" s="413"/>
      <c r="G381" s="413"/>
      <c r="H381" s="211">
        <v>3218310.2</v>
      </c>
      <c r="I381" s="407">
        <f t="shared" si="392"/>
        <v>0</v>
      </c>
      <c r="J381" s="217">
        <v>0</v>
      </c>
      <c r="K381" s="469">
        <v>0</v>
      </c>
      <c r="L381" s="217">
        <v>0</v>
      </c>
      <c r="M381" s="469">
        <v>0</v>
      </c>
      <c r="N381" s="217">
        <v>0</v>
      </c>
      <c r="O381" s="249">
        <v>0</v>
      </c>
      <c r="P381" s="407">
        <v>0</v>
      </c>
      <c r="Q381" s="249">
        <v>0</v>
      </c>
      <c r="R381" s="407">
        <v>0</v>
      </c>
      <c r="S381" s="249">
        <v>0</v>
      </c>
      <c r="T381" s="407">
        <v>0</v>
      </c>
      <c r="U381" s="130">
        <v>0</v>
      </c>
      <c r="V381" s="407">
        <v>0</v>
      </c>
      <c r="W381" s="410">
        <v>965.3</v>
      </c>
      <c r="X381" s="407">
        <f t="shared" si="393"/>
        <v>3073486.24</v>
      </c>
      <c r="Y381" s="410">
        <v>0</v>
      </c>
      <c r="Z381" s="410">
        <v>0</v>
      </c>
      <c r="AA381" s="410">
        <v>0</v>
      </c>
      <c r="AB381" s="410">
        <v>0</v>
      </c>
      <c r="AC381" s="410">
        <v>0</v>
      </c>
      <c r="AD381" s="410">
        <v>0</v>
      </c>
      <c r="AE381" s="410">
        <v>0</v>
      </c>
      <c r="AF381" s="410">
        <v>0</v>
      </c>
      <c r="AG381" s="410">
        <v>0</v>
      </c>
      <c r="AH381" s="410">
        <v>0</v>
      </c>
      <c r="AI381" s="410">
        <v>0</v>
      </c>
      <c r="AJ381" s="410">
        <f t="shared" si="394"/>
        <v>96549.31</v>
      </c>
      <c r="AK381" s="410">
        <f t="shared" si="395"/>
        <v>48274.65</v>
      </c>
      <c r="AL381" s="410">
        <v>0</v>
      </c>
      <c r="AM381" s="446"/>
      <c r="AN381" s="446"/>
      <c r="AP381" s="486" t="e">
        <f t="shared" si="342"/>
        <v>#DIV/0!</v>
      </c>
      <c r="AQ381" s="486" t="e">
        <f t="shared" si="344"/>
        <v>#DIV/0!</v>
      </c>
      <c r="AR381" s="486" t="e">
        <f t="shared" si="345"/>
        <v>#DIV/0!</v>
      </c>
      <c r="AS381" s="486" t="e">
        <f t="shared" si="346"/>
        <v>#DIV/0!</v>
      </c>
      <c r="AT381" s="486" t="e">
        <f t="shared" si="347"/>
        <v>#DIV/0!</v>
      </c>
      <c r="AU381" s="486" t="e">
        <f t="shared" si="348"/>
        <v>#DIV/0!</v>
      </c>
      <c r="AV381" s="486" t="e">
        <f t="shared" si="349"/>
        <v>#DIV/0!</v>
      </c>
      <c r="AW381" s="486">
        <f t="shared" si="350"/>
        <v>3183.969998964053</v>
      </c>
      <c r="AX381" s="486" t="e">
        <f t="shared" si="351"/>
        <v>#DIV/0!</v>
      </c>
      <c r="AY381" s="486" t="e">
        <f t="shared" si="352"/>
        <v>#DIV/0!</v>
      </c>
      <c r="AZ381" s="486" t="e">
        <f t="shared" si="353"/>
        <v>#DIV/0!</v>
      </c>
      <c r="BA381" s="486">
        <f t="shared" si="343"/>
        <v>0</v>
      </c>
      <c r="BB381" s="494">
        <v>5155.41</v>
      </c>
      <c r="BC381" s="494">
        <v>2070.12</v>
      </c>
      <c r="BD381" s="494">
        <v>848.92</v>
      </c>
      <c r="BE381" s="494">
        <v>819.73</v>
      </c>
      <c r="BF381" s="494">
        <v>611.5</v>
      </c>
      <c r="BG381" s="494">
        <v>1080.04</v>
      </c>
      <c r="BH381" s="494">
        <v>2671800.0099999998</v>
      </c>
      <c r="BI381" s="494">
        <f t="shared" si="376"/>
        <v>4607.6000000000004</v>
      </c>
      <c r="BJ381" s="494">
        <v>14289.54</v>
      </c>
      <c r="BK381" s="494">
        <v>3389.61</v>
      </c>
      <c r="BL381" s="494">
        <v>5995.76</v>
      </c>
      <c r="BM381" s="494">
        <v>548.62</v>
      </c>
      <c r="BN381" s="495" t="e">
        <f t="shared" si="354"/>
        <v>#DIV/0!</v>
      </c>
      <c r="BO381" s="495" t="e">
        <f t="shared" si="355"/>
        <v>#DIV/0!</v>
      </c>
      <c r="BP381" s="495" t="e">
        <f t="shared" si="356"/>
        <v>#DIV/0!</v>
      </c>
      <c r="BQ381" s="495" t="e">
        <f t="shared" si="357"/>
        <v>#DIV/0!</v>
      </c>
      <c r="BR381" s="495" t="e">
        <f t="shared" si="358"/>
        <v>#DIV/0!</v>
      </c>
      <c r="BS381" s="495" t="e">
        <f t="shared" si="359"/>
        <v>#DIV/0!</v>
      </c>
      <c r="BT381" s="495" t="e">
        <f t="shared" si="360"/>
        <v>#DIV/0!</v>
      </c>
      <c r="BU381" s="495" t="str">
        <f t="shared" si="361"/>
        <v xml:space="preserve"> </v>
      </c>
      <c r="BV381" s="495" t="e">
        <f t="shared" si="362"/>
        <v>#DIV/0!</v>
      </c>
      <c r="BW381" s="495" t="e">
        <f t="shared" si="363"/>
        <v>#DIV/0!</v>
      </c>
      <c r="BX381" s="495" t="e">
        <f t="shared" si="364"/>
        <v>#DIV/0!</v>
      </c>
      <c r="BY381" s="495" t="str">
        <f t="shared" si="365"/>
        <v xml:space="preserve"> </v>
      </c>
    </row>
    <row r="382" spans="1:77" s="28" customFormat="1" ht="9" customHeight="1">
      <c r="A382" s="406">
        <v>22</v>
      </c>
      <c r="B382" s="206" t="s">
        <v>644</v>
      </c>
      <c r="C382" s="376">
        <v>4272.3999999999996</v>
      </c>
      <c r="D382" s="376"/>
      <c r="E382" s="413" t="s">
        <v>1005</v>
      </c>
      <c r="F382" s="413"/>
      <c r="G382" s="413"/>
      <c r="H382" s="211">
        <v>3931786.2</v>
      </c>
      <c r="I382" s="407">
        <f t="shared" si="392"/>
        <v>0</v>
      </c>
      <c r="J382" s="217">
        <v>0</v>
      </c>
      <c r="K382" s="469">
        <v>0</v>
      </c>
      <c r="L382" s="217">
        <v>0</v>
      </c>
      <c r="M382" s="469">
        <v>0</v>
      </c>
      <c r="N382" s="217">
        <v>0</v>
      </c>
      <c r="O382" s="249">
        <v>0</v>
      </c>
      <c r="P382" s="407">
        <v>0</v>
      </c>
      <c r="Q382" s="249">
        <v>0</v>
      </c>
      <c r="R382" s="407">
        <v>0</v>
      </c>
      <c r="S382" s="249">
        <v>0</v>
      </c>
      <c r="T382" s="407">
        <v>0</v>
      </c>
      <c r="U382" s="130">
        <v>0</v>
      </c>
      <c r="V382" s="407">
        <v>0</v>
      </c>
      <c r="W382" s="410">
        <v>1179.3</v>
      </c>
      <c r="X382" s="407">
        <f t="shared" si="393"/>
        <v>3754855.82</v>
      </c>
      <c r="Y382" s="410">
        <v>0</v>
      </c>
      <c r="Z382" s="410">
        <v>0</v>
      </c>
      <c r="AA382" s="410">
        <v>0</v>
      </c>
      <c r="AB382" s="410">
        <v>0</v>
      </c>
      <c r="AC382" s="410">
        <v>0</v>
      </c>
      <c r="AD382" s="410">
        <v>0</v>
      </c>
      <c r="AE382" s="410">
        <v>0</v>
      </c>
      <c r="AF382" s="410">
        <v>0</v>
      </c>
      <c r="AG382" s="410">
        <v>0</v>
      </c>
      <c r="AH382" s="410">
        <v>0</v>
      </c>
      <c r="AI382" s="410">
        <v>0</v>
      </c>
      <c r="AJ382" s="410">
        <f t="shared" si="394"/>
        <v>117953.59</v>
      </c>
      <c r="AK382" s="410">
        <f t="shared" si="395"/>
        <v>58976.79</v>
      </c>
      <c r="AL382" s="410">
        <v>0</v>
      </c>
      <c r="AM382" s="446"/>
      <c r="AN382" s="446"/>
      <c r="AP382" s="486" t="e">
        <f t="shared" si="342"/>
        <v>#DIV/0!</v>
      </c>
      <c r="AQ382" s="486" t="e">
        <f t="shared" si="344"/>
        <v>#DIV/0!</v>
      </c>
      <c r="AR382" s="486" t="e">
        <f t="shared" si="345"/>
        <v>#DIV/0!</v>
      </c>
      <c r="AS382" s="486" t="e">
        <f t="shared" si="346"/>
        <v>#DIV/0!</v>
      </c>
      <c r="AT382" s="486" t="e">
        <f t="shared" si="347"/>
        <v>#DIV/0!</v>
      </c>
      <c r="AU382" s="486" t="e">
        <f t="shared" si="348"/>
        <v>#DIV/0!</v>
      </c>
      <c r="AV382" s="486" t="e">
        <f t="shared" si="349"/>
        <v>#DIV/0!</v>
      </c>
      <c r="AW382" s="486">
        <f t="shared" si="350"/>
        <v>3183.9699991520392</v>
      </c>
      <c r="AX382" s="486" t="e">
        <f t="shared" si="351"/>
        <v>#DIV/0!</v>
      </c>
      <c r="AY382" s="486" t="e">
        <f t="shared" si="352"/>
        <v>#DIV/0!</v>
      </c>
      <c r="AZ382" s="486" t="e">
        <f t="shared" si="353"/>
        <v>#DIV/0!</v>
      </c>
      <c r="BA382" s="486">
        <f t="shared" si="343"/>
        <v>0</v>
      </c>
      <c r="BB382" s="494">
        <v>5155.41</v>
      </c>
      <c r="BC382" s="494">
        <v>2070.12</v>
      </c>
      <c r="BD382" s="494">
        <v>848.92</v>
      </c>
      <c r="BE382" s="494">
        <v>819.73</v>
      </c>
      <c r="BF382" s="494">
        <v>611.5</v>
      </c>
      <c r="BG382" s="494">
        <v>1080.04</v>
      </c>
      <c r="BH382" s="494">
        <v>2671800.0099999998</v>
      </c>
      <c r="BI382" s="494">
        <f t="shared" si="376"/>
        <v>4607.6000000000004</v>
      </c>
      <c r="BJ382" s="494">
        <v>14289.54</v>
      </c>
      <c r="BK382" s="494">
        <v>3389.61</v>
      </c>
      <c r="BL382" s="494">
        <v>5995.76</v>
      </c>
      <c r="BM382" s="494">
        <v>548.62</v>
      </c>
      <c r="BN382" s="495" t="e">
        <f t="shared" si="354"/>
        <v>#DIV/0!</v>
      </c>
      <c r="BO382" s="495" t="e">
        <f t="shared" si="355"/>
        <v>#DIV/0!</v>
      </c>
      <c r="BP382" s="495" t="e">
        <f t="shared" si="356"/>
        <v>#DIV/0!</v>
      </c>
      <c r="BQ382" s="495" t="e">
        <f t="shared" si="357"/>
        <v>#DIV/0!</v>
      </c>
      <c r="BR382" s="495" t="e">
        <f t="shared" si="358"/>
        <v>#DIV/0!</v>
      </c>
      <c r="BS382" s="495" t="e">
        <f t="shared" si="359"/>
        <v>#DIV/0!</v>
      </c>
      <c r="BT382" s="495" t="e">
        <f t="shared" si="360"/>
        <v>#DIV/0!</v>
      </c>
      <c r="BU382" s="495" t="str">
        <f t="shared" si="361"/>
        <v xml:space="preserve"> </v>
      </c>
      <c r="BV382" s="495" t="e">
        <f t="shared" si="362"/>
        <v>#DIV/0!</v>
      </c>
      <c r="BW382" s="495" t="e">
        <f t="shared" si="363"/>
        <v>#DIV/0!</v>
      </c>
      <c r="BX382" s="495" t="e">
        <f t="shared" si="364"/>
        <v>#DIV/0!</v>
      </c>
      <c r="BY382" s="495" t="str">
        <f t="shared" si="365"/>
        <v xml:space="preserve"> </v>
      </c>
    </row>
    <row r="383" spans="1:77" s="28" customFormat="1" ht="9" customHeight="1">
      <c r="A383" s="406">
        <v>23</v>
      </c>
      <c r="B383" s="206" t="s">
        <v>645</v>
      </c>
      <c r="C383" s="376">
        <v>6688</v>
      </c>
      <c r="D383" s="376"/>
      <c r="E383" s="413"/>
      <c r="F383" s="413"/>
      <c r="G383" s="413"/>
      <c r="H383" s="211">
        <v>11589702.08</v>
      </c>
      <c r="I383" s="407">
        <f t="shared" si="392"/>
        <v>9005726.4000000004</v>
      </c>
      <c r="J383" s="217">
        <v>0</v>
      </c>
      <c r="K383" s="469">
        <v>0</v>
      </c>
      <c r="L383" s="217">
        <f>ROUND(0.955*(C383*1200),2)</f>
        <v>7664448</v>
      </c>
      <c r="M383" s="469">
        <v>0</v>
      </c>
      <c r="N383" s="217">
        <v>0</v>
      </c>
      <c r="O383" s="249">
        <v>0</v>
      </c>
      <c r="P383" s="407">
        <f>ROUND(0.955*(C383*210),2)</f>
        <v>1341278.3999999999</v>
      </c>
      <c r="Q383" s="249">
        <v>0</v>
      </c>
      <c r="R383" s="407">
        <v>0</v>
      </c>
      <c r="S383" s="249">
        <v>0</v>
      </c>
      <c r="T383" s="407">
        <v>0</v>
      </c>
      <c r="U383" s="130">
        <v>0</v>
      </c>
      <c r="V383" s="407">
        <v>0</v>
      </c>
      <c r="W383" s="410">
        <v>0</v>
      </c>
      <c r="X383" s="407">
        <v>0</v>
      </c>
      <c r="Y383" s="410">
        <v>0</v>
      </c>
      <c r="Z383" s="410">
        <v>0</v>
      </c>
      <c r="AA383" s="410">
        <v>0</v>
      </c>
      <c r="AB383" s="410">
        <v>0</v>
      </c>
      <c r="AC383" s="410">
        <v>0</v>
      </c>
      <c r="AD383" s="410">
        <v>0</v>
      </c>
      <c r="AE383" s="410">
        <v>0</v>
      </c>
      <c r="AF383" s="410">
        <v>0</v>
      </c>
      <c r="AG383" s="410">
        <v>0</v>
      </c>
      <c r="AH383" s="410">
        <v>0</v>
      </c>
      <c r="AI383" s="407">
        <f>ROUND(0.955*C383*322.91,2)</f>
        <v>2062439.09</v>
      </c>
      <c r="AJ383" s="410">
        <f>ROUND(0.03*(210+1200+322.91)*C383,2)</f>
        <v>347691.06</v>
      </c>
      <c r="AK383" s="410">
        <f>ROUND(0.015*(210+1200+322.91)*C383,2)</f>
        <v>173845.53</v>
      </c>
      <c r="AL383" s="410">
        <v>0</v>
      </c>
      <c r="AM383" s="446"/>
      <c r="AN383" s="446"/>
      <c r="AP383" s="486" t="e">
        <f t="shared" si="342"/>
        <v>#DIV/0!</v>
      </c>
      <c r="AQ383" s="486" t="e">
        <f t="shared" si="344"/>
        <v>#DIV/0!</v>
      </c>
      <c r="AR383" s="486" t="e">
        <f t="shared" si="345"/>
        <v>#DIV/0!</v>
      </c>
      <c r="AS383" s="486" t="e">
        <f t="shared" si="346"/>
        <v>#DIV/0!</v>
      </c>
      <c r="AT383" s="486" t="e">
        <f t="shared" si="347"/>
        <v>#DIV/0!</v>
      </c>
      <c r="AU383" s="486" t="e">
        <f t="shared" si="348"/>
        <v>#DIV/0!</v>
      </c>
      <c r="AV383" s="486" t="e">
        <f t="shared" si="349"/>
        <v>#DIV/0!</v>
      </c>
      <c r="AW383" s="486" t="e">
        <f t="shared" si="350"/>
        <v>#DIV/0!</v>
      </c>
      <c r="AX383" s="486" t="e">
        <f t="shared" si="351"/>
        <v>#DIV/0!</v>
      </c>
      <c r="AY383" s="486" t="e">
        <f t="shared" si="352"/>
        <v>#DIV/0!</v>
      </c>
      <c r="AZ383" s="486" t="e">
        <f t="shared" si="353"/>
        <v>#DIV/0!</v>
      </c>
      <c r="BA383" s="486">
        <f t="shared" si="343"/>
        <v>308.37905053827751</v>
      </c>
      <c r="BB383" s="494">
        <v>5155.41</v>
      </c>
      <c r="BC383" s="494">
        <v>2070.12</v>
      </c>
      <c r="BD383" s="494">
        <v>848.92</v>
      </c>
      <c r="BE383" s="494">
        <v>819.73</v>
      </c>
      <c r="BF383" s="494">
        <v>611.5</v>
      </c>
      <c r="BG383" s="494">
        <v>1080.04</v>
      </c>
      <c r="BH383" s="494">
        <v>2671800.0099999998</v>
      </c>
      <c r="BI383" s="494">
        <f t="shared" si="376"/>
        <v>4422.8500000000004</v>
      </c>
      <c r="BJ383" s="494">
        <v>14289.54</v>
      </c>
      <c r="BK383" s="494">
        <v>3389.61</v>
      </c>
      <c r="BL383" s="494">
        <v>5995.76</v>
      </c>
      <c r="BM383" s="494">
        <v>548.62</v>
      </c>
      <c r="BN383" s="495" t="e">
        <f t="shared" si="354"/>
        <v>#DIV/0!</v>
      </c>
      <c r="BO383" s="495" t="e">
        <f t="shared" si="355"/>
        <v>#DIV/0!</v>
      </c>
      <c r="BP383" s="495" t="e">
        <f t="shared" si="356"/>
        <v>#DIV/0!</v>
      </c>
      <c r="BQ383" s="495" t="e">
        <f t="shared" si="357"/>
        <v>#DIV/0!</v>
      </c>
      <c r="BR383" s="495" t="e">
        <f t="shared" si="358"/>
        <v>#DIV/0!</v>
      </c>
      <c r="BS383" s="495" t="e">
        <f t="shared" si="359"/>
        <v>#DIV/0!</v>
      </c>
      <c r="BT383" s="495" t="e">
        <f t="shared" si="360"/>
        <v>#DIV/0!</v>
      </c>
      <c r="BU383" s="495" t="e">
        <f t="shared" si="361"/>
        <v>#DIV/0!</v>
      </c>
      <c r="BV383" s="495" t="e">
        <f t="shared" si="362"/>
        <v>#DIV/0!</v>
      </c>
      <c r="BW383" s="495" t="e">
        <f t="shared" si="363"/>
        <v>#DIV/0!</v>
      </c>
      <c r="BX383" s="495" t="e">
        <f t="shared" si="364"/>
        <v>#DIV/0!</v>
      </c>
      <c r="BY383" s="495" t="str">
        <f t="shared" si="365"/>
        <v xml:space="preserve"> </v>
      </c>
    </row>
    <row r="384" spans="1:77" s="28" customFormat="1" ht="9" customHeight="1">
      <c r="A384" s="406">
        <v>24</v>
      </c>
      <c r="B384" s="206" t="s">
        <v>646</v>
      </c>
      <c r="C384" s="376">
        <v>2691.4</v>
      </c>
      <c r="D384" s="376"/>
      <c r="E384" s="413" t="s">
        <v>1005</v>
      </c>
      <c r="F384" s="413"/>
      <c r="G384" s="413"/>
      <c r="H384" s="211">
        <v>3604054</v>
      </c>
      <c r="I384" s="407">
        <f t="shared" si="392"/>
        <v>0</v>
      </c>
      <c r="J384" s="217">
        <v>0</v>
      </c>
      <c r="K384" s="469">
        <v>0</v>
      </c>
      <c r="L384" s="217">
        <v>0</v>
      </c>
      <c r="M384" s="469">
        <v>0</v>
      </c>
      <c r="N384" s="217">
        <v>0</v>
      </c>
      <c r="O384" s="249">
        <v>0</v>
      </c>
      <c r="P384" s="407">
        <v>0</v>
      </c>
      <c r="Q384" s="249">
        <v>0</v>
      </c>
      <c r="R384" s="407">
        <v>0</v>
      </c>
      <c r="S384" s="249">
        <v>0</v>
      </c>
      <c r="T384" s="407">
        <v>0</v>
      </c>
      <c r="U384" s="130">
        <v>0</v>
      </c>
      <c r="V384" s="407">
        <v>0</v>
      </c>
      <c r="W384" s="410">
        <v>1081</v>
      </c>
      <c r="X384" s="407">
        <f t="shared" si="393"/>
        <v>3441871.57</v>
      </c>
      <c r="Y384" s="410">
        <v>0</v>
      </c>
      <c r="Z384" s="410">
        <v>0</v>
      </c>
      <c r="AA384" s="410">
        <v>0</v>
      </c>
      <c r="AB384" s="410">
        <v>0</v>
      </c>
      <c r="AC384" s="410">
        <v>0</v>
      </c>
      <c r="AD384" s="410">
        <v>0</v>
      </c>
      <c r="AE384" s="410">
        <v>0</v>
      </c>
      <c r="AF384" s="410">
        <v>0</v>
      </c>
      <c r="AG384" s="410">
        <v>0</v>
      </c>
      <c r="AH384" s="410">
        <v>0</v>
      </c>
      <c r="AI384" s="410">
        <v>0</v>
      </c>
      <c r="AJ384" s="410">
        <f t="shared" si="394"/>
        <v>108121.62</v>
      </c>
      <c r="AK384" s="410">
        <f t="shared" si="395"/>
        <v>54060.81</v>
      </c>
      <c r="AL384" s="410">
        <v>0</v>
      </c>
      <c r="AM384" s="446"/>
      <c r="AN384" s="446"/>
      <c r="AP384" s="486" t="e">
        <f t="shared" si="342"/>
        <v>#DIV/0!</v>
      </c>
      <c r="AQ384" s="486" t="e">
        <f t="shared" si="344"/>
        <v>#DIV/0!</v>
      </c>
      <c r="AR384" s="486" t="e">
        <f t="shared" si="345"/>
        <v>#DIV/0!</v>
      </c>
      <c r="AS384" s="486" t="e">
        <f t="shared" si="346"/>
        <v>#DIV/0!</v>
      </c>
      <c r="AT384" s="486" t="e">
        <f t="shared" si="347"/>
        <v>#DIV/0!</v>
      </c>
      <c r="AU384" s="486" t="e">
        <f t="shared" si="348"/>
        <v>#DIV/0!</v>
      </c>
      <c r="AV384" s="486" t="e">
        <f t="shared" si="349"/>
        <v>#DIV/0!</v>
      </c>
      <c r="AW384" s="486">
        <f t="shared" si="350"/>
        <v>3183.97</v>
      </c>
      <c r="AX384" s="486" t="e">
        <f t="shared" si="351"/>
        <v>#DIV/0!</v>
      </c>
      <c r="AY384" s="486" t="e">
        <f t="shared" si="352"/>
        <v>#DIV/0!</v>
      </c>
      <c r="AZ384" s="486" t="e">
        <f t="shared" si="353"/>
        <v>#DIV/0!</v>
      </c>
      <c r="BA384" s="486">
        <f t="shared" si="343"/>
        <v>0</v>
      </c>
      <c r="BB384" s="494">
        <v>5155.41</v>
      </c>
      <c r="BC384" s="494">
        <v>2070.12</v>
      </c>
      <c r="BD384" s="494">
        <v>848.92</v>
      </c>
      <c r="BE384" s="494">
        <v>819.73</v>
      </c>
      <c r="BF384" s="494">
        <v>611.5</v>
      </c>
      <c r="BG384" s="494">
        <v>1080.04</v>
      </c>
      <c r="BH384" s="494">
        <v>2671800.0099999998</v>
      </c>
      <c r="BI384" s="494">
        <f t="shared" si="376"/>
        <v>4607.6000000000004</v>
      </c>
      <c r="BJ384" s="494">
        <v>14289.54</v>
      </c>
      <c r="BK384" s="494">
        <v>3389.61</v>
      </c>
      <c r="BL384" s="494">
        <v>5995.76</v>
      </c>
      <c r="BM384" s="494">
        <v>548.62</v>
      </c>
      <c r="BN384" s="495" t="e">
        <f t="shared" si="354"/>
        <v>#DIV/0!</v>
      </c>
      <c r="BO384" s="495" t="e">
        <f t="shared" si="355"/>
        <v>#DIV/0!</v>
      </c>
      <c r="BP384" s="495" t="e">
        <f t="shared" si="356"/>
        <v>#DIV/0!</v>
      </c>
      <c r="BQ384" s="495" t="e">
        <f t="shared" si="357"/>
        <v>#DIV/0!</v>
      </c>
      <c r="BR384" s="495" t="e">
        <f t="shared" si="358"/>
        <v>#DIV/0!</v>
      </c>
      <c r="BS384" s="495" t="e">
        <f t="shared" si="359"/>
        <v>#DIV/0!</v>
      </c>
      <c r="BT384" s="495" t="e">
        <f t="shared" si="360"/>
        <v>#DIV/0!</v>
      </c>
      <c r="BU384" s="495" t="str">
        <f t="shared" si="361"/>
        <v xml:space="preserve"> </v>
      </c>
      <c r="BV384" s="495" t="e">
        <f t="shared" si="362"/>
        <v>#DIV/0!</v>
      </c>
      <c r="BW384" s="495" t="e">
        <f t="shared" si="363"/>
        <v>#DIV/0!</v>
      </c>
      <c r="BX384" s="495" t="e">
        <f t="shared" si="364"/>
        <v>#DIV/0!</v>
      </c>
      <c r="BY384" s="495" t="str">
        <f t="shared" si="365"/>
        <v xml:space="preserve"> </v>
      </c>
    </row>
    <row r="385" spans="1:77" s="28" customFormat="1" ht="9" customHeight="1">
      <c r="A385" s="406">
        <v>25</v>
      </c>
      <c r="B385" s="206" t="s">
        <v>647</v>
      </c>
      <c r="C385" s="376">
        <v>2434.4</v>
      </c>
      <c r="D385" s="376"/>
      <c r="E385" s="413" t="s">
        <v>1005</v>
      </c>
      <c r="F385" s="413"/>
      <c r="G385" s="413"/>
      <c r="H385" s="211">
        <v>2770554</v>
      </c>
      <c r="I385" s="407">
        <f t="shared" si="392"/>
        <v>0</v>
      </c>
      <c r="J385" s="217">
        <v>0</v>
      </c>
      <c r="K385" s="469">
        <v>0</v>
      </c>
      <c r="L385" s="217">
        <v>0</v>
      </c>
      <c r="M385" s="469">
        <v>0</v>
      </c>
      <c r="N385" s="217">
        <v>0</v>
      </c>
      <c r="O385" s="249">
        <v>0</v>
      </c>
      <c r="P385" s="407">
        <v>0</v>
      </c>
      <c r="Q385" s="249">
        <v>0</v>
      </c>
      <c r="R385" s="407">
        <v>0</v>
      </c>
      <c r="S385" s="249">
        <v>0</v>
      </c>
      <c r="T385" s="407">
        <v>0</v>
      </c>
      <c r="U385" s="130">
        <v>0</v>
      </c>
      <c r="V385" s="407">
        <v>0</v>
      </c>
      <c r="W385" s="410">
        <v>831</v>
      </c>
      <c r="X385" s="407">
        <f t="shared" si="393"/>
        <v>2645879.0699999998</v>
      </c>
      <c r="Y385" s="410">
        <v>0</v>
      </c>
      <c r="Z385" s="410">
        <v>0</v>
      </c>
      <c r="AA385" s="410">
        <v>0</v>
      </c>
      <c r="AB385" s="410">
        <v>0</v>
      </c>
      <c r="AC385" s="410">
        <v>0</v>
      </c>
      <c r="AD385" s="410">
        <v>0</v>
      </c>
      <c r="AE385" s="410">
        <v>0</v>
      </c>
      <c r="AF385" s="410">
        <v>0</v>
      </c>
      <c r="AG385" s="410">
        <v>0</v>
      </c>
      <c r="AH385" s="410">
        <v>0</v>
      </c>
      <c r="AI385" s="410">
        <v>0</v>
      </c>
      <c r="AJ385" s="410">
        <f t="shared" si="394"/>
        <v>83116.62</v>
      </c>
      <c r="AK385" s="410">
        <f t="shared" si="395"/>
        <v>41558.31</v>
      </c>
      <c r="AL385" s="410">
        <v>0</v>
      </c>
      <c r="AM385" s="446"/>
      <c r="AN385" s="446"/>
      <c r="AP385" s="486" t="e">
        <f t="shared" si="342"/>
        <v>#DIV/0!</v>
      </c>
      <c r="AQ385" s="486" t="e">
        <f t="shared" si="344"/>
        <v>#DIV/0!</v>
      </c>
      <c r="AR385" s="486" t="e">
        <f t="shared" si="345"/>
        <v>#DIV/0!</v>
      </c>
      <c r="AS385" s="486" t="e">
        <f t="shared" si="346"/>
        <v>#DIV/0!</v>
      </c>
      <c r="AT385" s="486" t="e">
        <f t="shared" si="347"/>
        <v>#DIV/0!</v>
      </c>
      <c r="AU385" s="486" t="e">
        <f t="shared" si="348"/>
        <v>#DIV/0!</v>
      </c>
      <c r="AV385" s="486" t="e">
        <f t="shared" si="349"/>
        <v>#DIV/0!</v>
      </c>
      <c r="AW385" s="486">
        <f t="shared" si="350"/>
        <v>3183.97</v>
      </c>
      <c r="AX385" s="486" t="e">
        <f t="shared" si="351"/>
        <v>#DIV/0!</v>
      </c>
      <c r="AY385" s="486" t="e">
        <f t="shared" si="352"/>
        <v>#DIV/0!</v>
      </c>
      <c r="AZ385" s="486" t="e">
        <f t="shared" si="353"/>
        <v>#DIV/0!</v>
      </c>
      <c r="BA385" s="486">
        <f t="shared" si="343"/>
        <v>0</v>
      </c>
      <c r="BB385" s="494">
        <v>5155.41</v>
      </c>
      <c r="BC385" s="494">
        <v>2070.12</v>
      </c>
      <c r="BD385" s="494">
        <v>848.92</v>
      </c>
      <c r="BE385" s="494">
        <v>819.73</v>
      </c>
      <c r="BF385" s="494">
        <v>611.5</v>
      </c>
      <c r="BG385" s="494">
        <v>1080.04</v>
      </c>
      <c r="BH385" s="494">
        <v>2671800.0099999998</v>
      </c>
      <c r="BI385" s="494">
        <f t="shared" si="376"/>
        <v>4607.6000000000004</v>
      </c>
      <c r="BJ385" s="494">
        <v>14289.54</v>
      </c>
      <c r="BK385" s="494">
        <v>3389.61</v>
      </c>
      <c r="BL385" s="494">
        <v>5995.76</v>
      </c>
      <c r="BM385" s="494">
        <v>548.62</v>
      </c>
      <c r="BN385" s="495" t="e">
        <f t="shared" si="354"/>
        <v>#DIV/0!</v>
      </c>
      <c r="BO385" s="495" t="e">
        <f t="shared" si="355"/>
        <v>#DIV/0!</v>
      </c>
      <c r="BP385" s="495" t="e">
        <f t="shared" si="356"/>
        <v>#DIV/0!</v>
      </c>
      <c r="BQ385" s="495" t="e">
        <f t="shared" si="357"/>
        <v>#DIV/0!</v>
      </c>
      <c r="BR385" s="495" t="e">
        <f t="shared" si="358"/>
        <v>#DIV/0!</v>
      </c>
      <c r="BS385" s="495" t="e">
        <f t="shared" si="359"/>
        <v>#DIV/0!</v>
      </c>
      <c r="BT385" s="495" t="e">
        <f t="shared" si="360"/>
        <v>#DIV/0!</v>
      </c>
      <c r="BU385" s="495" t="str">
        <f t="shared" si="361"/>
        <v xml:space="preserve"> </v>
      </c>
      <c r="BV385" s="495" t="e">
        <f t="shared" si="362"/>
        <v>#DIV/0!</v>
      </c>
      <c r="BW385" s="495" t="e">
        <f t="shared" si="363"/>
        <v>#DIV/0!</v>
      </c>
      <c r="BX385" s="495" t="e">
        <f t="shared" si="364"/>
        <v>#DIV/0!</v>
      </c>
      <c r="BY385" s="495" t="str">
        <f t="shared" si="365"/>
        <v xml:space="preserve"> </v>
      </c>
    </row>
    <row r="386" spans="1:77" s="28" customFormat="1" ht="9" customHeight="1">
      <c r="A386" s="406">
        <v>26</v>
      </c>
      <c r="B386" s="206" t="s">
        <v>648</v>
      </c>
      <c r="C386" s="376">
        <v>3524.8</v>
      </c>
      <c r="D386" s="376"/>
      <c r="E386" s="413" t="s">
        <v>1005</v>
      </c>
      <c r="F386" s="413"/>
      <c r="G386" s="413"/>
      <c r="H386" s="211">
        <v>3237314</v>
      </c>
      <c r="I386" s="407">
        <f t="shared" si="392"/>
        <v>0</v>
      </c>
      <c r="J386" s="217">
        <v>0</v>
      </c>
      <c r="K386" s="469">
        <v>0</v>
      </c>
      <c r="L386" s="217">
        <v>0</v>
      </c>
      <c r="M386" s="469">
        <v>0</v>
      </c>
      <c r="N386" s="217">
        <v>0</v>
      </c>
      <c r="O386" s="249">
        <v>0</v>
      </c>
      <c r="P386" s="407">
        <v>0</v>
      </c>
      <c r="Q386" s="249">
        <v>0</v>
      </c>
      <c r="R386" s="407">
        <v>0</v>
      </c>
      <c r="S386" s="249">
        <v>0</v>
      </c>
      <c r="T386" s="407">
        <v>0</v>
      </c>
      <c r="U386" s="130">
        <v>0</v>
      </c>
      <c r="V386" s="407">
        <v>0</v>
      </c>
      <c r="W386" s="410">
        <v>971</v>
      </c>
      <c r="X386" s="407">
        <f t="shared" si="393"/>
        <v>3091634.87</v>
      </c>
      <c r="Y386" s="410">
        <v>0</v>
      </c>
      <c r="Z386" s="410">
        <v>0</v>
      </c>
      <c r="AA386" s="410">
        <v>0</v>
      </c>
      <c r="AB386" s="410">
        <v>0</v>
      </c>
      <c r="AC386" s="410">
        <v>0</v>
      </c>
      <c r="AD386" s="410">
        <v>0</v>
      </c>
      <c r="AE386" s="410">
        <v>0</v>
      </c>
      <c r="AF386" s="410">
        <v>0</v>
      </c>
      <c r="AG386" s="410">
        <v>0</v>
      </c>
      <c r="AH386" s="410">
        <v>0</v>
      </c>
      <c r="AI386" s="410">
        <v>0</v>
      </c>
      <c r="AJ386" s="410">
        <f t="shared" si="394"/>
        <v>97119.42</v>
      </c>
      <c r="AK386" s="410">
        <f t="shared" si="395"/>
        <v>48559.71</v>
      </c>
      <c r="AL386" s="410">
        <v>0</v>
      </c>
      <c r="AM386" s="446"/>
      <c r="AN386" s="446"/>
      <c r="AP386" s="486" t="e">
        <f t="shared" si="342"/>
        <v>#DIV/0!</v>
      </c>
      <c r="AQ386" s="486" t="e">
        <f t="shared" si="344"/>
        <v>#DIV/0!</v>
      </c>
      <c r="AR386" s="486" t="e">
        <f t="shared" si="345"/>
        <v>#DIV/0!</v>
      </c>
      <c r="AS386" s="486" t="e">
        <f t="shared" si="346"/>
        <v>#DIV/0!</v>
      </c>
      <c r="AT386" s="486" t="e">
        <f t="shared" si="347"/>
        <v>#DIV/0!</v>
      </c>
      <c r="AU386" s="486" t="e">
        <f t="shared" si="348"/>
        <v>#DIV/0!</v>
      </c>
      <c r="AV386" s="486" t="e">
        <f t="shared" si="349"/>
        <v>#DIV/0!</v>
      </c>
      <c r="AW386" s="486">
        <f t="shared" si="350"/>
        <v>3183.9700000000003</v>
      </c>
      <c r="AX386" s="486" t="e">
        <f t="shared" si="351"/>
        <v>#DIV/0!</v>
      </c>
      <c r="AY386" s="486" t="e">
        <f t="shared" si="352"/>
        <v>#DIV/0!</v>
      </c>
      <c r="AZ386" s="486" t="e">
        <f t="shared" si="353"/>
        <v>#DIV/0!</v>
      </c>
      <c r="BA386" s="486">
        <f t="shared" si="343"/>
        <v>0</v>
      </c>
      <c r="BB386" s="494">
        <v>5155.41</v>
      </c>
      <c r="BC386" s="494">
        <v>2070.12</v>
      </c>
      <c r="BD386" s="494">
        <v>848.92</v>
      </c>
      <c r="BE386" s="494">
        <v>819.73</v>
      </c>
      <c r="BF386" s="494">
        <v>611.5</v>
      </c>
      <c r="BG386" s="494">
        <v>1080.04</v>
      </c>
      <c r="BH386" s="494">
        <v>2671800.0099999998</v>
      </c>
      <c r="BI386" s="494">
        <f t="shared" si="376"/>
        <v>4607.6000000000004</v>
      </c>
      <c r="BJ386" s="494">
        <v>14289.54</v>
      </c>
      <c r="BK386" s="494">
        <v>3389.61</v>
      </c>
      <c r="BL386" s="494">
        <v>5995.76</v>
      </c>
      <c r="BM386" s="494">
        <v>548.62</v>
      </c>
      <c r="BN386" s="495" t="e">
        <f t="shared" si="354"/>
        <v>#DIV/0!</v>
      </c>
      <c r="BO386" s="495" t="e">
        <f t="shared" si="355"/>
        <v>#DIV/0!</v>
      </c>
      <c r="BP386" s="495" t="e">
        <f t="shared" si="356"/>
        <v>#DIV/0!</v>
      </c>
      <c r="BQ386" s="495" t="e">
        <f t="shared" si="357"/>
        <v>#DIV/0!</v>
      </c>
      <c r="BR386" s="495" t="e">
        <f t="shared" si="358"/>
        <v>#DIV/0!</v>
      </c>
      <c r="BS386" s="495" t="e">
        <f t="shared" si="359"/>
        <v>#DIV/0!</v>
      </c>
      <c r="BT386" s="495" t="e">
        <f t="shared" si="360"/>
        <v>#DIV/0!</v>
      </c>
      <c r="BU386" s="495" t="str">
        <f t="shared" si="361"/>
        <v xml:space="preserve"> </v>
      </c>
      <c r="BV386" s="495" t="e">
        <f t="shared" si="362"/>
        <v>#DIV/0!</v>
      </c>
      <c r="BW386" s="495" t="e">
        <f t="shared" si="363"/>
        <v>#DIV/0!</v>
      </c>
      <c r="BX386" s="495" t="e">
        <f t="shared" si="364"/>
        <v>#DIV/0!</v>
      </c>
      <c r="BY386" s="495" t="str">
        <f t="shared" si="365"/>
        <v xml:space="preserve"> </v>
      </c>
    </row>
    <row r="387" spans="1:77" s="28" customFormat="1" ht="9" customHeight="1">
      <c r="A387" s="406">
        <v>27</v>
      </c>
      <c r="B387" s="206" t="s">
        <v>649</v>
      </c>
      <c r="C387" s="376">
        <v>3483</v>
      </c>
      <c r="D387" s="376"/>
      <c r="E387" s="413" t="s">
        <v>1005</v>
      </c>
      <c r="F387" s="413"/>
      <c r="G387" s="413"/>
      <c r="H387" s="211">
        <v>3000600</v>
      </c>
      <c r="I387" s="407">
        <f t="shared" si="392"/>
        <v>0</v>
      </c>
      <c r="J387" s="217">
        <v>0</v>
      </c>
      <c r="K387" s="469">
        <v>0</v>
      </c>
      <c r="L387" s="217">
        <v>0</v>
      </c>
      <c r="M387" s="469">
        <v>0</v>
      </c>
      <c r="N387" s="217">
        <v>0</v>
      </c>
      <c r="O387" s="249">
        <v>0</v>
      </c>
      <c r="P387" s="407">
        <v>0</v>
      </c>
      <c r="Q387" s="249">
        <v>0</v>
      </c>
      <c r="R387" s="407">
        <v>0</v>
      </c>
      <c r="S387" s="249">
        <v>0</v>
      </c>
      <c r="T387" s="407">
        <v>0</v>
      </c>
      <c r="U387" s="130">
        <v>0</v>
      </c>
      <c r="V387" s="407">
        <v>0</v>
      </c>
      <c r="W387" s="410">
        <v>900</v>
      </c>
      <c r="X387" s="407">
        <f t="shared" si="393"/>
        <v>2865573</v>
      </c>
      <c r="Y387" s="410">
        <v>0</v>
      </c>
      <c r="Z387" s="410">
        <v>0</v>
      </c>
      <c r="AA387" s="410">
        <v>0</v>
      </c>
      <c r="AB387" s="410">
        <v>0</v>
      </c>
      <c r="AC387" s="410">
        <v>0</v>
      </c>
      <c r="AD387" s="410">
        <v>0</v>
      </c>
      <c r="AE387" s="410">
        <v>0</v>
      </c>
      <c r="AF387" s="410">
        <v>0</v>
      </c>
      <c r="AG387" s="410">
        <v>0</v>
      </c>
      <c r="AH387" s="410">
        <v>0</v>
      </c>
      <c r="AI387" s="410">
        <v>0</v>
      </c>
      <c r="AJ387" s="410">
        <f t="shared" si="394"/>
        <v>90018</v>
      </c>
      <c r="AK387" s="410">
        <f t="shared" si="395"/>
        <v>45009</v>
      </c>
      <c r="AL387" s="410">
        <v>0</v>
      </c>
      <c r="AM387" s="446"/>
      <c r="AN387" s="446"/>
      <c r="AP387" s="486" t="e">
        <f t="shared" si="342"/>
        <v>#DIV/0!</v>
      </c>
      <c r="AQ387" s="486" t="e">
        <f t="shared" si="344"/>
        <v>#DIV/0!</v>
      </c>
      <c r="AR387" s="486" t="e">
        <f t="shared" si="345"/>
        <v>#DIV/0!</v>
      </c>
      <c r="AS387" s="486" t="e">
        <f t="shared" si="346"/>
        <v>#DIV/0!</v>
      </c>
      <c r="AT387" s="486" t="e">
        <f t="shared" si="347"/>
        <v>#DIV/0!</v>
      </c>
      <c r="AU387" s="486" t="e">
        <f t="shared" si="348"/>
        <v>#DIV/0!</v>
      </c>
      <c r="AV387" s="486" t="e">
        <f t="shared" si="349"/>
        <v>#DIV/0!</v>
      </c>
      <c r="AW387" s="486">
        <f t="shared" si="350"/>
        <v>3183.97</v>
      </c>
      <c r="AX387" s="486" t="e">
        <f t="shared" si="351"/>
        <v>#DIV/0!</v>
      </c>
      <c r="AY387" s="486" t="e">
        <f t="shared" si="352"/>
        <v>#DIV/0!</v>
      </c>
      <c r="AZ387" s="486" t="e">
        <f t="shared" si="353"/>
        <v>#DIV/0!</v>
      </c>
      <c r="BA387" s="486">
        <f t="shared" si="343"/>
        <v>0</v>
      </c>
      <c r="BB387" s="494">
        <v>5155.41</v>
      </c>
      <c r="BC387" s="494">
        <v>2070.12</v>
      </c>
      <c r="BD387" s="494">
        <v>848.92</v>
      </c>
      <c r="BE387" s="494">
        <v>819.73</v>
      </c>
      <c r="BF387" s="494">
        <v>611.5</v>
      </c>
      <c r="BG387" s="494">
        <v>1080.04</v>
      </c>
      <c r="BH387" s="494">
        <v>2671800.0099999998</v>
      </c>
      <c r="BI387" s="494">
        <f t="shared" si="376"/>
        <v>4607.6000000000004</v>
      </c>
      <c r="BJ387" s="494">
        <v>14289.54</v>
      </c>
      <c r="BK387" s="494">
        <v>3389.61</v>
      </c>
      <c r="BL387" s="494">
        <v>5995.76</v>
      </c>
      <c r="BM387" s="494">
        <v>548.62</v>
      </c>
      <c r="BN387" s="495" t="e">
        <f t="shared" si="354"/>
        <v>#DIV/0!</v>
      </c>
      <c r="BO387" s="495" t="e">
        <f t="shared" si="355"/>
        <v>#DIV/0!</v>
      </c>
      <c r="BP387" s="495" t="e">
        <f t="shared" si="356"/>
        <v>#DIV/0!</v>
      </c>
      <c r="BQ387" s="495" t="e">
        <f t="shared" si="357"/>
        <v>#DIV/0!</v>
      </c>
      <c r="BR387" s="495" t="e">
        <f t="shared" si="358"/>
        <v>#DIV/0!</v>
      </c>
      <c r="BS387" s="495" t="e">
        <f t="shared" si="359"/>
        <v>#DIV/0!</v>
      </c>
      <c r="BT387" s="495" t="e">
        <f t="shared" si="360"/>
        <v>#DIV/0!</v>
      </c>
      <c r="BU387" s="495" t="str">
        <f t="shared" si="361"/>
        <v xml:space="preserve"> </v>
      </c>
      <c r="BV387" s="495" t="e">
        <f t="shared" si="362"/>
        <v>#DIV/0!</v>
      </c>
      <c r="BW387" s="495" t="e">
        <f t="shared" si="363"/>
        <v>#DIV/0!</v>
      </c>
      <c r="BX387" s="495" t="e">
        <f t="shared" si="364"/>
        <v>#DIV/0!</v>
      </c>
      <c r="BY387" s="495" t="str">
        <f t="shared" si="365"/>
        <v xml:space="preserve"> </v>
      </c>
    </row>
    <row r="388" spans="1:77" s="28" customFormat="1" ht="9" customHeight="1">
      <c r="A388" s="406">
        <v>28</v>
      </c>
      <c r="B388" s="206" t="s">
        <v>650</v>
      </c>
      <c r="C388" s="376">
        <v>1660.4</v>
      </c>
      <c r="D388" s="376"/>
      <c r="E388" s="413" t="s">
        <v>1006</v>
      </c>
      <c r="F388" s="413"/>
      <c r="G388" s="413"/>
      <c r="H388" s="211">
        <v>2092398</v>
      </c>
      <c r="I388" s="407">
        <f t="shared" si="392"/>
        <v>0</v>
      </c>
      <c r="J388" s="217">
        <v>0</v>
      </c>
      <c r="K388" s="469">
        <v>0</v>
      </c>
      <c r="L388" s="217">
        <v>0</v>
      </c>
      <c r="M388" s="469">
        <v>0</v>
      </c>
      <c r="N388" s="217">
        <v>0</v>
      </c>
      <c r="O388" s="249">
        <v>0</v>
      </c>
      <c r="P388" s="407">
        <v>0</v>
      </c>
      <c r="Q388" s="249">
        <v>0</v>
      </c>
      <c r="R388" s="407">
        <v>0</v>
      </c>
      <c r="S388" s="249">
        <v>0</v>
      </c>
      <c r="T388" s="407">
        <v>0</v>
      </c>
      <c r="U388" s="130">
        <v>0</v>
      </c>
      <c r="V388" s="407">
        <v>0</v>
      </c>
      <c r="W388" s="410">
        <v>647</v>
      </c>
      <c r="X388" s="407">
        <f t="shared" si="393"/>
        <v>1998240.09</v>
      </c>
      <c r="Y388" s="410">
        <v>0</v>
      </c>
      <c r="Z388" s="410">
        <v>0</v>
      </c>
      <c r="AA388" s="410">
        <v>0</v>
      </c>
      <c r="AB388" s="410">
        <v>0</v>
      </c>
      <c r="AC388" s="410">
        <v>0</v>
      </c>
      <c r="AD388" s="410">
        <v>0</v>
      </c>
      <c r="AE388" s="410">
        <v>0</v>
      </c>
      <c r="AF388" s="410">
        <v>0</v>
      </c>
      <c r="AG388" s="410">
        <v>0</v>
      </c>
      <c r="AH388" s="410">
        <v>0</v>
      </c>
      <c r="AI388" s="410">
        <v>0</v>
      </c>
      <c r="AJ388" s="410">
        <f t="shared" si="394"/>
        <v>62771.94</v>
      </c>
      <c r="AK388" s="410">
        <f t="shared" si="395"/>
        <v>31385.97</v>
      </c>
      <c r="AL388" s="410">
        <v>0</v>
      </c>
      <c r="AM388" s="446"/>
      <c r="AN388" s="446"/>
      <c r="AP388" s="486" t="e">
        <f t="shared" si="342"/>
        <v>#DIV/0!</v>
      </c>
      <c r="AQ388" s="486" t="e">
        <f t="shared" si="344"/>
        <v>#DIV/0!</v>
      </c>
      <c r="AR388" s="486" t="e">
        <f t="shared" si="345"/>
        <v>#DIV/0!</v>
      </c>
      <c r="AS388" s="486" t="e">
        <f t="shared" si="346"/>
        <v>#DIV/0!</v>
      </c>
      <c r="AT388" s="486" t="e">
        <f t="shared" si="347"/>
        <v>#DIV/0!</v>
      </c>
      <c r="AU388" s="486" t="e">
        <f t="shared" si="348"/>
        <v>#DIV/0!</v>
      </c>
      <c r="AV388" s="486" t="e">
        <f t="shared" si="349"/>
        <v>#DIV/0!</v>
      </c>
      <c r="AW388" s="486">
        <f t="shared" si="350"/>
        <v>3088.4700000000003</v>
      </c>
      <c r="AX388" s="486" t="e">
        <f t="shared" si="351"/>
        <v>#DIV/0!</v>
      </c>
      <c r="AY388" s="486" t="e">
        <f t="shared" si="352"/>
        <v>#DIV/0!</v>
      </c>
      <c r="AZ388" s="486" t="e">
        <f t="shared" si="353"/>
        <v>#DIV/0!</v>
      </c>
      <c r="BA388" s="486">
        <f t="shared" si="343"/>
        <v>0</v>
      </c>
      <c r="BB388" s="494">
        <v>5155.41</v>
      </c>
      <c r="BC388" s="494">
        <v>2070.12</v>
      </c>
      <c r="BD388" s="494">
        <v>848.92</v>
      </c>
      <c r="BE388" s="494">
        <v>819.73</v>
      </c>
      <c r="BF388" s="494">
        <v>611.5</v>
      </c>
      <c r="BG388" s="494">
        <v>1080.04</v>
      </c>
      <c r="BH388" s="494">
        <v>2671800.0099999998</v>
      </c>
      <c r="BI388" s="494">
        <f t="shared" si="376"/>
        <v>4422.8500000000004</v>
      </c>
      <c r="BJ388" s="494">
        <v>14289.54</v>
      </c>
      <c r="BK388" s="494">
        <v>3389.61</v>
      </c>
      <c r="BL388" s="494">
        <v>5995.76</v>
      </c>
      <c r="BM388" s="494">
        <v>548.62</v>
      </c>
      <c r="BN388" s="495" t="e">
        <f t="shared" si="354"/>
        <v>#DIV/0!</v>
      </c>
      <c r="BO388" s="495" t="e">
        <f t="shared" si="355"/>
        <v>#DIV/0!</v>
      </c>
      <c r="BP388" s="495" t="e">
        <f t="shared" si="356"/>
        <v>#DIV/0!</v>
      </c>
      <c r="BQ388" s="495" t="e">
        <f t="shared" si="357"/>
        <v>#DIV/0!</v>
      </c>
      <c r="BR388" s="495" t="e">
        <f t="shared" si="358"/>
        <v>#DIV/0!</v>
      </c>
      <c r="BS388" s="495" t="e">
        <f t="shared" si="359"/>
        <v>#DIV/0!</v>
      </c>
      <c r="BT388" s="495" t="e">
        <f t="shared" si="360"/>
        <v>#DIV/0!</v>
      </c>
      <c r="BU388" s="495" t="str">
        <f t="shared" si="361"/>
        <v xml:space="preserve"> </v>
      </c>
      <c r="BV388" s="495" t="e">
        <f t="shared" si="362"/>
        <v>#DIV/0!</v>
      </c>
      <c r="BW388" s="495" t="e">
        <f t="shared" si="363"/>
        <v>#DIV/0!</v>
      </c>
      <c r="BX388" s="495" t="e">
        <f t="shared" si="364"/>
        <v>#DIV/0!</v>
      </c>
      <c r="BY388" s="495" t="str">
        <f t="shared" si="365"/>
        <v xml:space="preserve"> </v>
      </c>
    </row>
    <row r="389" spans="1:77" s="28" customFormat="1" ht="9" customHeight="1">
      <c r="A389" s="406">
        <v>29</v>
      </c>
      <c r="B389" s="206" t="s">
        <v>651</v>
      </c>
      <c r="C389" s="376">
        <v>3517.9</v>
      </c>
      <c r="D389" s="376"/>
      <c r="E389" s="413" t="s">
        <v>1005</v>
      </c>
      <c r="F389" s="413"/>
      <c r="G389" s="413"/>
      <c r="H389" s="211">
        <v>3213976</v>
      </c>
      <c r="I389" s="407">
        <f t="shared" si="392"/>
        <v>0</v>
      </c>
      <c r="J389" s="217">
        <v>0</v>
      </c>
      <c r="K389" s="469">
        <v>0</v>
      </c>
      <c r="L389" s="217">
        <v>0</v>
      </c>
      <c r="M389" s="469">
        <v>0</v>
      </c>
      <c r="N389" s="217">
        <v>0</v>
      </c>
      <c r="O389" s="249">
        <v>0</v>
      </c>
      <c r="P389" s="407">
        <v>0</v>
      </c>
      <c r="Q389" s="249">
        <v>0</v>
      </c>
      <c r="R389" s="407">
        <v>0</v>
      </c>
      <c r="S389" s="249">
        <v>0</v>
      </c>
      <c r="T389" s="407">
        <v>0</v>
      </c>
      <c r="U389" s="130">
        <v>0</v>
      </c>
      <c r="V389" s="407">
        <v>0</v>
      </c>
      <c r="W389" s="410">
        <v>964</v>
      </c>
      <c r="X389" s="407">
        <f t="shared" si="393"/>
        <v>3069347.08</v>
      </c>
      <c r="Y389" s="410">
        <v>0</v>
      </c>
      <c r="Z389" s="410">
        <v>0</v>
      </c>
      <c r="AA389" s="410">
        <v>0</v>
      </c>
      <c r="AB389" s="410">
        <v>0</v>
      </c>
      <c r="AC389" s="410">
        <v>0</v>
      </c>
      <c r="AD389" s="410">
        <v>0</v>
      </c>
      <c r="AE389" s="410">
        <v>0</v>
      </c>
      <c r="AF389" s="410">
        <v>0</v>
      </c>
      <c r="AG389" s="410">
        <v>0</v>
      </c>
      <c r="AH389" s="410">
        <v>0</v>
      </c>
      <c r="AI389" s="410">
        <v>0</v>
      </c>
      <c r="AJ389" s="410">
        <f t="shared" si="394"/>
        <v>96419.28</v>
      </c>
      <c r="AK389" s="410">
        <f t="shared" si="395"/>
        <v>48209.64</v>
      </c>
      <c r="AL389" s="410">
        <v>0</v>
      </c>
      <c r="AM389" s="446"/>
      <c r="AN389" s="446"/>
      <c r="AP389" s="486" t="e">
        <f t="shared" si="342"/>
        <v>#DIV/0!</v>
      </c>
      <c r="AQ389" s="486" t="e">
        <f t="shared" si="344"/>
        <v>#DIV/0!</v>
      </c>
      <c r="AR389" s="486" t="e">
        <f t="shared" si="345"/>
        <v>#DIV/0!</v>
      </c>
      <c r="AS389" s="486" t="e">
        <f t="shared" si="346"/>
        <v>#DIV/0!</v>
      </c>
      <c r="AT389" s="486" t="e">
        <f t="shared" si="347"/>
        <v>#DIV/0!</v>
      </c>
      <c r="AU389" s="486" t="e">
        <f t="shared" si="348"/>
        <v>#DIV/0!</v>
      </c>
      <c r="AV389" s="486" t="e">
        <f t="shared" si="349"/>
        <v>#DIV/0!</v>
      </c>
      <c r="AW389" s="486">
        <f t="shared" si="350"/>
        <v>3183.9700000000003</v>
      </c>
      <c r="AX389" s="486" t="e">
        <f t="shared" si="351"/>
        <v>#DIV/0!</v>
      </c>
      <c r="AY389" s="486" t="e">
        <f t="shared" si="352"/>
        <v>#DIV/0!</v>
      </c>
      <c r="AZ389" s="486" t="e">
        <f t="shared" si="353"/>
        <v>#DIV/0!</v>
      </c>
      <c r="BA389" s="486">
        <f t="shared" si="343"/>
        <v>0</v>
      </c>
      <c r="BB389" s="494">
        <v>5155.41</v>
      </c>
      <c r="BC389" s="494">
        <v>2070.12</v>
      </c>
      <c r="BD389" s="494">
        <v>848.92</v>
      </c>
      <c r="BE389" s="494">
        <v>819.73</v>
      </c>
      <c r="BF389" s="494">
        <v>611.5</v>
      </c>
      <c r="BG389" s="494">
        <v>1080.04</v>
      </c>
      <c r="BH389" s="494">
        <v>2671800.0099999998</v>
      </c>
      <c r="BI389" s="494">
        <f t="shared" si="376"/>
        <v>4607.6000000000004</v>
      </c>
      <c r="BJ389" s="494">
        <v>14289.54</v>
      </c>
      <c r="BK389" s="494">
        <v>3389.61</v>
      </c>
      <c r="BL389" s="494">
        <v>5995.76</v>
      </c>
      <c r="BM389" s="494">
        <v>548.62</v>
      </c>
      <c r="BN389" s="495" t="e">
        <f t="shared" si="354"/>
        <v>#DIV/0!</v>
      </c>
      <c r="BO389" s="495" t="e">
        <f t="shared" si="355"/>
        <v>#DIV/0!</v>
      </c>
      <c r="BP389" s="495" t="e">
        <f t="shared" si="356"/>
        <v>#DIV/0!</v>
      </c>
      <c r="BQ389" s="495" t="e">
        <f t="shared" si="357"/>
        <v>#DIV/0!</v>
      </c>
      <c r="BR389" s="495" t="e">
        <f t="shared" si="358"/>
        <v>#DIV/0!</v>
      </c>
      <c r="BS389" s="495" t="e">
        <f t="shared" si="359"/>
        <v>#DIV/0!</v>
      </c>
      <c r="BT389" s="495" t="e">
        <f t="shared" si="360"/>
        <v>#DIV/0!</v>
      </c>
      <c r="BU389" s="495" t="str">
        <f t="shared" si="361"/>
        <v xml:space="preserve"> </v>
      </c>
      <c r="BV389" s="495" t="e">
        <f t="shared" si="362"/>
        <v>#DIV/0!</v>
      </c>
      <c r="BW389" s="495" t="e">
        <f t="shared" si="363"/>
        <v>#DIV/0!</v>
      </c>
      <c r="BX389" s="495" t="e">
        <f t="shared" si="364"/>
        <v>#DIV/0!</v>
      </c>
      <c r="BY389" s="495" t="str">
        <f t="shared" si="365"/>
        <v xml:space="preserve"> </v>
      </c>
    </row>
    <row r="390" spans="1:77" s="28" customFormat="1" ht="9" customHeight="1">
      <c r="A390" s="406">
        <v>30</v>
      </c>
      <c r="B390" s="206" t="s">
        <v>652</v>
      </c>
      <c r="C390" s="376">
        <v>3543</v>
      </c>
      <c r="D390" s="376"/>
      <c r="E390" s="413" t="s">
        <v>1005</v>
      </c>
      <c r="F390" s="413"/>
      <c r="G390" s="413"/>
      <c r="H390" s="211">
        <v>3270654</v>
      </c>
      <c r="I390" s="407">
        <f t="shared" si="392"/>
        <v>0</v>
      </c>
      <c r="J390" s="217">
        <v>0</v>
      </c>
      <c r="K390" s="469">
        <v>0</v>
      </c>
      <c r="L390" s="217">
        <v>0</v>
      </c>
      <c r="M390" s="469">
        <v>0</v>
      </c>
      <c r="N390" s="217">
        <v>0</v>
      </c>
      <c r="O390" s="249">
        <v>0</v>
      </c>
      <c r="P390" s="407">
        <v>0</v>
      </c>
      <c r="Q390" s="249">
        <v>0</v>
      </c>
      <c r="R390" s="407">
        <v>0</v>
      </c>
      <c r="S390" s="249">
        <v>0</v>
      </c>
      <c r="T390" s="407">
        <v>0</v>
      </c>
      <c r="U390" s="130">
        <v>0</v>
      </c>
      <c r="V390" s="407">
        <v>0</v>
      </c>
      <c r="W390" s="410">
        <v>981</v>
      </c>
      <c r="X390" s="407">
        <f t="shared" si="393"/>
        <v>3123474.57</v>
      </c>
      <c r="Y390" s="410">
        <v>0</v>
      </c>
      <c r="Z390" s="410">
        <v>0</v>
      </c>
      <c r="AA390" s="410">
        <v>0</v>
      </c>
      <c r="AB390" s="410">
        <v>0</v>
      </c>
      <c r="AC390" s="410">
        <v>0</v>
      </c>
      <c r="AD390" s="410">
        <v>0</v>
      </c>
      <c r="AE390" s="410">
        <v>0</v>
      </c>
      <c r="AF390" s="410">
        <v>0</v>
      </c>
      <c r="AG390" s="410">
        <v>0</v>
      </c>
      <c r="AH390" s="410">
        <v>0</v>
      </c>
      <c r="AI390" s="410">
        <v>0</v>
      </c>
      <c r="AJ390" s="410">
        <f t="shared" si="394"/>
        <v>98119.62</v>
      </c>
      <c r="AK390" s="410">
        <f t="shared" si="395"/>
        <v>49059.81</v>
      </c>
      <c r="AL390" s="410">
        <v>0</v>
      </c>
      <c r="AM390" s="446"/>
      <c r="AN390" s="446"/>
      <c r="AP390" s="486" t="e">
        <f t="shared" si="342"/>
        <v>#DIV/0!</v>
      </c>
      <c r="AQ390" s="486" t="e">
        <f t="shared" si="344"/>
        <v>#DIV/0!</v>
      </c>
      <c r="AR390" s="486" t="e">
        <f t="shared" si="345"/>
        <v>#DIV/0!</v>
      </c>
      <c r="AS390" s="486" t="e">
        <f t="shared" si="346"/>
        <v>#DIV/0!</v>
      </c>
      <c r="AT390" s="486" t="e">
        <f t="shared" si="347"/>
        <v>#DIV/0!</v>
      </c>
      <c r="AU390" s="486" t="e">
        <f t="shared" si="348"/>
        <v>#DIV/0!</v>
      </c>
      <c r="AV390" s="486" t="e">
        <f t="shared" si="349"/>
        <v>#DIV/0!</v>
      </c>
      <c r="AW390" s="486">
        <f t="shared" si="350"/>
        <v>3183.97</v>
      </c>
      <c r="AX390" s="486" t="e">
        <f t="shared" si="351"/>
        <v>#DIV/0!</v>
      </c>
      <c r="AY390" s="486" t="e">
        <f t="shared" si="352"/>
        <v>#DIV/0!</v>
      </c>
      <c r="AZ390" s="486" t="e">
        <f t="shared" si="353"/>
        <v>#DIV/0!</v>
      </c>
      <c r="BA390" s="486">
        <f t="shared" si="343"/>
        <v>0</v>
      </c>
      <c r="BB390" s="494">
        <v>5155.41</v>
      </c>
      <c r="BC390" s="494">
        <v>2070.12</v>
      </c>
      <c r="BD390" s="494">
        <v>848.92</v>
      </c>
      <c r="BE390" s="494">
        <v>819.73</v>
      </c>
      <c r="BF390" s="494">
        <v>611.5</v>
      </c>
      <c r="BG390" s="494">
        <v>1080.04</v>
      </c>
      <c r="BH390" s="494">
        <v>2671800.0099999998</v>
      </c>
      <c r="BI390" s="494">
        <f t="shared" si="376"/>
        <v>4607.6000000000004</v>
      </c>
      <c r="BJ390" s="494">
        <v>14289.54</v>
      </c>
      <c r="BK390" s="494">
        <v>3389.61</v>
      </c>
      <c r="BL390" s="494">
        <v>5995.76</v>
      </c>
      <c r="BM390" s="494">
        <v>548.62</v>
      </c>
      <c r="BN390" s="495" t="e">
        <f t="shared" si="354"/>
        <v>#DIV/0!</v>
      </c>
      <c r="BO390" s="495" t="e">
        <f t="shared" si="355"/>
        <v>#DIV/0!</v>
      </c>
      <c r="BP390" s="495" t="e">
        <f t="shared" si="356"/>
        <v>#DIV/0!</v>
      </c>
      <c r="BQ390" s="495" t="e">
        <f t="shared" si="357"/>
        <v>#DIV/0!</v>
      </c>
      <c r="BR390" s="495" t="e">
        <f t="shared" si="358"/>
        <v>#DIV/0!</v>
      </c>
      <c r="BS390" s="495" t="e">
        <f t="shared" si="359"/>
        <v>#DIV/0!</v>
      </c>
      <c r="BT390" s="495" t="e">
        <f t="shared" si="360"/>
        <v>#DIV/0!</v>
      </c>
      <c r="BU390" s="495" t="str">
        <f t="shared" si="361"/>
        <v xml:space="preserve"> </v>
      </c>
      <c r="BV390" s="495" t="e">
        <f t="shared" si="362"/>
        <v>#DIV/0!</v>
      </c>
      <c r="BW390" s="495" t="e">
        <f t="shared" si="363"/>
        <v>#DIV/0!</v>
      </c>
      <c r="BX390" s="495" t="e">
        <f t="shared" si="364"/>
        <v>#DIV/0!</v>
      </c>
      <c r="BY390" s="495" t="str">
        <f t="shared" si="365"/>
        <v xml:space="preserve"> </v>
      </c>
    </row>
    <row r="391" spans="1:77" s="28" customFormat="1" ht="9" customHeight="1">
      <c r="A391" s="406">
        <v>31</v>
      </c>
      <c r="B391" s="206" t="s">
        <v>653</v>
      </c>
      <c r="C391" s="376">
        <v>3546.1</v>
      </c>
      <c r="D391" s="376"/>
      <c r="E391" s="413" t="s">
        <v>1005</v>
      </c>
      <c r="F391" s="413"/>
      <c r="G391" s="413"/>
      <c r="H391" s="211">
        <v>3243982</v>
      </c>
      <c r="I391" s="407">
        <f t="shared" si="392"/>
        <v>0</v>
      </c>
      <c r="J391" s="217">
        <v>0</v>
      </c>
      <c r="K391" s="469">
        <v>0</v>
      </c>
      <c r="L391" s="217">
        <v>0</v>
      </c>
      <c r="M391" s="469">
        <v>0</v>
      </c>
      <c r="N391" s="217">
        <v>0</v>
      </c>
      <c r="O391" s="249">
        <v>0</v>
      </c>
      <c r="P391" s="407">
        <v>0</v>
      </c>
      <c r="Q391" s="249">
        <v>0</v>
      </c>
      <c r="R391" s="407">
        <v>0</v>
      </c>
      <c r="S391" s="249">
        <v>0</v>
      </c>
      <c r="T391" s="407">
        <v>0</v>
      </c>
      <c r="U391" s="130">
        <v>0</v>
      </c>
      <c r="V391" s="407">
        <v>0</v>
      </c>
      <c r="W391" s="410">
        <v>973</v>
      </c>
      <c r="X391" s="407">
        <f t="shared" si="393"/>
        <v>3098002.81</v>
      </c>
      <c r="Y391" s="410">
        <v>0</v>
      </c>
      <c r="Z391" s="410">
        <v>0</v>
      </c>
      <c r="AA391" s="410">
        <v>0</v>
      </c>
      <c r="AB391" s="410">
        <v>0</v>
      </c>
      <c r="AC391" s="410">
        <v>0</v>
      </c>
      <c r="AD391" s="410">
        <v>0</v>
      </c>
      <c r="AE391" s="410">
        <v>0</v>
      </c>
      <c r="AF391" s="410">
        <v>0</v>
      </c>
      <c r="AG391" s="410">
        <v>0</v>
      </c>
      <c r="AH391" s="410">
        <v>0</v>
      </c>
      <c r="AI391" s="410">
        <v>0</v>
      </c>
      <c r="AJ391" s="410">
        <f t="shared" si="394"/>
        <v>97319.46</v>
      </c>
      <c r="AK391" s="410">
        <f t="shared" si="395"/>
        <v>48659.73</v>
      </c>
      <c r="AL391" s="410">
        <v>0</v>
      </c>
      <c r="AM391" s="446"/>
      <c r="AN391" s="446"/>
      <c r="AP391" s="486" t="e">
        <f t="shared" si="342"/>
        <v>#DIV/0!</v>
      </c>
      <c r="AQ391" s="486" t="e">
        <f t="shared" si="344"/>
        <v>#DIV/0!</v>
      </c>
      <c r="AR391" s="486" t="e">
        <f t="shared" si="345"/>
        <v>#DIV/0!</v>
      </c>
      <c r="AS391" s="486" t="e">
        <f t="shared" si="346"/>
        <v>#DIV/0!</v>
      </c>
      <c r="AT391" s="486" t="e">
        <f t="shared" si="347"/>
        <v>#DIV/0!</v>
      </c>
      <c r="AU391" s="486" t="e">
        <f t="shared" si="348"/>
        <v>#DIV/0!</v>
      </c>
      <c r="AV391" s="486" t="e">
        <f t="shared" si="349"/>
        <v>#DIV/0!</v>
      </c>
      <c r="AW391" s="486">
        <f t="shared" si="350"/>
        <v>3183.9700000000003</v>
      </c>
      <c r="AX391" s="486" t="e">
        <f t="shared" si="351"/>
        <v>#DIV/0!</v>
      </c>
      <c r="AY391" s="486" t="e">
        <f t="shared" si="352"/>
        <v>#DIV/0!</v>
      </c>
      <c r="AZ391" s="486" t="e">
        <f t="shared" si="353"/>
        <v>#DIV/0!</v>
      </c>
      <c r="BA391" s="486">
        <f t="shared" si="343"/>
        <v>0</v>
      </c>
      <c r="BB391" s="494">
        <v>5155.41</v>
      </c>
      <c r="BC391" s="494">
        <v>2070.12</v>
      </c>
      <c r="BD391" s="494">
        <v>848.92</v>
      </c>
      <c r="BE391" s="494">
        <v>819.73</v>
      </c>
      <c r="BF391" s="494">
        <v>611.5</v>
      </c>
      <c r="BG391" s="494">
        <v>1080.04</v>
      </c>
      <c r="BH391" s="494">
        <v>2671800.0099999998</v>
      </c>
      <c r="BI391" s="494">
        <f t="shared" si="376"/>
        <v>4607.6000000000004</v>
      </c>
      <c r="BJ391" s="494">
        <v>14289.54</v>
      </c>
      <c r="BK391" s="494">
        <v>3389.61</v>
      </c>
      <c r="BL391" s="494">
        <v>5995.76</v>
      </c>
      <c r="BM391" s="494">
        <v>548.62</v>
      </c>
      <c r="BN391" s="495" t="e">
        <f t="shared" si="354"/>
        <v>#DIV/0!</v>
      </c>
      <c r="BO391" s="495" t="e">
        <f t="shared" si="355"/>
        <v>#DIV/0!</v>
      </c>
      <c r="BP391" s="495" t="e">
        <f t="shared" si="356"/>
        <v>#DIV/0!</v>
      </c>
      <c r="BQ391" s="495" t="e">
        <f t="shared" si="357"/>
        <v>#DIV/0!</v>
      </c>
      <c r="BR391" s="495" t="e">
        <f t="shared" si="358"/>
        <v>#DIV/0!</v>
      </c>
      <c r="BS391" s="495" t="e">
        <f t="shared" si="359"/>
        <v>#DIV/0!</v>
      </c>
      <c r="BT391" s="495" t="e">
        <f t="shared" si="360"/>
        <v>#DIV/0!</v>
      </c>
      <c r="BU391" s="495" t="str">
        <f t="shared" si="361"/>
        <v xml:space="preserve"> </v>
      </c>
      <c r="BV391" s="495" t="e">
        <f t="shared" si="362"/>
        <v>#DIV/0!</v>
      </c>
      <c r="BW391" s="495" t="e">
        <f t="shared" si="363"/>
        <v>#DIV/0!</v>
      </c>
      <c r="BX391" s="495" t="e">
        <f t="shared" si="364"/>
        <v>#DIV/0!</v>
      </c>
      <c r="BY391" s="495" t="str">
        <f t="shared" si="365"/>
        <v xml:space="preserve"> </v>
      </c>
    </row>
    <row r="392" spans="1:77" s="28" customFormat="1" ht="9" customHeight="1">
      <c r="A392" s="406">
        <v>32</v>
      </c>
      <c r="B392" s="206" t="s">
        <v>654</v>
      </c>
      <c r="C392" s="376">
        <v>2552.8000000000002</v>
      </c>
      <c r="D392" s="376"/>
      <c r="E392" s="413" t="s">
        <v>1005</v>
      </c>
      <c r="F392" s="413"/>
      <c r="G392" s="413"/>
      <c r="H392" s="211">
        <v>3800760</v>
      </c>
      <c r="I392" s="407">
        <f t="shared" si="392"/>
        <v>0</v>
      </c>
      <c r="J392" s="217">
        <v>0</v>
      </c>
      <c r="K392" s="469">
        <v>0</v>
      </c>
      <c r="L392" s="217">
        <v>0</v>
      </c>
      <c r="M392" s="469">
        <v>0</v>
      </c>
      <c r="N392" s="217">
        <v>0</v>
      </c>
      <c r="O392" s="249">
        <v>0</v>
      </c>
      <c r="P392" s="407">
        <v>0</v>
      </c>
      <c r="Q392" s="249">
        <v>0</v>
      </c>
      <c r="R392" s="407">
        <v>0</v>
      </c>
      <c r="S392" s="249">
        <v>0</v>
      </c>
      <c r="T392" s="407">
        <v>0</v>
      </c>
      <c r="U392" s="130">
        <v>0</v>
      </c>
      <c r="V392" s="407">
        <v>0</v>
      </c>
      <c r="W392" s="410">
        <v>1140</v>
      </c>
      <c r="X392" s="407">
        <f t="shared" si="393"/>
        <v>3629725.8</v>
      </c>
      <c r="Y392" s="410">
        <v>0</v>
      </c>
      <c r="Z392" s="410">
        <v>0</v>
      </c>
      <c r="AA392" s="410">
        <v>0</v>
      </c>
      <c r="AB392" s="410">
        <v>0</v>
      </c>
      <c r="AC392" s="410">
        <v>0</v>
      </c>
      <c r="AD392" s="410">
        <v>0</v>
      </c>
      <c r="AE392" s="410">
        <v>0</v>
      </c>
      <c r="AF392" s="410">
        <v>0</v>
      </c>
      <c r="AG392" s="410">
        <v>0</v>
      </c>
      <c r="AH392" s="410">
        <v>0</v>
      </c>
      <c r="AI392" s="410">
        <v>0</v>
      </c>
      <c r="AJ392" s="410">
        <f t="shared" si="394"/>
        <v>114022.8</v>
      </c>
      <c r="AK392" s="410">
        <f t="shared" si="395"/>
        <v>57011.4</v>
      </c>
      <c r="AL392" s="410">
        <v>0</v>
      </c>
      <c r="AM392" s="446"/>
      <c r="AN392" s="446"/>
      <c r="AP392" s="486" t="e">
        <f t="shared" si="342"/>
        <v>#DIV/0!</v>
      </c>
      <c r="AQ392" s="486" t="e">
        <f t="shared" si="344"/>
        <v>#DIV/0!</v>
      </c>
      <c r="AR392" s="486" t="e">
        <f t="shared" si="345"/>
        <v>#DIV/0!</v>
      </c>
      <c r="AS392" s="486" t="e">
        <f t="shared" si="346"/>
        <v>#DIV/0!</v>
      </c>
      <c r="AT392" s="486" t="e">
        <f t="shared" si="347"/>
        <v>#DIV/0!</v>
      </c>
      <c r="AU392" s="486" t="e">
        <f t="shared" si="348"/>
        <v>#DIV/0!</v>
      </c>
      <c r="AV392" s="486" t="e">
        <f t="shared" si="349"/>
        <v>#DIV/0!</v>
      </c>
      <c r="AW392" s="486">
        <f t="shared" si="350"/>
        <v>3183.97</v>
      </c>
      <c r="AX392" s="486" t="e">
        <f t="shared" si="351"/>
        <v>#DIV/0!</v>
      </c>
      <c r="AY392" s="486" t="e">
        <f t="shared" si="352"/>
        <v>#DIV/0!</v>
      </c>
      <c r="AZ392" s="486" t="e">
        <f t="shared" si="353"/>
        <v>#DIV/0!</v>
      </c>
      <c r="BA392" s="486">
        <f t="shared" si="343"/>
        <v>0</v>
      </c>
      <c r="BB392" s="494">
        <v>5155.41</v>
      </c>
      <c r="BC392" s="494">
        <v>2070.12</v>
      </c>
      <c r="BD392" s="494">
        <v>848.92</v>
      </c>
      <c r="BE392" s="494">
        <v>819.73</v>
      </c>
      <c r="BF392" s="494">
        <v>611.5</v>
      </c>
      <c r="BG392" s="494">
        <v>1080.04</v>
      </c>
      <c r="BH392" s="494">
        <v>2671800.0099999998</v>
      </c>
      <c r="BI392" s="494">
        <f t="shared" si="376"/>
        <v>4607.6000000000004</v>
      </c>
      <c r="BJ392" s="494">
        <v>14289.54</v>
      </c>
      <c r="BK392" s="494">
        <v>3389.61</v>
      </c>
      <c r="BL392" s="494">
        <v>5995.76</v>
      </c>
      <c r="BM392" s="494">
        <v>548.62</v>
      </c>
      <c r="BN392" s="495" t="e">
        <f t="shared" si="354"/>
        <v>#DIV/0!</v>
      </c>
      <c r="BO392" s="495" t="e">
        <f t="shared" si="355"/>
        <v>#DIV/0!</v>
      </c>
      <c r="BP392" s="495" t="e">
        <f t="shared" si="356"/>
        <v>#DIV/0!</v>
      </c>
      <c r="BQ392" s="495" t="e">
        <f t="shared" si="357"/>
        <v>#DIV/0!</v>
      </c>
      <c r="BR392" s="495" t="e">
        <f t="shared" si="358"/>
        <v>#DIV/0!</v>
      </c>
      <c r="BS392" s="495" t="e">
        <f t="shared" si="359"/>
        <v>#DIV/0!</v>
      </c>
      <c r="BT392" s="495" t="e">
        <f t="shared" si="360"/>
        <v>#DIV/0!</v>
      </c>
      <c r="BU392" s="495" t="str">
        <f t="shared" si="361"/>
        <v xml:space="preserve"> </v>
      </c>
      <c r="BV392" s="495" t="e">
        <f t="shared" si="362"/>
        <v>#DIV/0!</v>
      </c>
      <c r="BW392" s="495" t="e">
        <f t="shared" si="363"/>
        <v>#DIV/0!</v>
      </c>
      <c r="BX392" s="495" t="e">
        <f t="shared" si="364"/>
        <v>#DIV/0!</v>
      </c>
      <c r="BY392" s="495" t="str">
        <f t="shared" si="365"/>
        <v xml:space="preserve"> </v>
      </c>
    </row>
    <row r="393" spans="1:77" s="28" customFormat="1" ht="9" customHeight="1">
      <c r="A393" s="406">
        <v>33</v>
      </c>
      <c r="B393" s="206" t="s">
        <v>655</v>
      </c>
      <c r="C393" s="376">
        <v>2652.1</v>
      </c>
      <c r="D393" s="376"/>
      <c r="E393" s="413" t="s">
        <v>1005</v>
      </c>
      <c r="F393" s="413"/>
      <c r="G393" s="413"/>
      <c r="H393" s="211">
        <v>3764086</v>
      </c>
      <c r="I393" s="407">
        <f t="shared" si="392"/>
        <v>0</v>
      </c>
      <c r="J393" s="217">
        <v>0</v>
      </c>
      <c r="K393" s="469">
        <v>0</v>
      </c>
      <c r="L393" s="217">
        <v>0</v>
      </c>
      <c r="M393" s="469">
        <v>0</v>
      </c>
      <c r="N393" s="217">
        <v>0</v>
      </c>
      <c r="O393" s="249">
        <v>0</v>
      </c>
      <c r="P393" s="407">
        <v>0</v>
      </c>
      <c r="Q393" s="249">
        <v>0</v>
      </c>
      <c r="R393" s="407">
        <v>0</v>
      </c>
      <c r="S393" s="249">
        <v>0</v>
      </c>
      <c r="T393" s="407">
        <v>0</v>
      </c>
      <c r="U393" s="130">
        <v>0</v>
      </c>
      <c r="V393" s="407">
        <v>0</v>
      </c>
      <c r="W393" s="410">
        <v>1129</v>
      </c>
      <c r="X393" s="407">
        <f t="shared" si="393"/>
        <v>3594702.13</v>
      </c>
      <c r="Y393" s="410">
        <v>0</v>
      </c>
      <c r="Z393" s="410">
        <v>0</v>
      </c>
      <c r="AA393" s="410">
        <v>0</v>
      </c>
      <c r="AB393" s="410">
        <v>0</v>
      </c>
      <c r="AC393" s="410">
        <v>0</v>
      </c>
      <c r="AD393" s="410">
        <v>0</v>
      </c>
      <c r="AE393" s="410">
        <v>0</v>
      </c>
      <c r="AF393" s="410">
        <v>0</v>
      </c>
      <c r="AG393" s="410">
        <v>0</v>
      </c>
      <c r="AH393" s="410">
        <v>0</v>
      </c>
      <c r="AI393" s="410">
        <v>0</v>
      </c>
      <c r="AJ393" s="410">
        <f t="shared" si="394"/>
        <v>112922.58</v>
      </c>
      <c r="AK393" s="410">
        <f t="shared" si="395"/>
        <v>56461.29</v>
      </c>
      <c r="AL393" s="410">
        <v>0</v>
      </c>
      <c r="AM393" s="446"/>
      <c r="AN393" s="446"/>
      <c r="AP393" s="486" t="e">
        <f t="shared" si="342"/>
        <v>#DIV/0!</v>
      </c>
      <c r="AQ393" s="486" t="e">
        <f t="shared" si="344"/>
        <v>#DIV/0!</v>
      </c>
      <c r="AR393" s="486" t="e">
        <f t="shared" si="345"/>
        <v>#DIV/0!</v>
      </c>
      <c r="AS393" s="486" t="e">
        <f t="shared" si="346"/>
        <v>#DIV/0!</v>
      </c>
      <c r="AT393" s="486" t="e">
        <f t="shared" si="347"/>
        <v>#DIV/0!</v>
      </c>
      <c r="AU393" s="486" t="e">
        <f t="shared" si="348"/>
        <v>#DIV/0!</v>
      </c>
      <c r="AV393" s="486" t="e">
        <f t="shared" si="349"/>
        <v>#DIV/0!</v>
      </c>
      <c r="AW393" s="486">
        <f t="shared" si="350"/>
        <v>3183.97</v>
      </c>
      <c r="AX393" s="486" t="e">
        <f t="shared" si="351"/>
        <v>#DIV/0!</v>
      </c>
      <c r="AY393" s="486" t="e">
        <f t="shared" si="352"/>
        <v>#DIV/0!</v>
      </c>
      <c r="AZ393" s="486" t="e">
        <f t="shared" si="353"/>
        <v>#DIV/0!</v>
      </c>
      <c r="BA393" s="486">
        <f t="shared" si="343"/>
        <v>0</v>
      </c>
      <c r="BB393" s="494">
        <v>5155.41</v>
      </c>
      <c r="BC393" s="494">
        <v>2070.12</v>
      </c>
      <c r="BD393" s="494">
        <v>848.92</v>
      </c>
      <c r="BE393" s="494">
        <v>819.73</v>
      </c>
      <c r="BF393" s="494">
        <v>611.5</v>
      </c>
      <c r="BG393" s="494">
        <v>1080.04</v>
      </c>
      <c r="BH393" s="494">
        <v>2671800.0099999998</v>
      </c>
      <c r="BI393" s="494">
        <f t="shared" si="376"/>
        <v>4607.6000000000004</v>
      </c>
      <c r="BJ393" s="494">
        <v>14289.54</v>
      </c>
      <c r="BK393" s="494">
        <v>3389.61</v>
      </c>
      <c r="BL393" s="494">
        <v>5995.76</v>
      </c>
      <c r="BM393" s="494">
        <v>548.62</v>
      </c>
      <c r="BN393" s="495" t="e">
        <f t="shared" si="354"/>
        <v>#DIV/0!</v>
      </c>
      <c r="BO393" s="495" t="e">
        <f t="shared" si="355"/>
        <v>#DIV/0!</v>
      </c>
      <c r="BP393" s="495" t="e">
        <f t="shared" si="356"/>
        <v>#DIV/0!</v>
      </c>
      <c r="BQ393" s="495" t="e">
        <f t="shared" si="357"/>
        <v>#DIV/0!</v>
      </c>
      <c r="BR393" s="495" t="e">
        <f t="shared" si="358"/>
        <v>#DIV/0!</v>
      </c>
      <c r="BS393" s="495" t="e">
        <f t="shared" si="359"/>
        <v>#DIV/0!</v>
      </c>
      <c r="BT393" s="495" t="e">
        <f t="shared" si="360"/>
        <v>#DIV/0!</v>
      </c>
      <c r="BU393" s="495" t="str">
        <f t="shared" si="361"/>
        <v xml:space="preserve"> </v>
      </c>
      <c r="BV393" s="495" t="e">
        <f t="shared" si="362"/>
        <v>#DIV/0!</v>
      </c>
      <c r="BW393" s="495" t="e">
        <f t="shared" si="363"/>
        <v>#DIV/0!</v>
      </c>
      <c r="BX393" s="495" t="e">
        <f t="shared" si="364"/>
        <v>#DIV/0!</v>
      </c>
      <c r="BY393" s="495" t="str">
        <f t="shared" si="365"/>
        <v xml:space="preserve"> </v>
      </c>
    </row>
    <row r="394" spans="1:77" s="28" customFormat="1" ht="9" customHeight="1">
      <c r="A394" s="406">
        <v>34</v>
      </c>
      <c r="B394" s="206" t="s">
        <v>656</v>
      </c>
      <c r="C394" s="376">
        <v>3633.5</v>
      </c>
      <c r="D394" s="376"/>
      <c r="E394" s="413" t="s">
        <v>1005</v>
      </c>
      <c r="F394" s="413"/>
      <c r="G394" s="413"/>
      <c r="H394" s="211">
        <v>4117490</v>
      </c>
      <c r="I394" s="407">
        <f t="shared" si="392"/>
        <v>0</v>
      </c>
      <c r="J394" s="217">
        <v>0</v>
      </c>
      <c r="K394" s="469">
        <v>0</v>
      </c>
      <c r="L394" s="217">
        <v>0</v>
      </c>
      <c r="M394" s="469">
        <v>0</v>
      </c>
      <c r="N394" s="217">
        <v>0</v>
      </c>
      <c r="O394" s="249">
        <v>0</v>
      </c>
      <c r="P394" s="407">
        <v>0</v>
      </c>
      <c r="Q394" s="249">
        <v>0</v>
      </c>
      <c r="R394" s="407">
        <v>0</v>
      </c>
      <c r="S394" s="249">
        <v>0</v>
      </c>
      <c r="T394" s="407">
        <v>0</v>
      </c>
      <c r="U394" s="130">
        <v>0</v>
      </c>
      <c r="V394" s="407">
        <v>0</v>
      </c>
      <c r="W394" s="410">
        <v>1235</v>
      </c>
      <c r="X394" s="407">
        <f t="shared" si="393"/>
        <v>3932202.95</v>
      </c>
      <c r="Y394" s="410">
        <v>0</v>
      </c>
      <c r="Z394" s="410">
        <v>0</v>
      </c>
      <c r="AA394" s="410">
        <v>0</v>
      </c>
      <c r="AB394" s="410">
        <v>0</v>
      </c>
      <c r="AC394" s="410">
        <v>0</v>
      </c>
      <c r="AD394" s="410">
        <v>0</v>
      </c>
      <c r="AE394" s="410">
        <v>0</v>
      </c>
      <c r="AF394" s="410">
        <v>0</v>
      </c>
      <c r="AG394" s="410">
        <v>0</v>
      </c>
      <c r="AH394" s="410">
        <v>0</v>
      </c>
      <c r="AI394" s="410">
        <v>0</v>
      </c>
      <c r="AJ394" s="410">
        <f t="shared" si="394"/>
        <v>123524.7</v>
      </c>
      <c r="AK394" s="410">
        <f t="shared" si="395"/>
        <v>61762.35</v>
      </c>
      <c r="AL394" s="410">
        <v>0</v>
      </c>
      <c r="AM394" s="446"/>
      <c r="AN394" s="446"/>
      <c r="AP394" s="486" t="e">
        <f t="shared" si="342"/>
        <v>#DIV/0!</v>
      </c>
      <c r="AQ394" s="486" t="e">
        <f t="shared" si="344"/>
        <v>#DIV/0!</v>
      </c>
      <c r="AR394" s="486" t="e">
        <f t="shared" si="345"/>
        <v>#DIV/0!</v>
      </c>
      <c r="AS394" s="486" t="e">
        <f t="shared" si="346"/>
        <v>#DIV/0!</v>
      </c>
      <c r="AT394" s="486" t="e">
        <f t="shared" si="347"/>
        <v>#DIV/0!</v>
      </c>
      <c r="AU394" s="486" t="e">
        <f t="shared" si="348"/>
        <v>#DIV/0!</v>
      </c>
      <c r="AV394" s="486" t="e">
        <f t="shared" si="349"/>
        <v>#DIV/0!</v>
      </c>
      <c r="AW394" s="486">
        <f t="shared" si="350"/>
        <v>3183.9700000000003</v>
      </c>
      <c r="AX394" s="486" t="e">
        <f t="shared" si="351"/>
        <v>#DIV/0!</v>
      </c>
      <c r="AY394" s="486" t="e">
        <f t="shared" si="352"/>
        <v>#DIV/0!</v>
      </c>
      <c r="AZ394" s="486" t="e">
        <f t="shared" si="353"/>
        <v>#DIV/0!</v>
      </c>
      <c r="BA394" s="486">
        <f t="shared" si="343"/>
        <v>0</v>
      </c>
      <c r="BB394" s="494">
        <v>5155.41</v>
      </c>
      <c r="BC394" s="494">
        <v>2070.12</v>
      </c>
      <c r="BD394" s="494">
        <v>848.92</v>
      </c>
      <c r="BE394" s="494">
        <v>819.73</v>
      </c>
      <c r="BF394" s="494">
        <v>611.5</v>
      </c>
      <c r="BG394" s="494">
        <v>1080.04</v>
      </c>
      <c r="BH394" s="494">
        <v>2671800.0099999998</v>
      </c>
      <c r="BI394" s="494">
        <f t="shared" si="376"/>
        <v>4607.6000000000004</v>
      </c>
      <c r="BJ394" s="494">
        <v>14289.54</v>
      </c>
      <c r="BK394" s="494">
        <v>3389.61</v>
      </c>
      <c r="BL394" s="494">
        <v>5995.76</v>
      </c>
      <c r="BM394" s="494">
        <v>548.62</v>
      </c>
      <c r="BN394" s="495" t="e">
        <f t="shared" si="354"/>
        <v>#DIV/0!</v>
      </c>
      <c r="BO394" s="495" t="e">
        <f t="shared" si="355"/>
        <v>#DIV/0!</v>
      </c>
      <c r="BP394" s="495" t="e">
        <f t="shared" si="356"/>
        <v>#DIV/0!</v>
      </c>
      <c r="BQ394" s="495" t="e">
        <f t="shared" si="357"/>
        <v>#DIV/0!</v>
      </c>
      <c r="BR394" s="495" t="e">
        <f t="shared" si="358"/>
        <v>#DIV/0!</v>
      </c>
      <c r="BS394" s="495" t="e">
        <f t="shared" si="359"/>
        <v>#DIV/0!</v>
      </c>
      <c r="BT394" s="495" t="e">
        <f t="shared" si="360"/>
        <v>#DIV/0!</v>
      </c>
      <c r="BU394" s="495" t="str">
        <f t="shared" si="361"/>
        <v xml:space="preserve"> </v>
      </c>
      <c r="BV394" s="495" t="e">
        <f t="shared" si="362"/>
        <v>#DIV/0!</v>
      </c>
      <c r="BW394" s="495" t="e">
        <f t="shared" si="363"/>
        <v>#DIV/0!</v>
      </c>
      <c r="BX394" s="495" t="e">
        <f t="shared" si="364"/>
        <v>#DIV/0!</v>
      </c>
      <c r="BY394" s="495" t="str">
        <f t="shared" si="365"/>
        <v xml:space="preserve"> </v>
      </c>
    </row>
    <row r="395" spans="1:77" s="28" customFormat="1" ht="9" customHeight="1">
      <c r="A395" s="406">
        <v>35</v>
      </c>
      <c r="B395" s="206" t="s">
        <v>657</v>
      </c>
      <c r="C395" s="376">
        <v>1072.0999999999999</v>
      </c>
      <c r="D395" s="376"/>
      <c r="E395" s="413" t="s">
        <v>1005</v>
      </c>
      <c r="F395" s="413"/>
      <c r="G395" s="413"/>
      <c r="H395" s="211">
        <v>833500</v>
      </c>
      <c r="I395" s="407">
        <f t="shared" si="392"/>
        <v>0</v>
      </c>
      <c r="J395" s="217">
        <v>0</v>
      </c>
      <c r="K395" s="469">
        <v>0</v>
      </c>
      <c r="L395" s="217">
        <v>0</v>
      </c>
      <c r="M395" s="469">
        <v>0</v>
      </c>
      <c r="N395" s="217">
        <v>0</v>
      </c>
      <c r="O395" s="249">
        <v>0</v>
      </c>
      <c r="P395" s="407">
        <v>0</v>
      </c>
      <c r="Q395" s="249">
        <v>0</v>
      </c>
      <c r="R395" s="407">
        <v>0</v>
      </c>
      <c r="S395" s="249">
        <v>0</v>
      </c>
      <c r="T395" s="407">
        <v>0</v>
      </c>
      <c r="U395" s="130">
        <v>0</v>
      </c>
      <c r="V395" s="407">
        <v>0</v>
      </c>
      <c r="W395" s="410">
        <v>250</v>
      </c>
      <c r="X395" s="407">
        <f t="shared" si="393"/>
        <v>795992.5</v>
      </c>
      <c r="Y395" s="410">
        <v>0</v>
      </c>
      <c r="Z395" s="410">
        <v>0</v>
      </c>
      <c r="AA395" s="410">
        <v>0</v>
      </c>
      <c r="AB395" s="410">
        <v>0</v>
      </c>
      <c r="AC395" s="410">
        <v>0</v>
      </c>
      <c r="AD395" s="410">
        <v>0</v>
      </c>
      <c r="AE395" s="410">
        <v>0</v>
      </c>
      <c r="AF395" s="410">
        <v>0</v>
      </c>
      <c r="AG395" s="410">
        <v>0</v>
      </c>
      <c r="AH395" s="410">
        <v>0</v>
      </c>
      <c r="AI395" s="410">
        <v>0</v>
      </c>
      <c r="AJ395" s="410">
        <f t="shared" si="394"/>
        <v>25005</v>
      </c>
      <c r="AK395" s="410">
        <f t="shared" si="395"/>
        <v>12502.5</v>
      </c>
      <c r="AL395" s="410">
        <v>0</v>
      </c>
      <c r="AM395" s="446"/>
      <c r="AN395" s="446"/>
      <c r="AP395" s="486" t="e">
        <f t="shared" si="342"/>
        <v>#DIV/0!</v>
      </c>
      <c r="AQ395" s="486" t="e">
        <f t="shared" si="344"/>
        <v>#DIV/0!</v>
      </c>
      <c r="AR395" s="486" t="e">
        <f t="shared" si="345"/>
        <v>#DIV/0!</v>
      </c>
      <c r="AS395" s="486" t="e">
        <f t="shared" si="346"/>
        <v>#DIV/0!</v>
      </c>
      <c r="AT395" s="486" t="e">
        <f t="shared" si="347"/>
        <v>#DIV/0!</v>
      </c>
      <c r="AU395" s="486" t="e">
        <f t="shared" si="348"/>
        <v>#DIV/0!</v>
      </c>
      <c r="AV395" s="486" t="e">
        <f t="shared" si="349"/>
        <v>#DIV/0!</v>
      </c>
      <c r="AW395" s="486">
        <f t="shared" si="350"/>
        <v>3183.97</v>
      </c>
      <c r="AX395" s="486" t="e">
        <f t="shared" si="351"/>
        <v>#DIV/0!</v>
      </c>
      <c r="AY395" s="486" t="e">
        <f t="shared" si="352"/>
        <v>#DIV/0!</v>
      </c>
      <c r="AZ395" s="486" t="e">
        <f t="shared" si="353"/>
        <v>#DIV/0!</v>
      </c>
      <c r="BA395" s="486">
        <f t="shared" si="343"/>
        <v>0</v>
      </c>
      <c r="BB395" s="494">
        <v>5155.41</v>
      </c>
      <c r="BC395" s="494">
        <v>2070.12</v>
      </c>
      <c r="BD395" s="494">
        <v>848.92</v>
      </c>
      <c r="BE395" s="494">
        <v>819.73</v>
      </c>
      <c r="BF395" s="494">
        <v>611.5</v>
      </c>
      <c r="BG395" s="494">
        <v>1080.04</v>
      </c>
      <c r="BH395" s="494">
        <v>2671800.0099999998</v>
      </c>
      <c r="BI395" s="494">
        <f t="shared" si="376"/>
        <v>4607.6000000000004</v>
      </c>
      <c r="BJ395" s="494">
        <v>14289.54</v>
      </c>
      <c r="BK395" s="494">
        <v>3389.61</v>
      </c>
      <c r="BL395" s="494">
        <v>5995.76</v>
      </c>
      <c r="BM395" s="494">
        <v>548.62</v>
      </c>
      <c r="BN395" s="495" t="e">
        <f t="shared" si="354"/>
        <v>#DIV/0!</v>
      </c>
      <c r="BO395" s="495" t="e">
        <f t="shared" si="355"/>
        <v>#DIV/0!</v>
      </c>
      <c r="BP395" s="495" t="e">
        <f t="shared" si="356"/>
        <v>#DIV/0!</v>
      </c>
      <c r="BQ395" s="495" t="e">
        <f t="shared" si="357"/>
        <v>#DIV/0!</v>
      </c>
      <c r="BR395" s="495" t="e">
        <f t="shared" si="358"/>
        <v>#DIV/0!</v>
      </c>
      <c r="BS395" s="495" t="e">
        <f t="shared" si="359"/>
        <v>#DIV/0!</v>
      </c>
      <c r="BT395" s="495" t="e">
        <f t="shared" si="360"/>
        <v>#DIV/0!</v>
      </c>
      <c r="BU395" s="495" t="str">
        <f t="shared" si="361"/>
        <v xml:space="preserve"> </v>
      </c>
      <c r="BV395" s="495" t="e">
        <f t="shared" si="362"/>
        <v>#DIV/0!</v>
      </c>
      <c r="BW395" s="495" t="e">
        <f t="shared" si="363"/>
        <v>#DIV/0!</v>
      </c>
      <c r="BX395" s="495" t="e">
        <f t="shared" si="364"/>
        <v>#DIV/0!</v>
      </c>
      <c r="BY395" s="495" t="str">
        <f t="shared" si="365"/>
        <v xml:space="preserve"> </v>
      </c>
    </row>
    <row r="396" spans="1:77" s="28" customFormat="1" ht="9" customHeight="1">
      <c r="A396" s="406">
        <v>36</v>
      </c>
      <c r="B396" s="206" t="s">
        <v>658</v>
      </c>
      <c r="C396" s="376">
        <v>2518.3000000000002</v>
      </c>
      <c r="D396" s="376"/>
      <c r="E396" s="413" t="s">
        <v>1006</v>
      </c>
      <c r="F396" s="413"/>
      <c r="G396" s="413"/>
      <c r="H396" s="211">
        <v>3104640</v>
      </c>
      <c r="I396" s="407">
        <f t="shared" si="392"/>
        <v>0</v>
      </c>
      <c r="J396" s="217">
        <v>0</v>
      </c>
      <c r="K396" s="469">
        <v>0</v>
      </c>
      <c r="L396" s="217">
        <v>0</v>
      </c>
      <c r="M396" s="469">
        <v>0</v>
      </c>
      <c r="N396" s="217">
        <v>0</v>
      </c>
      <c r="O396" s="249">
        <v>0</v>
      </c>
      <c r="P396" s="407">
        <v>0</v>
      </c>
      <c r="Q396" s="249">
        <v>0</v>
      </c>
      <c r="R396" s="407">
        <v>0</v>
      </c>
      <c r="S396" s="249">
        <v>0</v>
      </c>
      <c r="T396" s="407">
        <v>0</v>
      </c>
      <c r="U396" s="130">
        <v>0</v>
      </c>
      <c r="V396" s="407">
        <v>0</v>
      </c>
      <c r="W396" s="410">
        <v>960</v>
      </c>
      <c r="X396" s="407">
        <f t="shared" si="393"/>
        <v>2964931.2</v>
      </c>
      <c r="Y396" s="410">
        <v>0</v>
      </c>
      <c r="Z396" s="410">
        <v>0</v>
      </c>
      <c r="AA396" s="410">
        <v>0</v>
      </c>
      <c r="AB396" s="410">
        <v>0</v>
      </c>
      <c r="AC396" s="410">
        <v>0</v>
      </c>
      <c r="AD396" s="410">
        <v>0</v>
      </c>
      <c r="AE396" s="410">
        <v>0</v>
      </c>
      <c r="AF396" s="410">
        <v>0</v>
      </c>
      <c r="AG396" s="410">
        <v>0</v>
      </c>
      <c r="AH396" s="410">
        <v>0</v>
      </c>
      <c r="AI396" s="410">
        <v>0</v>
      </c>
      <c r="AJ396" s="410">
        <f t="shared" si="394"/>
        <v>93139.199999999997</v>
      </c>
      <c r="AK396" s="410">
        <f t="shared" si="395"/>
        <v>46569.599999999999</v>
      </c>
      <c r="AL396" s="410">
        <v>0</v>
      </c>
      <c r="AM396" s="446"/>
      <c r="AN396" s="446"/>
      <c r="AP396" s="486" t="e">
        <f t="shared" si="342"/>
        <v>#DIV/0!</v>
      </c>
      <c r="AQ396" s="486" t="e">
        <f t="shared" si="344"/>
        <v>#DIV/0!</v>
      </c>
      <c r="AR396" s="486" t="e">
        <f t="shared" si="345"/>
        <v>#DIV/0!</v>
      </c>
      <c r="AS396" s="486" t="e">
        <f t="shared" si="346"/>
        <v>#DIV/0!</v>
      </c>
      <c r="AT396" s="486" t="e">
        <f t="shared" si="347"/>
        <v>#DIV/0!</v>
      </c>
      <c r="AU396" s="486" t="e">
        <f t="shared" si="348"/>
        <v>#DIV/0!</v>
      </c>
      <c r="AV396" s="486" t="e">
        <f t="shared" si="349"/>
        <v>#DIV/0!</v>
      </c>
      <c r="AW396" s="486">
        <f t="shared" si="350"/>
        <v>3088.4700000000003</v>
      </c>
      <c r="AX396" s="486" t="e">
        <f t="shared" si="351"/>
        <v>#DIV/0!</v>
      </c>
      <c r="AY396" s="486" t="e">
        <f t="shared" si="352"/>
        <v>#DIV/0!</v>
      </c>
      <c r="AZ396" s="486" t="e">
        <f t="shared" si="353"/>
        <v>#DIV/0!</v>
      </c>
      <c r="BA396" s="486">
        <f t="shared" si="343"/>
        <v>0</v>
      </c>
      <c r="BB396" s="494">
        <v>5155.41</v>
      </c>
      <c r="BC396" s="494">
        <v>2070.12</v>
      </c>
      <c r="BD396" s="494">
        <v>848.92</v>
      </c>
      <c r="BE396" s="494">
        <v>819.73</v>
      </c>
      <c r="BF396" s="494">
        <v>611.5</v>
      </c>
      <c r="BG396" s="494">
        <v>1080.04</v>
      </c>
      <c r="BH396" s="494">
        <v>2671800.0099999998</v>
      </c>
      <c r="BI396" s="494">
        <f t="shared" si="376"/>
        <v>4422.8500000000004</v>
      </c>
      <c r="BJ396" s="494">
        <v>14289.54</v>
      </c>
      <c r="BK396" s="494">
        <v>3389.61</v>
      </c>
      <c r="BL396" s="494">
        <v>5995.76</v>
      </c>
      <c r="BM396" s="494">
        <v>548.62</v>
      </c>
      <c r="BN396" s="495" t="e">
        <f t="shared" si="354"/>
        <v>#DIV/0!</v>
      </c>
      <c r="BO396" s="495" t="e">
        <f t="shared" si="355"/>
        <v>#DIV/0!</v>
      </c>
      <c r="BP396" s="495" t="e">
        <f t="shared" si="356"/>
        <v>#DIV/0!</v>
      </c>
      <c r="BQ396" s="495" t="e">
        <f t="shared" si="357"/>
        <v>#DIV/0!</v>
      </c>
      <c r="BR396" s="495" t="e">
        <f t="shared" si="358"/>
        <v>#DIV/0!</v>
      </c>
      <c r="BS396" s="495" t="e">
        <f t="shared" si="359"/>
        <v>#DIV/0!</v>
      </c>
      <c r="BT396" s="495" t="e">
        <f t="shared" si="360"/>
        <v>#DIV/0!</v>
      </c>
      <c r="BU396" s="495" t="str">
        <f t="shared" si="361"/>
        <v xml:space="preserve"> </v>
      </c>
      <c r="BV396" s="495" t="e">
        <f t="shared" si="362"/>
        <v>#DIV/0!</v>
      </c>
      <c r="BW396" s="495" t="e">
        <f t="shared" si="363"/>
        <v>#DIV/0!</v>
      </c>
      <c r="BX396" s="495" t="e">
        <f t="shared" si="364"/>
        <v>#DIV/0!</v>
      </c>
      <c r="BY396" s="495" t="str">
        <f t="shared" si="365"/>
        <v xml:space="preserve"> </v>
      </c>
    </row>
    <row r="397" spans="1:77" s="28" customFormat="1" ht="9" customHeight="1">
      <c r="A397" s="406">
        <v>37</v>
      </c>
      <c r="B397" s="206" t="s">
        <v>659</v>
      </c>
      <c r="C397" s="376">
        <v>3239.1</v>
      </c>
      <c r="D397" s="376"/>
      <c r="E397" s="413" t="s">
        <v>1005</v>
      </c>
      <c r="F397" s="413"/>
      <c r="G397" s="413"/>
      <c r="H397" s="211">
        <v>3386677.2</v>
      </c>
      <c r="I397" s="407">
        <f t="shared" si="392"/>
        <v>0</v>
      </c>
      <c r="J397" s="217">
        <v>0</v>
      </c>
      <c r="K397" s="469">
        <v>0</v>
      </c>
      <c r="L397" s="217">
        <v>0</v>
      </c>
      <c r="M397" s="469">
        <v>0</v>
      </c>
      <c r="N397" s="217">
        <v>0</v>
      </c>
      <c r="O397" s="249">
        <v>0</v>
      </c>
      <c r="P397" s="407">
        <v>0</v>
      </c>
      <c r="Q397" s="249">
        <v>0</v>
      </c>
      <c r="R397" s="407">
        <v>0</v>
      </c>
      <c r="S397" s="249">
        <v>0</v>
      </c>
      <c r="T397" s="407">
        <v>0</v>
      </c>
      <c r="U397" s="130">
        <v>0</v>
      </c>
      <c r="V397" s="407">
        <v>0</v>
      </c>
      <c r="W397" s="410">
        <v>1015.8</v>
      </c>
      <c r="X397" s="407">
        <f>ROUND(H397/100*95.5-0.01,2)</f>
        <v>3234276.72</v>
      </c>
      <c r="Y397" s="410">
        <v>0</v>
      </c>
      <c r="Z397" s="410">
        <v>0</v>
      </c>
      <c r="AA397" s="410">
        <v>0</v>
      </c>
      <c r="AB397" s="410">
        <v>0</v>
      </c>
      <c r="AC397" s="410">
        <v>0</v>
      </c>
      <c r="AD397" s="410">
        <v>0</v>
      </c>
      <c r="AE397" s="410">
        <v>0</v>
      </c>
      <c r="AF397" s="410">
        <v>0</v>
      </c>
      <c r="AG397" s="410">
        <v>0</v>
      </c>
      <c r="AH397" s="410">
        <v>0</v>
      </c>
      <c r="AI397" s="410">
        <v>0</v>
      </c>
      <c r="AJ397" s="410">
        <f t="shared" si="394"/>
        <v>101600.32000000001</v>
      </c>
      <c r="AK397" s="410">
        <f t="shared" si="395"/>
        <v>50800.160000000003</v>
      </c>
      <c r="AL397" s="410">
        <v>0</v>
      </c>
      <c r="AM397" s="446"/>
      <c r="AN397" s="446"/>
      <c r="AP397" s="486" t="e">
        <f t="shared" si="342"/>
        <v>#DIV/0!</v>
      </c>
      <c r="AQ397" s="486" t="e">
        <f t="shared" si="344"/>
        <v>#DIV/0!</v>
      </c>
      <c r="AR397" s="486" t="e">
        <f t="shared" si="345"/>
        <v>#DIV/0!</v>
      </c>
      <c r="AS397" s="486" t="e">
        <f t="shared" si="346"/>
        <v>#DIV/0!</v>
      </c>
      <c r="AT397" s="486" t="e">
        <f t="shared" si="347"/>
        <v>#DIV/0!</v>
      </c>
      <c r="AU397" s="486" t="e">
        <f t="shared" si="348"/>
        <v>#DIV/0!</v>
      </c>
      <c r="AV397" s="486" t="e">
        <f t="shared" si="349"/>
        <v>#DIV/0!</v>
      </c>
      <c r="AW397" s="486">
        <f t="shared" si="350"/>
        <v>3183.969994093326</v>
      </c>
      <c r="AX397" s="486" t="e">
        <f t="shared" si="351"/>
        <v>#DIV/0!</v>
      </c>
      <c r="AY397" s="486" t="e">
        <f t="shared" si="352"/>
        <v>#DIV/0!</v>
      </c>
      <c r="AZ397" s="486" t="e">
        <f t="shared" si="353"/>
        <v>#DIV/0!</v>
      </c>
      <c r="BA397" s="486">
        <f t="shared" si="343"/>
        <v>0</v>
      </c>
      <c r="BB397" s="494">
        <v>5155.41</v>
      </c>
      <c r="BC397" s="494">
        <v>2070.12</v>
      </c>
      <c r="BD397" s="494">
        <v>848.92</v>
      </c>
      <c r="BE397" s="494">
        <v>819.73</v>
      </c>
      <c r="BF397" s="494">
        <v>611.5</v>
      </c>
      <c r="BG397" s="494">
        <v>1080.04</v>
      </c>
      <c r="BH397" s="494">
        <v>2671800.0099999998</v>
      </c>
      <c r="BI397" s="494">
        <f t="shared" si="376"/>
        <v>4607.6000000000004</v>
      </c>
      <c r="BJ397" s="494">
        <v>14289.54</v>
      </c>
      <c r="BK397" s="494">
        <v>3389.61</v>
      </c>
      <c r="BL397" s="494">
        <v>5995.76</v>
      </c>
      <c r="BM397" s="494">
        <v>548.62</v>
      </c>
      <c r="BN397" s="495" t="e">
        <f t="shared" si="354"/>
        <v>#DIV/0!</v>
      </c>
      <c r="BO397" s="495" t="e">
        <f t="shared" si="355"/>
        <v>#DIV/0!</v>
      </c>
      <c r="BP397" s="495" t="e">
        <f t="shared" si="356"/>
        <v>#DIV/0!</v>
      </c>
      <c r="BQ397" s="495" t="e">
        <f t="shared" si="357"/>
        <v>#DIV/0!</v>
      </c>
      <c r="BR397" s="495" t="e">
        <f t="shared" si="358"/>
        <v>#DIV/0!</v>
      </c>
      <c r="BS397" s="495" t="e">
        <f t="shared" si="359"/>
        <v>#DIV/0!</v>
      </c>
      <c r="BT397" s="495" t="e">
        <f t="shared" si="360"/>
        <v>#DIV/0!</v>
      </c>
      <c r="BU397" s="495" t="str">
        <f t="shared" si="361"/>
        <v xml:space="preserve"> </v>
      </c>
      <c r="BV397" s="495" t="e">
        <f t="shared" si="362"/>
        <v>#DIV/0!</v>
      </c>
      <c r="BW397" s="495" t="e">
        <f t="shared" si="363"/>
        <v>#DIV/0!</v>
      </c>
      <c r="BX397" s="495" t="e">
        <f t="shared" si="364"/>
        <v>#DIV/0!</v>
      </c>
      <c r="BY397" s="495" t="str">
        <f t="shared" si="365"/>
        <v xml:space="preserve"> </v>
      </c>
    </row>
    <row r="398" spans="1:77" s="28" customFormat="1" ht="9" customHeight="1">
      <c r="A398" s="406">
        <v>38</v>
      </c>
      <c r="B398" s="206" t="s">
        <v>660</v>
      </c>
      <c r="C398" s="376">
        <v>3151.3</v>
      </c>
      <c r="D398" s="376"/>
      <c r="E398" s="413" t="s">
        <v>1005</v>
      </c>
      <c r="F398" s="413"/>
      <c r="G398" s="413"/>
      <c r="H398" s="211">
        <v>3484030</v>
      </c>
      <c r="I398" s="407">
        <f t="shared" si="392"/>
        <v>0</v>
      </c>
      <c r="J398" s="217">
        <v>0</v>
      </c>
      <c r="K398" s="469">
        <v>0</v>
      </c>
      <c r="L398" s="217">
        <v>0</v>
      </c>
      <c r="M398" s="469">
        <v>0</v>
      </c>
      <c r="N398" s="217">
        <v>0</v>
      </c>
      <c r="O398" s="249">
        <v>0</v>
      </c>
      <c r="P398" s="407">
        <v>0</v>
      </c>
      <c r="Q398" s="249">
        <v>0</v>
      </c>
      <c r="R398" s="407">
        <v>0</v>
      </c>
      <c r="S398" s="249">
        <v>0</v>
      </c>
      <c r="T398" s="407">
        <v>0</v>
      </c>
      <c r="U398" s="130">
        <v>0</v>
      </c>
      <c r="V398" s="407">
        <v>0</v>
      </c>
      <c r="W398" s="410">
        <v>1045</v>
      </c>
      <c r="X398" s="407">
        <f t="shared" si="393"/>
        <v>3327248.65</v>
      </c>
      <c r="Y398" s="410">
        <v>0</v>
      </c>
      <c r="Z398" s="410">
        <v>0</v>
      </c>
      <c r="AA398" s="410">
        <v>0</v>
      </c>
      <c r="AB398" s="410">
        <v>0</v>
      </c>
      <c r="AC398" s="410">
        <v>0</v>
      </c>
      <c r="AD398" s="410">
        <v>0</v>
      </c>
      <c r="AE398" s="410">
        <v>0</v>
      </c>
      <c r="AF398" s="410">
        <v>0</v>
      </c>
      <c r="AG398" s="410">
        <v>0</v>
      </c>
      <c r="AH398" s="410">
        <v>0</v>
      </c>
      <c r="AI398" s="410">
        <v>0</v>
      </c>
      <c r="AJ398" s="410">
        <f t="shared" si="394"/>
        <v>104520.9</v>
      </c>
      <c r="AK398" s="410">
        <f t="shared" si="395"/>
        <v>52260.45</v>
      </c>
      <c r="AL398" s="410">
        <v>0</v>
      </c>
      <c r="AM398" s="446"/>
      <c r="AN398" s="446"/>
      <c r="AP398" s="486" t="e">
        <f t="shared" si="342"/>
        <v>#DIV/0!</v>
      </c>
      <c r="AQ398" s="486" t="e">
        <f t="shared" si="344"/>
        <v>#DIV/0!</v>
      </c>
      <c r="AR398" s="486" t="e">
        <f t="shared" si="345"/>
        <v>#DIV/0!</v>
      </c>
      <c r="AS398" s="486" t="e">
        <f t="shared" si="346"/>
        <v>#DIV/0!</v>
      </c>
      <c r="AT398" s="486" t="e">
        <f t="shared" si="347"/>
        <v>#DIV/0!</v>
      </c>
      <c r="AU398" s="486" t="e">
        <f t="shared" si="348"/>
        <v>#DIV/0!</v>
      </c>
      <c r="AV398" s="486" t="e">
        <f t="shared" si="349"/>
        <v>#DIV/0!</v>
      </c>
      <c r="AW398" s="486">
        <f t="shared" si="350"/>
        <v>3183.97</v>
      </c>
      <c r="AX398" s="486" t="e">
        <f t="shared" si="351"/>
        <v>#DIV/0!</v>
      </c>
      <c r="AY398" s="486" t="e">
        <f t="shared" si="352"/>
        <v>#DIV/0!</v>
      </c>
      <c r="AZ398" s="486" t="e">
        <f t="shared" si="353"/>
        <v>#DIV/0!</v>
      </c>
      <c r="BA398" s="486">
        <f t="shared" si="343"/>
        <v>0</v>
      </c>
      <c r="BB398" s="494">
        <v>5155.41</v>
      </c>
      <c r="BC398" s="494">
        <v>2070.12</v>
      </c>
      <c r="BD398" s="494">
        <v>848.92</v>
      </c>
      <c r="BE398" s="494">
        <v>819.73</v>
      </c>
      <c r="BF398" s="494">
        <v>611.5</v>
      </c>
      <c r="BG398" s="494">
        <v>1080.04</v>
      </c>
      <c r="BH398" s="494">
        <v>2671800.0099999998</v>
      </c>
      <c r="BI398" s="494">
        <f t="shared" si="376"/>
        <v>4607.6000000000004</v>
      </c>
      <c r="BJ398" s="494">
        <v>14289.54</v>
      </c>
      <c r="BK398" s="494">
        <v>3389.61</v>
      </c>
      <c r="BL398" s="494">
        <v>5995.76</v>
      </c>
      <c r="BM398" s="494">
        <v>548.62</v>
      </c>
      <c r="BN398" s="495" t="e">
        <f t="shared" si="354"/>
        <v>#DIV/0!</v>
      </c>
      <c r="BO398" s="495" t="e">
        <f t="shared" si="355"/>
        <v>#DIV/0!</v>
      </c>
      <c r="BP398" s="495" t="e">
        <f t="shared" si="356"/>
        <v>#DIV/0!</v>
      </c>
      <c r="BQ398" s="495" t="e">
        <f t="shared" si="357"/>
        <v>#DIV/0!</v>
      </c>
      <c r="BR398" s="495" t="e">
        <f t="shared" si="358"/>
        <v>#DIV/0!</v>
      </c>
      <c r="BS398" s="495" t="e">
        <f t="shared" si="359"/>
        <v>#DIV/0!</v>
      </c>
      <c r="BT398" s="495" t="e">
        <f t="shared" si="360"/>
        <v>#DIV/0!</v>
      </c>
      <c r="BU398" s="495" t="str">
        <f t="shared" si="361"/>
        <v xml:space="preserve"> </v>
      </c>
      <c r="BV398" s="495" t="e">
        <f t="shared" si="362"/>
        <v>#DIV/0!</v>
      </c>
      <c r="BW398" s="495" t="e">
        <f t="shared" si="363"/>
        <v>#DIV/0!</v>
      </c>
      <c r="BX398" s="495" t="e">
        <f t="shared" si="364"/>
        <v>#DIV/0!</v>
      </c>
      <c r="BY398" s="495" t="str">
        <f t="shared" si="365"/>
        <v xml:space="preserve"> </v>
      </c>
    </row>
    <row r="399" spans="1:77" s="28" customFormat="1" ht="9" customHeight="1">
      <c r="A399" s="406">
        <v>39</v>
      </c>
      <c r="B399" s="206" t="s">
        <v>661</v>
      </c>
      <c r="C399" s="376">
        <v>2529.1999999999998</v>
      </c>
      <c r="D399" s="376"/>
      <c r="E399" s="413" t="s">
        <v>1005</v>
      </c>
      <c r="F399" s="413"/>
      <c r="G399" s="413"/>
      <c r="H399" s="211">
        <v>2297126</v>
      </c>
      <c r="I399" s="407">
        <f t="shared" si="392"/>
        <v>0</v>
      </c>
      <c r="J399" s="217">
        <v>0</v>
      </c>
      <c r="K399" s="469">
        <v>0</v>
      </c>
      <c r="L399" s="217">
        <v>0</v>
      </c>
      <c r="M399" s="469">
        <v>0</v>
      </c>
      <c r="N399" s="217">
        <v>0</v>
      </c>
      <c r="O399" s="249">
        <v>0</v>
      </c>
      <c r="P399" s="407">
        <v>0</v>
      </c>
      <c r="Q399" s="249">
        <v>0</v>
      </c>
      <c r="R399" s="407">
        <v>0</v>
      </c>
      <c r="S399" s="249">
        <v>0</v>
      </c>
      <c r="T399" s="407">
        <v>0</v>
      </c>
      <c r="U399" s="130">
        <v>0</v>
      </c>
      <c r="V399" s="407">
        <v>0</v>
      </c>
      <c r="W399" s="410">
        <v>689</v>
      </c>
      <c r="X399" s="407">
        <f t="shared" si="393"/>
        <v>2193755.33</v>
      </c>
      <c r="Y399" s="410">
        <v>0</v>
      </c>
      <c r="Z399" s="410">
        <v>0</v>
      </c>
      <c r="AA399" s="410">
        <v>0</v>
      </c>
      <c r="AB399" s="410">
        <v>0</v>
      </c>
      <c r="AC399" s="410">
        <v>0</v>
      </c>
      <c r="AD399" s="410">
        <v>0</v>
      </c>
      <c r="AE399" s="410">
        <v>0</v>
      </c>
      <c r="AF399" s="410">
        <v>0</v>
      </c>
      <c r="AG399" s="410">
        <v>0</v>
      </c>
      <c r="AH399" s="410">
        <v>0</v>
      </c>
      <c r="AI399" s="410">
        <v>0</v>
      </c>
      <c r="AJ399" s="410">
        <f t="shared" si="394"/>
        <v>68913.78</v>
      </c>
      <c r="AK399" s="410">
        <f t="shared" si="395"/>
        <v>34456.89</v>
      </c>
      <c r="AL399" s="410">
        <v>0</v>
      </c>
      <c r="AM399" s="446"/>
      <c r="AN399" s="446"/>
      <c r="AP399" s="486" t="e">
        <f t="shared" si="342"/>
        <v>#DIV/0!</v>
      </c>
      <c r="AQ399" s="486" t="e">
        <f t="shared" si="344"/>
        <v>#DIV/0!</v>
      </c>
      <c r="AR399" s="486" t="e">
        <f t="shared" si="345"/>
        <v>#DIV/0!</v>
      </c>
      <c r="AS399" s="486" t="e">
        <f t="shared" si="346"/>
        <v>#DIV/0!</v>
      </c>
      <c r="AT399" s="486" t="e">
        <f t="shared" si="347"/>
        <v>#DIV/0!</v>
      </c>
      <c r="AU399" s="486" t="e">
        <f t="shared" si="348"/>
        <v>#DIV/0!</v>
      </c>
      <c r="AV399" s="486" t="e">
        <f t="shared" si="349"/>
        <v>#DIV/0!</v>
      </c>
      <c r="AW399" s="486">
        <f t="shared" si="350"/>
        <v>3183.9700000000003</v>
      </c>
      <c r="AX399" s="486" t="e">
        <f t="shared" si="351"/>
        <v>#DIV/0!</v>
      </c>
      <c r="AY399" s="486" t="e">
        <f t="shared" si="352"/>
        <v>#DIV/0!</v>
      </c>
      <c r="AZ399" s="486" t="e">
        <f t="shared" si="353"/>
        <v>#DIV/0!</v>
      </c>
      <c r="BA399" s="486">
        <f t="shared" si="343"/>
        <v>0</v>
      </c>
      <c r="BB399" s="494">
        <v>5155.41</v>
      </c>
      <c r="BC399" s="494">
        <v>2070.12</v>
      </c>
      <c r="BD399" s="494">
        <v>848.92</v>
      </c>
      <c r="BE399" s="494">
        <v>819.73</v>
      </c>
      <c r="BF399" s="494">
        <v>611.5</v>
      </c>
      <c r="BG399" s="494">
        <v>1080.04</v>
      </c>
      <c r="BH399" s="494">
        <v>2671800.0099999998</v>
      </c>
      <c r="BI399" s="494">
        <f t="shared" si="376"/>
        <v>4607.6000000000004</v>
      </c>
      <c r="BJ399" s="494">
        <v>14289.54</v>
      </c>
      <c r="BK399" s="494">
        <v>3389.61</v>
      </c>
      <c r="BL399" s="494">
        <v>5995.76</v>
      </c>
      <c r="BM399" s="494">
        <v>548.62</v>
      </c>
      <c r="BN399" s="495" t="e">
        <f t="shared" si="354"/>
        <v>#DIV/0!</v>
      </c>
      <c r="BO399" s="495" t="e">
        <f t="shared" si="355"/>
        <v>#DIV/0!</v>
      </c>
      <c r="BP399" s="495" t="e">
        <f t="shared" si="356"/>
        <v>#DIV/0!</v>
      </c>
      <c r="BQ399" s="495" t="e">
        <f t="shared" si="357"/>
        <v>#DIV/0!</v>
      </c>
      <c r="BR399" s="495" t="e">
        <f t="shared" si="358"/>
        <v>#DIV/0!</v>
      </c>
      <c r="BS399" s="495" t="e">
        <f t="shared" si="359"/>
        <v>#DIV/0!</v>
      </c>
      <c r="BT399" s="495" t="e">
        <f t="shared" si="360"/>
        <v>#DIV/0!</v>
      </c>
      <c r="BU399" s="495" t="str">
        <f t="shared" si="361"/>
        <v xml:space="preserve"> </v>
      </c>
      <c r="BV399" s="495" t="e">
        <f t="shared" si="362"/>
        <v>#DIV/0!</v>
      </c>
      <c r="BW399" s="495" t="e">
        <f t="shared" si="363"/>
        <v>#DIV/0!</v>
      </c>
      <c r="BX399" s="495" t="e">
        <f t="shared" si="364"/>
        <v>#DIV/0!</v>
      </c>
      <c r="BY399" s="495" t="str">
        <f t="shared" si="365"/>
        <v xml:space="preserve"> </v>
      </c>
    </row>
    <row r="400" spans="1:77" s="28" customFormat="1" ht="9" customHeight="1">
      <c r="A400" s="406">
        <v>40</v>
      </c>
      <c r="B400" s="206" t="s">
        <v>662</v>
      </c>
      <c r="C400" s="376">
        <v>2706.6</v>
      </c>
      <c r="D400" s="376"/>
      <c r="E400" s="413" t="s">
        <v>1006</v>
      </c>
      <c r="F400" s="413"/>
      <c r="G400" s="413"/>
      <c r="H400" s="211">
        <v>3453912</v>
      </c>
      <c r="I400" s="407">
        <f t="shared" si="392"/>
        <v>0</v>
      </c>
      <c r="J400" s="217">
        <v>0</v>
      </c>
      <c r="K400" s="469">
        <v>0</v>
      </c>
      <c r="L400" s="217">
        <v>0</v>
      </c>
      <c r="M400" s="469">
        <v>0</v>
      </c>
      <c r="N400" s="217">
        <v>0</v>
      </c>
      <c r="O400" s="249">
        <v>0</v>
      </c>
      <c r="P400" s="407">
        <v>0</v>
      </c>
      <c r="Q400" s="249">
        <v>0</v>
      </c>
      <c r="R400" s="407">
        <v>0</v>
      </c>
      <c r="S400" s="249">
        <v>0</v>
      </c>
      <c r="T400" s="407">
        <v>0</v>
      </c>
      <c r="U400" s="130">
        <v>0</v>
      </c>
      <c r="V400" s="407">
        <v>0</v>
      </c>
      <c r="W400" s="410">
        <v>1068</v>
      </c>
      <c r="X400" s="407">
        <f t="shared" si="393"/>
        <v>3298485.96</v>
      </c>
      <c r="Y400" s="410">
        <v>0</v>
      </c>
      <c r="Z400" s="410">
        <v>0</v>
      </c>
      <c r="AA400" s="410">
        <v>0</v>
      </c>
      <c r="AB400" s="410">
        <v>0</v>
      </c>
      <c r="AC400" s="410">
        <v>0</v>
      </c>
      <c r="AD400" s="410">
        <v>0</v>
      </c>
      <c r="AE400" s="410">
        <v>0</v>
      </c>
      <c r="AF400" s="410">
        <v>0</v>
      </c>
      <c r="AG400" s="410">
        <v>0</v>
      </c>
      <c r="AH400" s="410">
        <v>0</v>
      </c>
      <c r="AI400" s="410">
        <v>0</v>
      </c>
      <c r="AJ400" s="410">
        <f t="shared" si="394"/>
        <v>103617.36</v>
      </c>
      <c r="AK400" s="410">
        <f t="shared" si="395"/>
        <v>51808.68</v>
      </c>
      <c r="AL400" s="410">
        <v>0</v>
      </c>
      <c r="AM400" s="446"/>
      <c r="AN400" s="446"/>
      <c r="AP400" s="486" t="e">
        <f t="shared" si="342"/>
        <v>#DIV/0!</v>
      </c>
      <c r="AQ400" s="486" t="e">
        <f t="shared" si="344"/>
        <v>#DIV/0!</v>
      </c>
      <c r="AR400" s="486" t="e">
        <f t="shared" si="345"/>
        <v>#DIV/0!</v>
      </c>
      <c r="AS400" s="486" t="e">
        <f t="shared" si="346"/>
        <v>#DIV/0!</v>
      </c>
      <c r="AT400" s="486" t="e">
        <f t="shared" si="347"/>
        <v>#DIV/0!</v>
      </c>
      <c r="AU400" s="486" t="e">
        <f t="shared" si="348"/>
        <v>#DIV/0!</v>
      </c>
      <c r="AV400" s="486" t="e">
        <f t="shared" si="349"/>
        <v>#DIV/0!</v>
      </c>
      <c r="AW400" s="486">
        <f t="shared" si="350"/>
        <v>3088.47</v>
      </c>
      <c r="AX400" s="486" t="e">
        <f t="shared" si="351"/>
        <v>#DIV/0!</v>
      </c>
      <c r="AY400" s="486" t="e">
        <f t="shared" si="352"/>
        <v>#DIV/0!</v>
      </c>
      <c r="AZ400" s="486" t="e">
        <f t="shared" si="353"/>
        <v>#DIV/0!</v>
      </c>
      <c r="BA400" s="486">
        <f t="shared" si="343"/>
        <v>0</v>
      </c>
      <c r="BB400" s="494">
        <v>5155.41</v>
      </c>
      <c r="BC400" s="494">
        <v>2070.12</v>
      </c>
      <c r="BD400" s="494">
        <v>848.92</v>
      </c>
      <c r="BE400" s="494">
        <v>819.73</v>
      </c>
      <c r="BF400" s="494">
        <v>611.5</v>
      </c>
      <c r="BG400" s="494">
        <v>1080.04</v>
      </c>
      <c r="BH400" s="494">
        <v>2671800.0099999998</v>
      </c>
      <c r="BI400" s="494">
        <f t="shared" si="376"/>
        <v>4422.8500000000004</v>
      </c>
      <c r="BJ400" s="494">
        <v>14289.54</v>
      </c>
      <c r="BK400" s="494">
        <v>3389.61</v>
      </c>
      <c r="BL400" s="494">
        <v>5995.76</v>
      </c>
      <c r="BM400" s="494">
        <v>548.62</v>
      </c>
      <c r="BN400" s="495" t="e">
        <f t="shared" si="354"/>
        <v>#DIV/0!</v>
      </c>
      <c r="BO400" s="495" t="e">
        <f t="shared" si="355"/>
        <v>#DIV/0!</v>
      </c>
      <c r="BP400" s="495" t="e">
        <f t="shared" si="356"/>
        <v>#DIV/0!</v>
      </c>
      <c r="BQ400" s="495" t="e">
        <f t="shared" si="357"/>
        <v>#DIV/0!</v>
      </c>
      <c r="BR400" s="495" t="e">
        <f t="shared" si="358"/>
        <v>#DIV/0!</v>
      </c>
      <c r="BS400" s="495" t="e">
        <f t="shared" si="359"/>
        <v>#DIV/0!</v>
      </c>
      <c r="BT400" s="495" t="e">
        <f t="shared" si="360"/>
        <v>#DIV/0!</v>
      </c>
      <c r="BU400" s="495" t="str">
        <f t="shared" si="361"/>
        <v xml:space="preserve"> </v>
      </c>
      <c r="BV400" s="495" t="e">
        <f t="shared" si="362"/>
        <v>#DIV/0!</v>
      </c>
      <c r="BW400" s="495" t="e">
        <f t="shared" si="363"/>
        <v>#DIV/0!</v>
      </c>
      <c r="BX400" s="495" t="e">
        <f t="shared" si="364"/>
        <v>#DIV/0!</v>
      </c>
      <c r="BY400" s="495" t="str">
        <f t="shared" si="365"/>
        <v xml:space="preserve"> </v>
      </c>
    </row>
    <row r="401" spans="1:77" s="28" customFormat="1" ht="9" customHeight="1">
      <c r="A401" s="406">
        <v>41</v>
      </c>
      <c r="B401" s="206" t="s">
        <v>663</v>
      </c>
      <c r="C401" s="376">
        <v>3586.8</v>
      </c>
      <c r="D401" s="376"/>
      <c r="E401" s="413" t="s">
        <v>1005</v>
      </c>
      <c r="F401" s="413"/>
      <c r="G401" s="413"/>
      <c r="H401" s="211">
        <v>3897446</v>
      </c>
      <c r="I401" s="407">
        <f t="shared" si="392"/>
        <v>0</v>
      </c>
      <c r="J401" s="217">
        <v>0</v>
      </c>
      <c r="K401" s="469">
        <v>0</v>
      </c>
      <c r="L401" s="217">
        <v>0</v>
      </c>
      <c r="M401" s="469">
        <v>0</v>
      </c>
      <c r="N401" s="217">
        <v>0</v>
      </c>
      <c r="O401" s="249">
        <v>0</v>
      </c>
      <c r="P401" s="407">
        <v>0</v>
      </c>
      <c r="Q401" s="249">
        <v>0</v>
      </c>
      <c r="R401" s="407">
        <v>0</v>
      </c>
      <c r="S401" s="249">
        <v>0</v>
      </c>
      <c r="T401" s="407">
        <v>0</v>
      </c>
      <c r="U401" s="130">
        <v>0</v>
      </c>
      <c r="V401" s="407">
        <v>0</v>
      </c>
      <c r="W401" s="410">
        <v>1169</v>
      </c>
      <c r="X401" s="407">
        <f t="shared" si="393"/>
        <v>3722060.93</v>
      </c>
      <c r="Y401" s="410">
        <v>0</v>
      </c>
      <c r="Z401" s="410">
        <v>0</v>
      </c>
      <c r="AA401" s="410">
        <v>0</v>
      </c>
      <c r="AB401" s="410">
        <v>0</v>
      </c>
      <c r="AC401" s="410">
        <v>0</v>
      </c>
      <c r="AD401" s="410">
        <v>0</v>
      </c>
      <c r="AE401" s="410">
        <v>0</v>
      </c>
      <c r="AF401" s="410">
        <v>0</v>
      </c>
      <c r="AG401" s="410">
        <v>0</v>
      </c>
      <c r="AH401" s="410">
        <v>0</v>
      </c>
      <c r="AI401" s="410">
        <v>0</v>
      </c>
      <c r="AJ401" s="410">
        <f t="shared" si="394"/>
        <v>116923.38</v>
      </c>
      <c r="AK401" s="410">
        <f t="shared" si="395"/>
        <v>58461.69</v>
      </c>
      <c r="AL401" s="410">
        <v>0</v>
      </c>
      <c r="AM401" s="446"/>
      <c r="AN401" s="446"/>
      <c r="AP401" s="486" t="e">
        <f t="shared" ref="AP401:AP464" si="396">J401/D401</f>
        <v>#DIV/0!</v>
      </c>
      <c r="AQ401" s="486" t="e">
        <f t="shared" si="344"/>
        <v>#DIV/0!</v>
      </c>
      <c r="AR401" s="486" t="e">
        <f t="shared" si="345"/>
        <v>#DIV/0!</v>
      </c>
      <c r="AS401" s="486" t="e">
        <f t="shared" si="346"/>
        <v>#DIV/0!</v>
      </c>
      <c r="AT401" s="486" t="e">
        <f t="shared" si="347"/>
        <v>#DIV/0!</v>
      </c>
      <c r="AU401" s="486" t="e">
        <f t="shared" si="348"/>
        <v>#DIV/0!</v>
      </c>
      <c r="AV401" s="486" t="e">
        <f t="shared" si="349"/>
        <v>#DIV/0!</v>
      </c>
      <c r="AW401" s="486">
        <f t="shared" si="350"/>
        <v>3183.9700000000003</v>
      </c>
      <c r="AX401" s="486" t="e">
        <f t="shared" si="351"/>
        <v>#DIV/0!</v>
      </c>
      <c r="AY401" s="486" t="e">
        <f t="shared" si="352"/>
        <v>#DIV/0!</v>
      </c>
      <c r="AZ401" s="486" t="e">
        <f t="shared" si="353"/>
        <v>#DIV/0!</v>
      </c>
      <c r="BA401" s="486">
        <f t="shared" ref="BA401:BA464" si="397">AI401/C401</f>
        <v>0</v>
      </c>
      <c r="BB401" s="494">
        <v>5155.41</v>
      </c>
      <c r="BC401" s="494">
        <v>2070.12</v>
      </c>
      <c r="BD401" s="494">
        <v>848.92</v>
      </c>
      <c r="BE401" s="494">
        <v>819.73</v>
      </c>
      <c r="BF401" s="494">
        <v>611.5</v>
      </c>
      <c r="BG401" s="494">
        <v>1080.04</v>
      </c>
      <c r="BH401" s="494">
        <v>2671800.0099999998</v>
      </c>
      <c r="BI401" s="494">
        <f t="shared" si="376"/>
        <v>4607.6000000000004</v>
      </c>
      <c r="BJ401" s="494">
        <v>14289.54</v>
      </c>
      <c r="BK401" s="494">
        <v>3389.61</v>
      </c>
      <c r="BL401" s="494">
        <v>5995.76</v>
      </c>
      <c r="BM401" s="494">
        <v>548.62</v>
      </c>
      <c r="BN401" s="495" t="e">
        <f t="shared" si="354"/>
        <v>#DIV/0!</v>
      </c>
      <c r="BO401" s="495" t="e">
        <f t="shared" si="355"/>
        <v>#DIV/0!</v>
      </c>
      <c r="BP401" s="495" t="e">
        <f t="shared" si="356"/>
        <v>#DIV/0!</v>
      </c>
      <c r="BQ401" s="495" t="e">
        <f t="shared" si="357"/>
        <v>#DIV/0!</v>
      </c>
      <c r="BR401" s="495" t="e">
        <f t="shared" si="358"/>
        <v>#DIV/0!</v>
      </c>
      <c r="BS401" s="495" t="e">
        <f t="shared" si="359"/>
        <v>#DIV/0!</v>
      </c>
      <c r="BT401" s="495" t="e">
        <f t="shared" si="360"/>
        <v>#DIV/0!</v>
      </c>
      <c r="BU401" s="495" t="str">
        <f t="shared" si="361"/>
        <v xml:space="preserve"> </v>
      </c>
      <c r="BV401" s="495" t="e">
        <f t="shared" si="362"/>
        <v>#DIV/0!</v>
      </c>
      <c r="BW401" s="495" t="e">
        <f t="shared" si="363"/>
        <v>#DIV/0!</v>
      </c>
      <c r="BX401" s="495" t="e">
        <f t="shared" si="364"/>
        <v>#DIV/0!</v>
      </c>
      <c r="BY401" s="495" t="str">
        <f t="shared" si="365"/>
        <v xml:space="preserve"> </v>
      </c>
    </row>
    <row r="402" spans="1:77" s="28" customFormat="1" ht="9" customHeight="1">
      <c r="A402" s="406">
        <v>42</v>
      </c>
      <c r="B402" s="206" t="s">
        <v>664</v>
      </c>
      <c r="C402" s="376">
        <v>5705.4</v>
      </c>
      <c r="D402" s="376"/>
      <c r="E402" s="413" t="s">
        <v>1005</v>
      </c>
      <c r="F402" s="413"/>
      <c r="G402" s="413"/>
      <c r="H402" s="211">
        <v>8335000</v>
      </c>
      <c r="I402" s="407">
        <f t="shared" si="392"/>
        <v>0</v>
      </c>
      <c r="J402" s="217">
        <v>0</v>
      </c>
      <c r="K402" s="469">
        <v>0</v>
      </c>
      <c r="L402" s="217">
        <v>0</v>
      </c>
      <c r="M402" s="469">
        <v>0</v>
      </c>
      <c r="N402" s="217">
        <v>0</v>
      </c>
      <c r="O402" s="249">
        <v>0</v>
      </c>
      <c r="P402" s="407">
        <v>0</v>
      </c>
      <c r="Q402" s="249">
        <v>0</v>
      </c>
      <c r="R402" s="407">
        <v>0</v>
      </c>
      <c r="S402" s="249">
        <v>0</v>
      </c>
      <c r="T402" s="407">
        <v>0</v>
      </c>
      <c r="U402" s="130">
        <v>0</v>
      </c>
      <c r="V402" s="407">
        <v>0</v>
      </c>
      <c r="W402" s="410">
        <v>2500</v>
      </c>
      <c r="X402" s="407">
        <f t="shared" si="393"/>
        <v>7959925</v>
      </c>
      <c r="Y402" s="410">
        <v>0</v>
      </c>
      <c r="Z402" s="410">
        <v>0</v>
      </c>
      <c r="AA402" s="410">
        <v>0</v>
      </c>
      <c r="AB402" s="410">
        <v>0</v>
      </c>
      <c r="AC402" s="410">
        <v>0</v>
      </c>
      <c r="AD402" s="410">
        <v>0</v>
      </c>
      <c r="AE402" s="410">
        <v>0</v>
      </c>
      <c r="AF402" s="410">
        <v>0</v>
      </c>
      <c r="AG402" s="410">
        <v>0</v>
      </c>
      <c r="AH402" s="410">
        <v>0</v>
      </c>
      <c r="AI402" s="410">
        <v>0</v>
      </c>
      <c r="AJ402" s="410">
        <f t="shared" si="394"/>
        <v>250050</v>
      </c>
      <c r="AK402" s="410">
        <f t="shared" si="395"/>
        <v>125025</v>
      </c>
      <c r="AL402" s="410">
        <v>0</v>
      </c>
      <c r="AM402" s="446"/>
      <c r="AN402" s="446"/>
      <c r="AP402" s="486" t="e">
        <f t="shared" si="396"/>
        <v>#DIV/0!</v>
      </c>
      <c r="AQ402" s="486" t="e">
        <f t="shared" ref="AQ402:AQ465" si="398">L402/K402</f>
        <v>#DIV/0!</v>
      </c>
      <c r="AR402" s="486" t="e">
        <f t="shared" ref="AR402:AR465" si="399">N402/M402</f>
        <v>#DIV/0!</v>
      </c>
      <c r="AS402" s="486" t="e">
        <f t="shared" ref="AS402:AS465" si="400">P402/O402</f>
        <v>#DIV/0!</v>
      </c>
      <c r="AT402" s="486" t="e">
        <f t="shared" ref="AT402:AT465" si="401">R402/Q402</f>
        <v>#DIV/0!</v>
      </c>
      <c r="AU402" s="486" t="e">
        <f t="shared" ref="AU402:AU465" si="402">T402/S402</f>
        <v>#DIV/0!</v>
      </c>
      <c r="AV402" s="486" t="e">
        <f t="shared" ref="AV402:AV465" si="403">V402/U402</f>
        <v>#DIV/0!</v>
      </c>
      <c r="AW402" s="486">
        <f t="shared" ref="AW402:AW465" si="404">X402/W402</f>
        <v>3183.97</v>
      </c>
      <c r="AX402" s="486" t="e">
        <f t="shared" ref="AX402:AX465" si="405">Z402/Y402</f>
        <v>#DIV/0!</v>
      </c>
      <c r="AY402" s="486" t="e">
        <f t="shared" ref="AY402:AY465" si="406">AB402/AA402</f>
        <v>#DIV/0!</v>
      </c>
      <c r="AZ402" s="486" t="e">
        <f t="shared" ref="AZ402:AZ465" si="407">AH402/AG402</f>
        <v>#DIV/0!</v>
      </c>
      <c r="BA402" s="486">
        <f t="shared" si="397"/>
        <v>0</v>
      </c>
      <c r="BB402" s="494">
        <v>5155.41</v>
      </c>
      <c r="BC402" s="494">
        <v>2070.12</v>
      </c>
      <c r="BD402" s="494">
        <v>848.92</v>
      </c>
      <c r="BE402" s="494">
        <v>819.73</v>
      </c>
      <c r="BF402" s="494">
        <v>611.5</v>
      </c>
      <c r="BG402" s="494">
        <v>1080.04</v>
      </c>
      <c r="BH402" s="494">
        <v>2671800.0099999998</v>
      </c>
      <c r="BI402" s="494">
        <f t="shared" si="376"/>
        <v>4607.6000000000004</v>
      </c>
      <c r="BJ402" s="494">
        <v>14289.54</v>
      </c>
      <c r="BK402" s="494">
        <v>3389.61</v>
      </c>
      <c r="BL402" s="494">
        <v>5995.76</v>
      </c>
      <c r="BM402" s="494">
        <v>548.62</v>
      </c>
      <c r="BN402" s="495" t="e">
        <f t="shared" ref="BN402:BN465" si="408">IF(AP402&gt;BB402, "+", " ")</f>
        <v>#DIV/0!</v>
      </c>
      <c r="BO402" s="495" t="e">
        <f t="shared" ref="BO402:BO465" si="409">IF(AQ402&gt;BC402, "+", " ")</f>
        <v>#DIV/0!</v>
      </c>
      <c r="BP402" s="495" t="e">
        <f t="shared" ref="BP402:BP465" si="410">IF(AR402&gt;BD402, "+", " ")</f>
        <v>#DIV/0!</v>
      </c>
      <c r="BQ402" s="495" t="e">
        <f t="shared" ref="BQ402:BQ465" si="411">IF(AS402&gt;BE402, "+", " ")</f>
        <v>#DIV/0!</v>
      </c>
      <c r="BR402" s="495" t="e">
        <f t="shared" ref="BR402:BR465" si="412">IF(AT402&gt;BF402, "+", " ")</f>
        <v>#DIV/0!</v>
      </c>
      <c r="BS402" s="495" t="e">
        <f t="shared" ref="BS402:BS465" si="413">IF(AU402&gt;BG402, "+", " ")</f>
        <v>#DIV/0!</v>
      </c>
      <c r="BT402" s="495" t="e">
        <f t="shared" ref="BT402:BT465" si="414">IF(AV402&gt;BH402, "+", " ")</f>
        <v>#DIV/0!</v>
      </c>
      <c r="BU402" s="495" t="str">
        <f t="shared" ref="BU402:BU465" si="415">IF(AW402&gt;BI402, "+", " ")</f>
        <v xml:space="preserve"> </v>
      </c>
      <c r="BV402" s="495" t="e">
        <f t="shared" ref="BV402:BV465" si="416">IF(AX402&gt;BJ402, "+", " ")</f>
        <v>#DIV/0!</v>
      </c>
      <c r="BW402" s="495" t="e">
        <f t="shared" ref="BW402:BW465" si="417">IF(AY402&gt;BK402, "+", " ")</f>
        <v>#DIV/0!</v>
      </c>
      <c r="BX402" s="495" t="e">
        <f t="shared" ref="BX402:BX465" si="418">IF(AZ402&gt;BL402, "+", " ")</f>
        <v>#DIV/0!</v>
      </c>
      <c r="BY402" s="495" t="str">
        <f t="shared" ref="BY402:BY465" si="419">IF(BA402&gt;BM402, "+", " ")</f>
        <v xml:space="preserve"> </v>
      </c>
    </row>
    <row r="403" spans="1:77" s="28" customFormat="1" ht="9" customHeight="1">
      <c r="A403" s="406">
        <v>43</v>
      </c>
      <c r="B403" s="206" t="s">
        <v>665</v>
      </c>
      <c r="C403" s="376">
        <v>3841.74</v>
      </c>
      <c r="D403" s="376"/>
      <c r="E403" s="413" t="s">
        <v>1006</v>
      </c>
      <c r="F403" s="413"/>
      <c r="G403" s="413"/>
      <c r="H403" s="211">
        <v>6024942</v>
      </c>
      <c r="I403" s="407">
        <f t="shared" si="392"/>
        <v>0</v>
      </c>
      <c r="J403" s="217">
        <v>0</v>
      </c>
      <c r="K403" s="469">
        <v>0</v>
      </c>
      <c r="L403" s="217">
        <v>0</v>
      </c>
      <c r="M403" s="469">
        <v>0</v>
      </c>
      <c r="N403" s="217">
        <v>0</v>
      </c>
      <c r="O403" s="249">
        <v>0</v>
      </c>
      <c r="P403" s="407">
        <v>0</v>
      </c>
      <c r="Q403" s="249">
        <v>0</v>
      </c>
      <c r="R403" s="407">
        <v>0</v>
      </c>
      <c r="S403" s="249">
        <v>0</v>
      </c>
      <c r="T403" s="407">
        <v>0</v>
      </c>
      <c r="U403" s="130">
        <v>0</v>
      </c>
      <c r="V403" s="407">
        <v>0</v>
      </c>
      <c r="W403" s="410">
        <v>1863</v>
      </c>
      <c r="X403" s="407">
        <f t="shared" si="393"/>
        <v>5753819.6100000003</v>
      </c>
      <c r="Y403" s="410">
        <v>0</v>
      </c>
      <c r="Z403" s="410">
        <v>0</v>
      </c>
      <c r="AA403" s="410">
        <v>0</v>
      </c>
      <c r="AB403" s="410">
        <v>0</v>
      </c>
      <c r="AC403" s="410">
        <v>0</v>
      </c>
      <c r="AD403" s="410">
        <v>0</v>
      </c>
      <c r="AE403" s="410">
        <v>0</v>
      </c>
      <c r="AF403" s="410">
        <v>0</v>
      </c>
      <c r="AG403" s="410">
        <v>0</v>
      </c>
      <c r="AH403" s="410">
        <v>0</v>
      </c>
      <c r="AI403" s="410">
        <v>0</v>
      </c>
      <c r="AJ403" s="410">
        <f t="shared" si="394"/>
        <v>180748.26</v>
      </c>
      <c r="AK403" s="410">
        <f t="shared" si="395"/>
        <v>90374.13</v>
      </c>
      <c r="AL403" s="410">
        <v>0</v>
      </c>
      <c r="AM403" s="446"/>
      <c r="AN403" s="446"/>
      <c r="AP403" s="486" t="e">
        <f t="shared" si="396"/>
        <v>#DIV/0!</v>
      </c>
      <c r="AQ403" s="486" t="e">
        <f t="shared" si="398"/>
        <v>#DIV/0!</v>
      </c>
      <c r="AR403" s="486" t="e">
        <f t="shared" si="399"/>
        <v>#DIV/0!</v>
      </c>
      <c r="AS403" s="486" t="e">
        <f t="shared" si="400"/>
        <v>#DIV/0!</v>
      </c>
      <c r="AT403" s="486" t="e">
        <f t="shared" si="401"/>
        <v>#DIV/0!</v>
      </c>
      <c r="AU403" s="486" t="e">
        <f t="shared" si="402"/>
        <v>#DIV/0!</v>
      </c>
      <c r="AV403" s="486" t="e">
        <f t="shared" si="403"/>
        <v>#DIV/0!</v>
      </c>
      <c r="AW403" s="486">
        <f t="shared" si="404"/>
        <v>3088.4700000000003</v>
      </c>
      <c r="AX403" s="486" t="e">
        <f t="shared" si="405"/>
        <v>#DIV/0!</v>
      </c>
      <c r="AY403" s="486" t="e">
        <f t="shared" si="406"/>
        <v>#DIV/0!</v>
      </c>
      <c r="AZ403" s="486" t="e">
        <f t="shared" si="407"/>
        <v>#DIV/0!</v>
      </c>
      <c r="BA403" s="486">
        <f t="shared" si="397"/>
        <v>0</v>
      </c>
      <c r="BB403" s="494">
        <v>5155.41</v>
      </c>
      <c r="BC403" s="494">
        <v>2070.12</v>
      </c>
      <c r="BD403" s="494">
        <v>848.92</v>
      </c>
      <c r="BE403" s="494">
        <v>819.73</v>
      </c>
      <c r="BF403" s="494">
        <v>611.5</v>
      </c>
      <c r="BG403" s="494">
        <v>1080.04</v>
      </c>
      <c r="BH403" s="494">
        <v>2671800.0099999998</v>
      </c>
      <c r="BI403" s="494">
        <f t="shared" si="376"/>
        <v>4422.8500000000004</v>
      </c>
      <c r="BJ403" s="494">
        <v>14289.54</v>
      </c>
      <c r="BK403" s="494">
        <v>3389.61</v>
      </c>
      <c r="BL403" s="494">
        <v>5995.76</v>
      </c>
      <c r="BM403" s="494">
        <v>548.62</v>
      </c>
      <c r="BN403" s="495" t="e">
        <f t="shared" si="408"/>
        <v>#DIV/0!</v>
      </c>
      <c r="BO403" s="495" t="e">
        <f t="shared" si="409"/>
        <v>#DIV/0!</v>
      </c>
      <c r="BP403" s="495" t="e">
        <f t="shared" si="410"/>
        <v>#DIV/0!</v>
      </c>
      <c r="BQ403" s="495" t="e">
        <f t="shared" si="411"/>
        <v>#DIV/0!</v>
      </c>
      <c r="BR403" s="495" t="e">
        <f t="shared" si="412"/>
        <v>#DIV/0!</v>
      </c>
      <c r="BS403" s="495" t="e">
        <f t="shared" si="413"/>
        <v>#DIV/0!</v>
      </c>
      <c r="BT403" s="495" t="e">
        <f t="shared" si="414"/>
        <v>#DIV/0!</v>
      </c>
      <c r="BU403" s="495" t="str">
        <f t="shared" si="415"/>
        <v xml:space="preserve"> </v>
      </c>
      <c r="BV403" s="495" t="e">
        <f t="shared" si="416"/>
        <v>#DIV/0!</v>
      </c>
      <c r="BW403" s="495" t="e">
        <f t="shared" si="417"/>
        <v>#DIV/0!</v>
      </c>
      <c r="BX403" s="495" t="e">
        <f t="shared" si="418"/>
        <v>#DIV/0!</v>
      </c>
      <c r="BY403" s="495" t="str">
        <f t="shared" si="419"/>
        <v xml:space="preserve"> </v>
      </c>
    </row>
    <row r="404" spans="1:77" s="28" customFormat="1" ht="9" customHeight="1">
      <c r="A404" s="406">
        <v>44</v>
      </c>
      <c r="B404" s="206" t="s">
        <v>666</v>
      </c>
      <c r="C404" s="376">
        <v>3925.3</v>
      </c>
      <c r="D404" s="376"/>
      <c r="E404" s="413" t="s">
        <v>1005</v>
      </c>
      <c r="F404" s="413"/>
      <c r="G404" s="413"/>
      <c r="H404" s="211">
        <v>3317330</v>
      </c>
      <c r="I404" s="407">
        <f t="shared" si="392"/>
        <v>0</v>
      </c>
      <c r="J404" s="217">
        <v>0</v>
      </c>
      <c r="K404" s="469">
        <v>0</v>
      </c>
      <c r="L404" s="217">
        <v>0</v>
      </c>
      <c r="M404" s="469">
        <v>0</v>
      </c>
      <c r="N404" s="217">
        <v>0</v>
      </c>
      <c r="O404" s="249">
        <v>0</v>
      </c>
      <c r="P404" s="407">
        <v>0</v>
      </c>
      <c r="Q404" s="249">
        <v>0</v>
      </c>
      <c r="R404" s="407">
        <v>0</v>
      </c>
      <c r="S404" s="249">
        <v>0</v>
      </c>
      <c r="T404" s="407">
        <v>0</v>
      </c>
      <c r="U404" s="130">
        <v>0</v>
      </c>
      <c r="V404" s="407">
        <v>0</v>
      </c>
      <c r="W404" s="410">
        <v>995</v>
      </c>
      <c r="X404" s="407">
        <f t="shared" si="393"/>
        <v>3168050.15</v>
      </c>
      <c r="Y404" s="410">
        <v>0</v>
      </c>
      <c r="Z404" s="410">
        <v>0</v>
      </c>
      <c r="AA404" s="410">
        <v>0</v>
      </c>
      <c r="AB404" s="410">
        <v>0</v>
      </c>
      <c r="AC404" s="410">
        <v>0</v>
      </c>
      <c r="AD404" s="410">
        <v>0</v>
      </c>
      <c r="AE404" s="410">
        <v>0</v>
      </c>
      <c r="AF404" s="410">
        <v>0</v>
      </c>
      <c r="AG404" s="410">
        <v>0</v>
      </c>
      <c r="AH404" s="410">
        <v>0</v>
      </c>
      <c r="AI404" s="410">
        <v>0</v>
      </c>
      <c r="AJ404" s="410">
        <f t="shared" si="394"/>
        <v>99519.9</v>
      </c>
      <c r="AK404" s="410">
        <f t="shared" si="395"/>
        <v>49759.95</v>
      </c>
      <c r="AL404" s="410">
        <v>0</v>
      </c>
      <c r="AM404" s="446"/>
      <c r="AN404" s="446"/>
      <c r="AP404" s="486" t="e">
        <f t="shared" si="396"/>
        <v>#DIV/0!</v>
      </c>
      <c r="AQ404" s="486" t="e">
        <f t="shared" si="398"/>
        <v>#DIV/0!</v>
      </c>
      <c r="AR404" s="486" t="e">
        <f t="shared" si="399"/>
        <v>#DIV/0!</v>
      </c>
      <c r="AS404" s="486" t="e">
        <f t="shared" si="400"/>
        <v>#DIV/0!</v>
      </c>
      <c r="AT404" s="486" t="e">
        <f t="shared" si="401"/>
        <v>#DIV/0!</v>
      </c>
      <c r="AU404" s="486" t="e">
        <f t="shared" si="402"/>
        <v>#DIV/0!</v>
      </c>
      <c r="AV404" s="486" t="e">
        <f t="shared" si="403"/>
        <v>#DIV/0!</v>
      </c>
      <c r="AW404" s="486">
        <f t="shared" si="404"/>
        <v>3183.97</v>
      </c>
      <c r="AX404" s="486" t="e">
        <f t="shared" si="405"/>
        <v>#DIV/0!</v>
      </c>
      <c r="AY404" s="486" t="e">
        <f t="shared" si="406"/>
        <v>#DIV/0!</v>
      </c>
      <c r="AZ404" s="486" t="e">
        <f t="shared" si="407"/>
        <v>#DIV/0!</v>
      </c>
      <c r="BA404" s="486">
        <f t="shared" si="397"/>
        <v>0</v>
      </c>
      <c r="BB404" s="494">
        <v>5155.41</v>
      </c>
      <c r="BC404" s="494">
        <v>2070.12</v>
      </c>
      <c r="BD404" s="494">
        <v>848.92</v>
      </c>
      <c r="BE404" s="494">
        <v>819.73</v>
      </c>
      <c r="BF404" s="494">
        <v>611.5</v>
      </c>
      <c r="BG404" s="494">
        <v>1080.04</v>
      </c>
      <c r="BH404" s="494">
        <v>2671800.0099999998</v>
      </c>
      <c r="BI404" s="494">
        <f t="shared" si="376"/>
        <v>4607.6000000000004</v>
      </c>
      <c r="BJ404" s="494">
        <v>14289.54</v>
      </c>
      <c r="BK404" s="494">
        <v>3389.61</v>
      </c>
      <c r="BL404" s="494">
        <v>5995.76</v>
      </c>
      <c r="BM404" s="494">
        <v>548.62</v>
      </c>
      <c r="BN404" s="495" t="e">
        <f t="shared" si="408"/>
        <v>#DIV/0!</v>
      </c>
      <c r="BO404" s="495" t="e">
        <f t="shared" si="409"/>
        <v>#DIV/0!</v>
      </c>
      <c r="BP404" s="495" t="e">
        <f t="shared" si="410"/>
        <v>#DIV/0!</v>
      </c>
      <c r="BQ404" s="495" t="e">
        <f t="shared" si="411"/>
        <v>#DIV/0!</v>
      </c>
      <c r="BR404" s="495" t="e">
        <f t="shared" si="412"/>
        <v>#DIV/0!</v>
      </c>
      <c r="BS404" s="495" t="e">
        <f t="shared" si="413"/>
        <v>#DIV/0!</v>
      </c>
      <c r="BT404" s="495" t="e">
        <f t="shared" si="414"/>
        <v>#DIV/0!</v>
      </c>
      <c r="BU404" s="495" t="str">
        <f t="shared" si="415"/>
        <v xml:space="preserve"> </v>
      </c>
      <c r="BV404" s="495" t="e">
        <f t="shared" si="416"/>
        <v>#DIV/0!</v>
      </c>
      <c r="BW404" s="495" t="e">
        <f t="shared" si="417"/>
        <v>#DIV/0!</v>
      </c>
      <c r="BX404" s="495" t="e">
        <f t="shared" si="418"/>
        <v>#DIV/0!</v>
      </c>
      <c r="BY404" s="495" t="str">
        <f t="shared" si="419"/>
        <v xml:space="preserve"> </v>
      </c>
    </row>
    <row r="405" spans="1:77" s="28" customFormat="1" ht="9" customHeight="1">
      <c r="A405" s="406">
        <v>45</v>
      </c>
      <c r="B405" s="206" t="s">
        <v>667</v>
      </c>
      <c r="C405" s="376">
        <v>2034.9</v>
      </c>
      <c r="D405" s="376"/>
      <c r="E405" s="413" t="s">
        <v>1006</v>
      </c>
      <c r="F405" s="413"/>
      <c r="G405" s="413"/>
      <c r="H405" s="211">
        <v>2781240</v>
      </c>
      <c r="I405" s="407">
        <f t="shared" si="392"/>
        <v>0</v>
      </c>
      <c r="J405" s="217">
        <v>0</v>
      </c>
      <c r="K405" s="469">
        <v>0</v>
      </c>
      <c r="L405" s="217">
        <v>0</v>
      </c>
      <c r="M405" s="469">
        <v>0</v>
      </c>
      <c r="N405" s="217">
        <v>0</v>
      </c>
      <c r="O405" s="249">
        <v>0</v>
      </c>
      <c r="P405" s="407">
        <v>0</v>
      </c>
      <c r="Q405" s="249">
        <v>0</v>
      </c>
      <c r="R405" s="407">
        <v>0</v>
      </c>
      <c r="S405" s="249">
        <v>0</v>
      </c>
      <c r="T405" s="407">
        <v>0</v>
      </c>
      <c r="U405" s="130">
        <v>0</v>
      </c>
      <c r="V405" s="407">
        <v>0</v>
      </c>
      <c r="W405" s="410">
        <v>860</v>
      </c>
      <c r="X405" s="407">
        <f t="shared" si="393"/>
        <v>2656084.2000000002</v>
      </c>
      <c r="Y405" s="410">
        <v>0</v>
      </c>
      <c r="Z405" s="410">
        <v>0</v>
      </c>
      <c r="AA405" s="410">
        <v>0</v>
      </c>
      <c r="AB405" s="410">
        <v>0</v>
      </c>
      <c r="AC405" s="410">
        <v>0</v>
      </c>
      <c r="AD405" s="410">
        <v>0</v>
      </c>
      <c r="AE405" s="410">
        <v>0</v>
      </c>
      <c r="AF405" s="410">
        <v>0</v>
      </c>
      <c r="AG405" s="410">
        <v>0</v>
      </c>
      <c r="AH405" s="410">
        <v>0</v>
      </c>
      <c r="AI405" s="410">
        <v>0</v>
      </c>
      <c r="AJ405" s="410">
        <f t="shared" si="394"/>
        <v>83437.2</v>
      </c>
      <c r="AK405" s="410">
        <f t="shared" si="395"/>
        <v>41718.6</v>
      </c>
      <c r="AL405" s="410">
        <v>0</v>
      </c>
      <c r="AM405" s="446"/>
      <c r="AN405" s="446"/>
      <c r="AP405" s="486" t="e">
        <f t="shared" si="396"/>
        <v>#DIV/0!</v>
      </c>
      <c r="AQ405" s="486" t="e">
        <f t="shared" si="398"/>
        <v>#DIV/0!</v>
      </c>
      <c r="AR405" s="486" t="e">
        <f t="shared" si="399"/>
        <v>#DIV/0!</v>
      </c>
      <c r="AS405" s="486" t="e">
        <f t="shared" si="400"/>
        <v>#DIV/0!</v>
      </c>
      <c r="AT405" s="486" t="e">
        <f t="shared" si="401"/>
        <v>#DIV/0!</v>
      </c>
      <c r="AU405" s="486" t="e">
        <f t="shared" si="402"/>
        <v>#DIV/0!</v>
      </c>
      <c r="AV405" s="486" t="e">
        <f t="shared" si="403"/>
        <v>#DIV/0!</v>
      </c>
      <c r="AW405" s="486">
        <f t="shared" si="404"/>
        <v>3088.4700000000003</v>
      </c>
      <c r="AX405" s="486" t="e">
        <f t="shared" si="405"/>
        <v>#DIV/0!</v>
      </c>
      <c r="AY405" s="486" t="e">
        <f t="shared" si="406"/>
        <v>#DIV/0!</v>
      </c>
      <c r="AZ405" s="486" t="e">
        <f t="shared" si="407"/>
        <v>#DIV/0!</v>
      </c>
      <c r="BA405" s="486">
        <f t="shared" si="397"/>
        <v>0</v>
      </c>
      <c r="BB405" s="494">
        <v>5155.41</v>
      </c>
      <c r="BC405" s="494">
        <v>2070.12</v>
      </c>
      <c r="BD405" s="494">
        <v>848.92</v>
      </c>
      <c r="BE405" s="494">
        <v>819.73</v>
      </c>
      <c r="BF405" s="494">
        <v>611.5</v>
      </c>
      <c r="BG405" s="494">
        <v>1080.04</v>
      </c>
      <c r="BH405" s="494">
        <v>2671800.0099999998</v>
      </c>
      <c r="BI405" s="494">
        <f t="shared" si="376"/>
        <v>4422.8500000000004</v>
      </c>
      <c r="BJ405" s="494">
        <v>14289.54</v>
      </c>
      <c r="BK405" s="494">
        <v>3389.61</v>
      </c>
      <c r="BL405" s="494">
        <v>5995.76</v>
      </c>
      <c r="BM405" s="494">
        <v>548.62</v>
      </c>
      <c r="BN405" s="495" t="e">
        <f t="shared" si="408"/>
        <v>#DIV/0!</v>
      </c>
      <c r="BO405" s="495" t="e">
        <f t="shared" si="409"/>
        <v>#DIV/0!</v>
      </c>
      <c r="BP405" s="495" t="e">
        <f t="shared" si="410"/>
        <v>#DIV/0!</v>
      </c>
      <c r="BQ405" s="495" t="e">
        <f t="shared" si="411"/>
        <v>#DIV/0!</v>
      </c>
      <c r="BR405" s="495" t="e">
        <f t="shared" si="412"/>
        <v>#DIV/0!</v>
      </c>
      <c r="BS405" s="495" t="e">
        <f t="shared" si="413"/>
        <v>#DIV/0!</v>
      </c>
      <c r="BT405" s="495" t="e">
        <f t="shared" si="414"/>
        <v>#DIV/0!</v>
      </c>
      <c r="BU405" s="495" t="str">
        <f t="shared" si="415"/>
        <v xml:space="preserve"> </v>
      </c>
      <c r="BV405" s="495" t="e">
        <f t="shared" si="416"/>
        <v>#DIV/0!</v>
      </c>
      <c r="BW405" s="495" t="e">
        <f t="shared" si="417"/>
        <v>#DIV/0!</v>
      </c>
      <c r="BX405" s="495" t="e">
        <f t="shared" si="418"/>
        <v>#DIV/0!</v>
      </c>
      <c r="BY405" s="495" t="str">
        <f t="shared" si="419"/>
        <v xml:space="preserve"> </v>
      </c>
    </row>
    <row r="406" spans="1:77" s="28" customFormat="1" ht="9" customHeight="1">
      <c r="A406" s="406">
        <v>46</v>
      </c>
      <c r="B406" s="206" t="s">
        <v>668</v>
      </c>
      <c r="C406" s="376">
        <v>3477.8</v>
      </c>
      <c r="D406" s="376"/>
      <c r="E406" s="413" t="s">
        <v>1006</v>
      </c>
      <c r="F406" s="413"/>
      <c r="G406" s="413"/>
      <c r="H406" s="211">
        <v>3783780</v>
      </c>
      <c r="I406" s="407">
        <f t="shared" si="392"/>
        <v>0</v>
      </c>
      <c r="J406" s="217">
        <v>0</v>
      </c>
      <c r="K406" s="469">
        <v>0</v>
      </c>
      <c r="L406" s="217">
        <v>0</v>
      </c>
      <c r="M406" s="469">
        <v>0</v>
      </c>
      <c r="N406" s="217">
        <v>0</v>
      </c>
      <c r="O406" s="249">
        <v>0</v>
      </c>
      <c r="P406" s="407">
        <v>0</v>
      </c>
      <c r="Q406" s="249">
        <v>0</v>
      </c>
      <c r="R406" s="407">
        <v>0</v>
      </c>
      <c r="S406" s="249">
        <v>0</v>
      </c>
      <c r="T406" s="407">
        <v>0</v>
      </c>
      <c r="U406" s="130">
        <v>0</v>
      </c>
      <c r="V406" s="407">
        <v>0</v>
      </c>
      <c r="W406" s="410">
        <v>1170</v>
      </c>
      <c r="X406" s="407">
        <f t="shared" si="393"/>
        <v>3613509.9</v>
      </c>
      <c r="Y406" s="410">
        <v>0</v>
      </c>
      <c r="Z406" s="410">
        <v>0</v>
      </c>
      <c r="AA406" s="410">
        <v>0</v>
      </c>
      <c r="AB406" s="410">
        <v>0</v>
      </c>
      <c r="AC406" s="410">
        <v>0</v>
      </c>
      <c r="AD406" s="410">
        <v>0</v>
      </c>
      <c r="AE406" s="410">
        <v>0</v>
      </c>
      <c r="AF406" s="410">
        <v>0</v>
      </c>
      <c r="AG406" s="410">
        <v>0</v>
      </c>
      <c r="AH406" s="410">
        <v>0</v>
      </c>
      <c r="AI406" s="410">
        <v>0</v>
      </c>
      <c r="AJ406" s="410">
        <f t="shared" si="394"/>
        <v>113513.4</v>
      </c>
      <c r="AK406" s="410">
        <f t="shared" si="395"/>
        <v>56756.7</v>
      </c>
      <c r="AL406" s="410">
        <v>0</v>
      </c>
      <c r="AM406" s="446"/>
      <c r="AN406" s="446"/>
      <c r="AP406" s="486" t="e">
        <f t="shared" si="396"/>
        <v>#DIV/0!</v>
      </c>
      <c r="AQ406" s="486" t="e">
        <f t="shared" si="398"/>
        <v>#DIV/0!</v>
      </c>
      <c r="AR406" s="486" t="e">
        <f t="shared" si="399"/>
        <v>#DIV/0!</v>
      </c>
      <c r="AS406" s="486" t="e">
        <f t="shared" si="400"/>
        <v>#DIV/0!</v>
      </c>
      <c r="AT406" s="486" t="e">
        <f t="shared" si="401"/>
        <v>#DIV/0!</v>
      </c>
      <c r="AU406" s="486" t="e">
        <f t="shared" si="402"/>
        <v>#DIV/0!</v>
      </c>
      <c r="AV406" s="486" t="e">
        <f t="shared" si="403"/>
        <v>#DIV/0!</v>
      </c>
      <c r="AW406" s="486">
        <f t="shared" si="404"/>
        <v>3088.47</v>
      </c>
      <c r="AX406" s="486" t="e">
        <f t="shared" si="405"/>
        <v>#DIV/0!</v>
      </c>
      <c r="AY406" s="486" t="e">
        <f t="shared" si="406"/>
        <v>#DIV/0!</v>
      </c>
      <c r="AZ406" s="486" t="e">
        <f t="shared" si="407"/>
        <v>#DIV/0!</v>
      </c>
      <c r="BA406" s="486">
        <f t="shared" si="397"/>
        <v>0</v>
      </c>
      <c r="BB406" s="494">
        <v>5155.41</v>
      </c>
      <c r="BC406" s="494">
        <v>2070.12</v>
      </c>
      <c r="BD406" s="494">
        <v>848.92</v>
      </c>
      <c r="BE406" s="494">
        <v>819.73</v>
      </c>
      <c r="BF406" s="494">
        <v>611.5</v>
      </c>
      <c r="BG406" s="494">
        <v>1080.04</v>
      </c>
      <c r="BH406" s="494">
        <v>2671800.0099999998</v>
      </c>
      <c r="BI406" s="494">
        <f t="shared" si="376"/>
        <v>4422.8500000000004</v>
      </c>
      <c r="BJ406" s="494">
        <v>14289.54</v>
      </c>
      <c r="BK406" s="494">
        <v>3389.61</v>
      </c>
      <c r="BL406" s="494">
        <v>5995.76</v>
      </c>
      <c r="BM406" s="494">
        <v>548.62</v>
      </c>
      <c r="BN406" s="495" t="e">
        <f t="shared" si="408"/>
        <v>#DIV/0!</v>
      </c>
      <c r="BO406" s="495" t="e">
        <f t="shared" si="409"/>
        <v>#DIV/0!</v>
      </c>
      <c r="BP406" s="495" t="e">
        <f t="shared" si="410"/>
        <v>#DIV/0!</v>
      </c>
      <c r="BQ406" s="495" t="e">
        <f t="shared" si="411"/>
        <v>#DIV/0!</v>
      </c>
      <c r="BR406" s="495" t="e">
        <f t="shared" si="412"/>
        <v>#DIV/0!</v>
      </c>
      <c r="BS406" s="495" t="e">
        <f t="shared" si="413"/>
        <v>#DIV/0!</v>
      </c>
      <c r="BT406" s="495" t="e">
        <f t="shared" si="414"/>
        <v>#DIV/0!</v>
      </c>
      <c r="BU406" s="495" t="str">
        <f t="shared" si="415"/>
        <v xml:space="preserve"> </v>
      </c>
      <c r="BV406" s="495" t="e">
        <f t="shared" si="416"/>
        <v>#DIV/0!</v>
      </c>
      <c r="BW406" s="495" t="e">
        <f t="shared" si="417"/>
        <v>#DIV/0!</v>
      </c>
      <c r="BX406" s="495" t="e">
        <f t="shared" si="418"/>
        <v>#DIV/0!</v>
      </c>
      <c r="BY406" s="495" t="str">
        <f t="shared" si="419"/>
        <v xml:space="preserve"> </v>
      </c>
    </row>
    <row r="407" spans="1:77" s="28" customFormat="1" ht="9" customHeight="1">
      <c r="A407" s="406">
        <v>47</v>
      </c>
      <c r="B407" s="206" t="s">
        <v>669</v>
      </c>
      <c r="C407" s="376">
        <v>2399.8000000000002</v>
      </c>
      <c r="D407" s="376"/>
      <c r="E407" s="413" t="s">
        <v>1006</v>
      </c>
      <c r="F407" s="413"/>
      <c r="G407" s="413"/>
      <c r="H407" s="211">
        <v>2868558</v>
      </c>
      <c r="I407" s="407">
        <f t="shared" si="392"/>
        <v>0</v>
      </c>
      <c r="J407" s="217">
        <v>0</v>
      </c>
      <c r="K407" s="469">
        <v>0</v>
      </c>
      <c r="L407" s="217">
        <v>0</v>
      </c>
      <c r="M407" s="469">
        <v>0</v>
      </c>
      <c r="N407" s="217">
        <v>0</v>
      </c>
      <c r="O407" s="249">
        <v>0</v>
      </c>
      <c r="P407" s="407">
        <v>0</v>
      </c>
      <c r="Q407" s="249">
        <v>0</v>
      </c>
      <c r="R407" s="407">
        <v>0</v>
      </c>
      <c r="S407" s="249">
        <v>0</v>
      </c>
      <c r="T407" s="407">
        <v>0</v>
      </c>
      <c r="U407" s="130">
        <v>0</v>
      </c>
      <c r="V407" s="407">
        <v>0</v>
      </c>
      <c r="W407" s="410">
        <v>887</v>
      </c>
      <c r="X407" s="407">
        <f t="shared" si="393"/>
        <v>2739472.89</v>
      </c>
      <c r="Y407" s="410">
        <v>0</v>
      </c>
      <c r="Z407" s="410">
        <v>0</v>
      </c>
      <c r="AA407" s="410">
        <v>0</v>
      </c>
      <c r="AB407" s="410">
        <v>0</v>
      </c>
      <c r="AC407" s="410">
        <v>0</v>
      </c>
      <c r="AD407" s="410">
        <v>0</v>
      </c>
      <c r="AE407" s="410">
        <v>0</v>
      </c>
      <c r="AF407" s="410">
        <v>0</v>
      </c>
      <c r="AG407" s="410">
        <v>0</v>
      </c>
      <c r="AH407" s="410">
        <v>0</v>
      </c>
      <c r="AI407" s="410">
        <v>0</v>
      </c>
      <c r="AJ407" s="410">
        <f t="shared" si="394"/>
        <v>86056.74</v>
      </c>
      <c r="AK407" s="410">
        <f t="shared" si="395"/>
        <v>43028.37</v>
      </c>
      <c r="AL407" s="410">
        <v>0</v>
      </c>
      <c r="AM407" s="446"/>
      <c r="AN407" s="446"/>
      <c r="AP407" s="486" t="e">
        <f t="shared" si="396"/>
        <v>#DIV/0!</v>
      </c>
      <c r="AQ407" s="486" t="e">
        <f t="shared" si="398"/>
        <v>#DIV/0!</v>
      </c>
      <c r="AR407" s="486" t="e">
        <f t="shared" si="399"/>
        <v>#DIV/0!</v>
      </c>
      <c r="AS407" s="486" t="e">
        <f t="shared" si="400"/>
        <v>#DIV/0!</v>
      </c>
      <c r="AT407" s="486" t="e">
        <f t="shared" si="401"/>
        <v>#DIV/0!</v>
      </c>
      <c r="AU407" s="486" t="e">
        <f t="shared" si="402"/>
        <v>#DIV/0!</v>
      </c>
      <c r="AV407" s="486" t="e">
        <f t="shared" si="403"/>
        <v>#DIV/0!</v>
      </c>
      <c r="AW407" s="486">
        <f t="shared" si="404"/>
        <v>3088.4700000000003</v>
      </c>
      <c r="AX407" s="486" t="e">
        <f t="shared" si="405"/>
        <v>#DIV/0!</v>
      </c>
      <c r="AY407" s="486" t="e">
        <f t="shared" si="406"/>
        <v>#DIV/0!</v>
      </c>
      <c r="AZ407" s="486" t="e">
        <f t="shared" si="407"/>
        <v>#DIV/0!</v>
      </c>
      <c r="BA407" s="486">
        <f t="shared" si="397"/>
        <v>0</v>
      </c>
      <c r="BB407" s="494">
        <v>5155.41</v>
      </c>
      <c r="BC407" s="494">
        <v>2070.12</v>
      </c>
      <c r="BD407" s="494">
        <v>848.92</v>
      </c>
      <c r="BE407" s="494">
        <v>819.73</v>
      </c>
      <c r="BF407" s="494">
        <v>611.5</v>
      </c>
      <c r="BG407" s="494">
        <v>1080.04</v>
      </c>
      <c r="BH407" s="494">
        <v>2671800.0099999998</v>
      </c>
      <c r="BI407" s="494">
        <f t="shared" si="376"/>
        <v>4422.8500000000004</v>
      </c>
      <c r="BJ407" s="494">
        <v>14289.54</v>
      </c>
      <c r="BK407" s="494">
        <v>3389.61</v>
      </c>
      <c r="BL407" s="494">
        <v>5995.76</v>
      </c>
      <c r="BM407" s="494">
        <v>548.62</v>
      </c>
      <c r="BN407" s="495" t="e">
        <f t="shared" si="408"/>
        <v>#DIV/0!</v>
      </c>
      <c r="BO407" s="495" t="e">
        <f t="shared" si="409"/>
        <v>#DIV/0!</v>
      </c>
      <c r="BP407" s="495" t="e">
        <f t="shared" si="410"/>
        <v>#DIV/0!</v>
      </c>
      <c r="BQ407" s="495" t="e">
        <f t="shared" si="411"/>
        <v>#DIV/0!</v>
      </c>
      <c r="BR407" s="495" t="e">
        <f t="shared" si="412"/>
        <v>#DIV/0!</v>
      </c>
      <c r="BS407" s="495" t="e">
        <f t="shared" si="413"/>
        <v>#DIV/0!</v>
      </c>
      <c r="BT407" s="495" t="e">
        <f t="shared" si="414"/>
        <v>#DIV/0!</v>
      </c>
      <c r="BU407" s="495" t="str">
        <f t="shared" si="415"/>
        <v xml:space="preserve"> </v>
      </c>
      <c r="BV407" s="495" t="e">
        <f t="shared" si="416"/>
        <v>#DIV/0!</v>
      </c>
      <c r="BW407" s="495" t="e">
        <f t="shared" si="417"/>
        <v>#DIV/0!</v>
      </c>
      <c r="BX407" s="495" t="e">
        <f t="shared" si="418"/>
        <v>#DIV/0!</v>
      </c>
      <c r="BY407" s="495" t="str">
        <f t="shared" si="419"/>
        <v xml:space="preserve"> </v>
      </c>
    </row>
    <row r="408" spans="1:77" s="28" customFormat="1" ht="9" customHeight="1">
      <c r="A408" s="406">
        <v>48</v>
      </c>
      <c r="B408" s="206" t="s">
        <v>670</v>
      </c>
      <c r="C408" s="376">
        <v>1601</v>
      </c>
      <c r="D408" s="376"/>
      <c r="E408" s="413" t="s">
        <v>1006</v>
      </c>
      <c r="F408" s="413"/>
      <c r="G408" s="413"/>
      <c r="H408" s="211">
        <v>1878954</v>
      </c>
      <c r="I408" s="407">
        <f t="shared" si="392"/>
        <v>0</v>
      </c>
      <c r="J408" s="217">
        <v>0</v>
      </c>
      <c r="K408" s="469">
        <v>0</v>
      </c>
      <c r="L408" s="217">
        <v>0</v>
      </c>
      <c r="M408" s="469">
        <v>0</v>
      </c>
      <c r="N408" s="217">
        <v>0</v>
      </c>
      <c r="O408" s="249">
        <v>0</v>
      </c>
      <c r="P408" s="407">
        <v>0</v>
      </c>
      <c r="Q408" s="249">
        <v>0</v>
      </c>
      <c r="R408" s="407">
        <v>0</v>
      </c>
      <c r="S408" s="249">
        <v>0</v>
      </c>
      <c r="T408" s="407">
        <v>0</v>
      </c>
      <c r="U408" s="130">
        <v>0</v>
      </c>
      <c r="V408" s="407">
        <v>0</v>
      </c>
      <c r="W408" s="410">
        <v>581</v>
      </c>
      <c r="X408" s="407">
        <f t="shared" si="393"/>
        <v>1794401.07</v>
      </c>
      <c r="Y408" s="410">
        <v>0</v>
      </c>
      <c r="Z408" s="410">
        <v>0</v>
      </c>
      <c r="AA408" s="410">
        <v>0</v>
      </c>
      <c r="AB408" s="410">
        <v>0</v>
      </c>
      <c r="AC408" s="410">
        <v>0</v>
      </c>
      <c r="AD408" s="410">
        <v>0</v>
      </c>
      <c r="AE408" s="410">
        <v>0</v>
      </c>
      <c r="AF408" s="410">
        <v>0</v>
      </c>
      <c r="AG408" s="410">
        <v>0</v>
      </c>
      <c r="AH408" s="410">
        <v>0</v>
      </c>
      <c r="AI408" s="410">
        <v>0</v>
      </c>
      <c r="AJ408" s="410">
        <f t="shared" si="394"/>
        <v>56368.62</v>
      </c>
      <c r="AK408" s="410">
        <f t="shared" si="395"/>
        <v>28184.31</v>
      </c>
      <c r="AL408" s="410">
        <v>0</v>
      </c>
      <c r="AM408" s="446"/>
      <c r="AN408" s="446"/>
      <c r="AP408" s="486" t="e">
        <f t="shared" si="396"/>
        <v>#DIV/0!</v>
      </c>
      <c r="AQ408" s="486" t="e">
        <f t="shared" si="398"/>
        <v>#DIV/0!</v>
      </c>
      <c r="AR408" s="486" t="e">
        <f t="shared" si="399"/>
        <v>#DIV/0!</v>
      </c>
      <c r="AS408" s="486" t="e">
        <f t="shared" si="400"/>
        <v>#DIV/0!</v>
      </c>
      <c r="AT408" s="486" t="e">
        <f t="shared" si="401"/>
        <v>#DIV/0!</v>
      </c>
      <c r="AU408" s="486" t="e">
        <f t="shared" si="402"/>
        <v>#DIV/0!</v>
      </c>
      <c r="AV408" s="486" t="e">
        <f t="shared" si="403"/>
        <v>#DIV/0!</v>
      </c>
      <c r="AW408" s="486">
        <f t="shared" si="404"/>
        <v>3088.4700000000003</v>
      </c>
      <c r="AX408" s="486" t="e">
        <f t="shared" si="405"/>
        <v>#DIV/0!</v>
      </c>
      <c r="AY408" s="486" t="e">
        <f t="shared" si="406"/>
        <v>#DIV/0!</v>
      </c>
      <c r="AZ408" s="486" t="e">
        <f t="shared" si="407"/>
        <v>#DIV/0!</v>
      </c>
      <c r="BA408" s="486">
        <f t="shared" si="397"/>
        <v>0</v>
      </c>
      <c r="BB408" s="494">
        <v>5155.41</v>
      </c>
      <c r="BC408" s="494">
        <v>2070.12</v>
      </c>
      <c r="BD408" s="494">
        <v>848.92</v>
      </c>
      <c r="BE408" s="494">
        <v>819.73</v>
      </c>
      <c r="BF408" s="494">
        <v>611.5</v>
      </c>
      <c r="BG408" s="494">
        <v>1080.04</v>
      </c>
      <c r="BH408" s="494">
        <v>2671800.0099999998</v>
      </c>
      <c r="BI408" s="494">
        <f t="shared" si="376"/>
        <v>4422.8500000000004</v>
      </c>
      <c r="BJ408" s="494">
        <v>14289.54</v>
      </c>
      <c r="BK408" s="494">
        <v>3389.61</v>
      </c>
      <c r="BL408" s="494">
        <v>5995.76</v>
      </c>
      <c r="BM408" s="494">
        <v>548.62</v>
      </c>
      <c r="BN408" s="495" t="e">
        <f t="shared" si="408"/>
        <v>#DIV/0!</v>
      </c>
      <c r="BO408" s="495" t="e">
        <f t="shared" si="409"/>
        <v>#DIV/0!</v>
      </c>
      <c r="BP408" s="495" t="e">
        <f t="shared" si="410"/>
        <v>#DIV/0!</v>
      </c>
      <c r="BQ408" s="495" t="e">
        <f t="shared" si="411"/>
        <v>#DIV/0!</v>
      </c>
      <c r="BR408" s="495" t="e">
        <f t="shared" si="412"/>
        <v>#DIV/0!</v>
      </c>
      <c r="BS408" s="495" t="e">
        <f t="shared" si="413"/>
        <v>#DIV/0!</v>
      </c>
      <c r="BT408" s="495" t="e">
        <f t="shared" si="414"/>
        <v>#DIV/0!</v>
      </c>
      <c r="BU408" s="495" t="str">
        <f t="shared" si="415"/>
        <v xml:space="preserve"> </v>
      </c>
      <c r="BV408" s="495" t="e">
        <f t="shared" si="416"/>
        <v>#DIV/0!</v>
      </c>
      <c r="BW408" s="495" t="e">
        <f t="shared" si="417"/>
        <v>#DIV/0!</v>
      </c>
      <c r="BX408" s="495" t="e">
        <f t="shared" si="418"/>
        <v>#DIV/0!</v>
      </c>
      <c r="BY408" s="495" t="str">
        <f t="shared" si="419"/>
        <v xml:space="preserve"> </v>
      </c>
    </row>
    <row r="409" spans="1:77" s="28" customFormat="1" ht="9" customHeight="1">
      <c r="A409" s="406">
        <v>49</v>
      </c>
      <c r="B409" s="206" t="s">
        <v>671</v>
      </c>
      <c r="C409" s="376">
        <v>1855.1</v>
      </c>
      <c r="D409" s="376"/>
      <c r="E409" s="413" t="s">
        <v>1005</v>
      </c>
      <c r="F409" s="413"/>
      <c r="G409" s="413"/>
      <c r="H409" s="211">
        <v>1380276</v>
      </c>
      <c r="I409" s="407">
        <f t="shared" si="392"/>
        <v>0</v>
      </c>
      <c r="J409" s="217">
        <v>0</v>
      </c>
      <c r="K409" s="469">
        <v>0</v>
      </c>
      <c r="L409" s="217">
        <v>0</v>
      </c>
      <c r="M409" s="469">
        <v>0</v>
      </c>
      <c r="N409" s="217">
        <v>0</v>
      </c>
      <c r="O409" s="249">
        <v>0</v>
      </c>
      <c r="P409" s="407">
        <v>0</v>
      </c>
      <c r="Q409" s="249">
        <v>0</v>
      </c>
      <c r="R409" s="407">
        <v>0</v>
      </c>
      <c r="S409" s="249">
        <v>0</v>
      </c>
      <c r="T409" s="407">
        <v>0</v>
      </c>
      <c r="U409" s="130">
        <v>0</v>
      </c>
      <c r="V409" s="407">
        <v>0</v>
      </c>
      <c r="W409" s="410">
        <v>414</v>
      </c>
      <c r="X409" s="407">
        <f t="shared" si="393"/>
        <v>1318163.58</v>
      </c>
      <c r="Y409" s="410">
        <v>0</v>
      </c>
      <c r="Z409" s="410">
        <v>0</v>
      </c>
      <c r="AA409" s="410">
        <v>0</v>
      </c>
      <c r="AB409" s="410">
        <v>0</v>
      </c>
      <c r="AC409" s="410">
        <v>0</v>
      </c>
      <c r="AD409" s="410">
        <v>0</v>
      </c>
      <c r="AE409" s="410">
        <v>0</v>
      </c>
      <c r="AF409" s="410">
        <v>0</v>
      </c>
      <c r="AG409" s="410">
        <v>0</v>
      </c>
      <c r="AH409" s="410">
        <v>0</v>
      </c>
      <c r="AI409" s="410">
        <v>0</v>
      </c>
      <c r="AJ409" s="410">
        <f t="shared" si="394"/>
        <v>41408.28</v>
      </c>
      <c r="AK409" s="410">
        <f t="shared" si="395"/>
        <v>20704.14</v>
      </c>
      <c r="AL409" s="410">
        <v>0</v>
      </c>
      <c r="AM409" s="446"/>
      <c r="AN409" s="446"/>
      <c r="AP409" s="486" t="e">
        <f t="shared" si="396"/>
        <v>#DIV/0!</v>
      </c>
      <c r="AQ409" s="486" t="e">
        <f t="shared" si="398"/>
        <v>#DIV/0!</v>
      </c>
      <c r="AR409" s="486" t="e">
        <f t="shared" si="399"/>
        <v>#DIV/0!</v>
      </c>
      <c r="AS409" s="486" t="e">
        <f t="shared" si="400"/>
        <v>#DIV/0!</v>
      </c>
      <c r="AT409" s="486" t="e">
        <f t="shared" si="401"/>
        <v>#DIV/0!</v>
      </c>
      <c r="AU409" s="486" t="e">
        <f t="shared" si="402"/>
        <v>#DIV/0!</v>
      </c>
      <c r="AV409" s="486" t="e">
        <f t="shared" si="403"/>
        <v>#DIV/0!</v>
      </c>
      <c r="AW409" s="486">
        <f t="shared" si="404"/>
        <v>3183.9700000000003</v>
      </c>
      <c r="AX409" s="486" t="e">
        <f t="shared" si="405"/>
        <v>#DIV/0!</v>
      </c>
      <c r="AY409" s="486" t="e">
        <f t="shared" si="406"/>
        <v>#DIV/0!</v>
      </c>
      <c r="AZ409" s="486" t="e">
        <f t="shared" si="407"/>
        <v>#DIV/0!</v>
      </c>
      <c r="BA409" s="486">
        <f t="shared" si="397"/>
        <v>0</v>
      </c>
      <c r="BB409" s="494">
        <v>5155.41</v>
      </c>
      <c r="BC409" s="494">
        <v>2070.12</v>
      </c>
      <c r="BD409" s="494">
        <v>848.92</v>
      </c>
      <c r="BE409" s="494">
        <v>819.73</v>
      </c>
      <c r="BF409" s="494">
        <v>611.5</v>
      </c>
      <c r="BG409" s="494">
        <v>1080.04</v>
      </c>
      <c r="BH409" s="494">
        <v>2671800.0099999998</v>
      </c>
      <c r="BI409" s="494">
        <f t="shared" si="376"/>
        <v>4607.6000000000004</v>
      </c>
      <c r="BJ409" s="494">
        <v>14289.54</v>
      </c>
      <c r="BK409" s="494">
        <v>3389.61</v>
      </c>
      <c r="BL409" s="494">
        <v>5995.76</v>
      </c>
      <c r="BM409" s="494">
        <v>548.62</v>
      </c>
      <c r="BN409" s="495" t="e">
        <f t="shared" si="408"/>
        <v>#DIV/0!</v>
      </c>
      <c r="BO409" s="495" t="e">
        <f t="shared" si="409"/>
        <v>#DIV/0!</v>
      </c>
      <c r="BP409" s="495" t="e">
        <f t="shared" si="410"/>
        <v>#DIV/0!</v>
      </c>
      <c r="BQ409" s="495" t="e">
        <f t="shared" si="411"/>
        <v>#DIV/0!</v>
      </c>
      <c r="BR409" s="495" t="e">
        <f t="shared" si="412"/>
        <v>#DIV/0!</v>
      </c>
      <c r="BS409" s="495" t="e">
        <f t="shared" si="413"/>
        <v>#DIV/0!</v>
      </c>
      <c r="BT409" s="495" t="e">
        <f t="shared" si="414"/>
        <v>#DIV/0!</v>
      </c>
      <c r="BU409" s="495" t="str">
        <f t="shared" si="415"/>
        <v xml:space="preserve"> </v>
      </c>
      <c r="BV409" s="495" t="e">
        <f t="shared" si="416"/>
        <v>#DIV/0!</v>
      </c>
      <c r="BW409" s="495" t="e">
        <f t="shared" si="417"/>
        <v>#DIV/0!</v>
      </c>
      <c r="BX409" s="495" t="e">
        <f t="shared" si="418"/>
        <v>#DIV/0!</v>
      </c>
      <c r="BY409" s="495" t="str">
        <f t="shared" si="419"/>
        <v xml:space="preserve"> </v>
      </c>
    </row>
    <row r="410" spans="1:77" s="28" customFormat="1" ht="9" customHeight="1">
      <c r="A410" s="406">
        <v>50</v>
      </c>
      <c r="B410" s="206" t="s">
        <v>672</v>
      </c>
      <c r="C410" s="376">
        <v>2568.1</v>
      </c>
      <c r="D410" s="376"/>
      <c r="E410" s="413" t="s">
        <v>1006</v>
      </c>
      <c r="F410" s="413"/>
      <c r="G410" s="413"/>
      <c r="H410" s="211">
        <v>2926770</v>
      </c>
      <c r="I410" s="407">
        <f t="shared" si="392"/>
        <v>0</v>
      </c>
      <c r="J410" s="217">
        <v>0</v>
      </c>
      <c r="K410" s="469">
        <v>0</v>
      </c>
      <c r="L410" s="217">
        <v>0</v>
      </c>
      <c r="M410" s="469">
        <v>0</v>
      </c>
      <c r="N410" s="217">
        <v>0</v>
      </c>
      <c r="O410" s="249">
        <v>0</v>
      </c>
      <c r="P410" s="407">
        <v>0</v>
      </c>
      <c r="Q410" s="249">
        <v>0</v>
      </c>
      <c r="R410" s="407">
        <v>0</v>
      </c>
      <c r="S410" s="249">
        <v>0</v>
      </c>
      <c r="T410" s="407">
        <v>0</v>
      </c>
      <c r="U410" s="130">
        <v>0</v>
      </c>
      <c r="V410" s="407">
        <v>0</v>
      </c>
      <c r="W410" s="410">
        <v>905</v>
      </c>
      <c r="X410" s="407">
        <f t="shared" si="393"/>
        <v>2795065.35</v>
      </c>
      <c r="Y410" s="410">
        <v>0</v>
      </c>
      <c r="Z410" s="410">
        <v>0</v>
      </c>
      <c r="AA410" s="410">
        <v>0</v>
      </c>
      <c r="AB410" s="410">
        <v>0</v>
      </c>
      <c r="AC410" s="410">
        <v>0</v>
      </c>
      <c r="AD410" s="410">
        <v>0</v>
      </c>
      <c r="AE410" s="410">
        <v>0</v>
      </c>
      <c r="AF410" s="410">
        <v>0</v>
      </c>
      <c r="AG410" s="410">
        <v>0</v>
      </c>
      <c r="AH410" s="410">
        <v>0</v>
      </c>
      <c r="AI410" s="410">
        <v>0</v>
      </c>
      <c r="AJ410" s="410">
        <f t="shared" si="394"/>
        <v>87803.1</v>
      </c>
      <c r="AK410" s="410">
        <f t="shared" si="395"/>
        <v>43901.55</v>
      </c>
      <c r="AL410" s="410">
        <v>0</v>
      </c>
      <c r="AM410" s="446"/>
      <c r="AN410" s="446"/>
      <c r="AP410" s="486" t="e">
        <f t="shared" si="396"/>
        <v>#DIV/0!</v>
      </c>
      <c r="AQ410" s="486" t="e">
        <f t="shared" si="398"/>
        <v>#DIV/0!</v>
      </c>
      <c r="AR410" s="486" t="e">
        <f t="shared" si="399"/>
        <v>#DIV/0!</v>
      </c>
      <c r="AS410" s="486" t="e">
        <f t="shared" si="400"/>
        <v>#DIV/0!</v>
      </c>
      <c r="AT410" s="486" t="e">
        <f t="shared" si="401"/>
        <v>#DIV/0!</v>
      </c>
      <c r="AU410" s="486" t="e">
        <f t="shared" si="402"/>
        <v>#DIV/0!</v>
      </c>
      <c r="AV410" s="486" t="e">
        <f t="shared" si="403"/>
        <v>#DIV/0!</v>
      </c>
      <c r="AW410" s="486">
        <f t="shared" si="404"/>
        <v>3088.4700000000003</v>
      </c>
      <c r="AX410" s="486" t="e">
        <f t="shared" si="405"/>
        <v>#DIV/0!</v>
      </c>
      <c r="AY410" s="486" t="e">
        <f t="shared" si="406"/>
        <v>#DIV/0!</v>
      </c>
      <c r="AZ410" s="486" t="e">
        <f t="shared" si="407"/>
        <v>#DIV/0!</v>
      </c>
      <c r="BA410" s="486">
        <f t="shared" si="397"/>
        <v>0</v>
      </c>
      <c r="BB410" s="494">
        <v>5155.41</v>
      </c>
      <c r="BC410" s="494">
        <v>2070.12</v>
      </c>
      <c r="BD410" s="494">
        <v>848.92</v>
      </c>
      <c r="BE410" s="494">
        <v>819.73</v>
      </c>
      <c r="BF410" s="494">
        <v>611.5</v>
      </c>
      <c r="BG410" s="494">
        <v>1080.04</v>
      </c>
      <c r="BH410" s="494">
        <v>2671800.0099999998</v>
      </c>
      <c r="BI410" s="494">
        <f t="shared" si="376"/>
        <v>4422.8500000000004</v>
      </c>
      <c r="BJ410" s="494">
        <v>14289.54</v>
      </c>
      <c r="BK410" s="494">
        <v>3389.61</v>
      </c>
      <c r="BL410" s="494">
        <v>5995.76</v>
      </c>
      <c r="BM410" s="494">
        <v>548.62</v>
      </c>
      <c r="BN410" s="495" t="e">
        <f t="shared" si="408"/>
        <v>#DIV/0!</v>
      </c>
      <c r="BO410" s="495" t="e">
        <f t="shared" si="409"/>
        <v>#DIV/0!</v>
      </c>
      <c r="BP410" s="495" t="e">
        <f t="shared" si="410"/>
        <v>#DIV/0!</v>
      </c>
      <c r="BQ410" s="495" t="e">
        <f t="shared" si="411"/>
        <v>#DIV/0!</v>
      </c>
      <c r="BR410" s="495" t="e">
        <f t="shared" si="412"/>
        <v>#DIV/0!</v>
      </c>
      <c r="BS410" s="495" t="e">
        <f t="shared" si="413"/>
        <v>#DIV/0!</v>
      </c>
      <c r="BT410" s="495" t="e">
        <f t="shared" si="414"/>
        <v>#DIV/0!</v>
      </c>
      <c r="BU410" s="495" t="str">
        <f t="shared" si="415"/>
        <v xml:space="preserve"> </v>
      </c>
      <c r="BV410" s="495" t="e">
        <f t="shared" si="416"/>
        <v>#DIV/0!</v>
      </c>
      <c r="BW410" s="495" t="e">
        <f t="shared" si="417"/>
        <v>#DIV/0!</v>
      </c>
      <c r="BX410" s="495" t="e">
        <f t="shared" si="418"/>
        <v>#DIV/0!</v>
      </c>
      <c r="BY410" s="495" t="str">
        <f t="shared" si="419"/>
        <v xml:space="preserve"> </v>
      </c>
    </row>
    <row r="411" spans="1:77" s="28" customFormat="1" ht="9" customHeight="1">
      <c r="A411" s="406">
        <v>51</v>
      </c>
      <c r="B411" s="206" t="s">
        <v>673</v>
      </c>
      <c r="C411" s="376">
        <v>3770.3</v>
      </c>
      <c r="D411" s="376"/>
      <c r="E411" s="413" t="s">
        <v>1005</v>
      </c>
      <c r="F411" s="413"/>
      <c r="G411" s="413"/>
      <c r="H411" s="211">
        <v>1420284</v>
      </c>
      <c r="I411" s="407">
        <f t="shared" si="392"/>
        <v>0</v>
      </c>
      <c r="J411" s="217">
        <v>0</v>
      </c>
      <c r="K411" s="469">
        <v>0</v>
      </c>
      <c r="L411" s="217">
        <v>0</v>
      </c>
      <c r="M411" s="469">
        <v>0</v>
      </c>
      <c r="N411" s="217">
        <v>0</v>
      </c>
      <c r="O411" s="249">
        <v>0</v>
      </c>
      <c r="P411" s="407">
        <v>0</v>
      </c>
      <c r="Q411" s="249">
        <v>0</v>
      </c>
      <c r="R411" s="407">
        <v>0</v>
      </c>
      <c r="S411" s="249">
        <v>0</v>
      </c>
      <c r="T411" s="407">
        <v>0</v>
      </c>
      <c r="U411" s="130">
        <v>0</v>
      </c>
      <c r="V411" s="407">
        <v>0</v>
      </c>
      <c r="W411" s="410">
        <v>426</v>
      </c>
      <c r="X411" s="407">
        <f t="shared" si="393"/>
        <v>1356371.22</v>
      </c>
      <c r="Y411" s="410">
        <v>0</v>
      </c>
      <c r="Z411" s="410">
        <v>0</v>
      </c>
      <c r="AA411" s="410">
        <v>0</v>
      </c>
      <c r="AB411" s="410">
        <v>0</v>
      </c>
      <c r="AC411" s="410">
        <v>0</v>
      </c>
      <c r="AD411" s="410">
        <v>0</v>
      </c>
      <c r="AE411" s="410">
        <v>0</v>
      </c>
      <c r="AF411" s="410">
        <v>0</v>
      </c>
      <c r="AG411" s="410">
        <v>0</v>
      </c>
      <c r="AH411" s="410">
        <v>0</v>
      </c>
      <c r="AI411" s="410">
        <v>0</v>
      </c>
      <c r="AJ411" s="410">
        <f t="shared" si="394"/>
        <v>42608.52</v>
      </c>
      <c r="AK411" s="410">
        <f t="shared" si="395"/>
        <v>21304.26</v>
      </c>
      <c r="AL411" s="410">
        <v>0</v>
      </c>
      <c r="AM411" s="446"/>
      <c r="AN411" s="446"/>
      <c r="AP411" s="486" t="e">
        <f t="shared" si="396"/>
        <v>#DIV/0!</v>
      </c>
      <c r="AQ411" s="486" t="e">
        <f t="shared" si="398"/>
        <v>#DIV/0!</v>
      </c>
      <c r="AR411" s="486" t="e">
        <f t="shared" si="399"/>
        <v>#DIV/0!</v>
      </c>
      <c r="AS411" s="486" t="e">
        <f t="shared" si="400"/>
        <v>#DIV/0!</v>
      </c>
      <c r="AT411" s="486" t="e">
        <f t="shared" si="401"/>
        <v>#DIV/0!</v>
      </c>
      <c r="AU411" s="486" t="e">
        <f t="shared" si="402"/>
        <v>#DIV/0!</v>
      </c>
      <c r="AV411" s="486" t="e">
        <f t="shared" si="403"/>
        <v>#DIV/0!</v>
      </c>
      <c r="AW411" s="486">
        <f t="shared" si="404"/>
        <v>3183.97</v>
      </c>
      <c r="AX411" s="486" t="e">
        <f t="shared" si="405"/>
        <v>#DIV/0!</v>
      </c>
      <c r="AY411" s="486" t="e">
        <f t="shared" si="406"/>
        <v>#DIV/0!</v>
      </c>
      <c r="AZ411" s="486" t="e">
        <f t="shared" si="407"/>
        <v>#DIV/0!</v>
      </c>
      <c r="BA411" s="486">
        <f t="shared" si="397"/>
        <v>0</v>
      </c>
      <c r="BB411" s="494">
        <v>5155.41</v>
      </c>
      <c r="BC411" s="494">
        <v>2070.12</v>
      </c>
      <c r="BD411" s="494">
        <v>848.92</v>
      </c>
      <c r="BE411" s="494">
        <v>819.73</v>
      </c>
      <c r="BF411" s="494">
        <v>611.5</v>
      </c>
      <c r="BG411" s="494">
        <v>1080.04</v>
      </c>
      <c r="BH411" s="494">
        <v>2671800.0099999998</v>
      </c>
      <c r="BI411" s="494">
        <f t="shared" si="376"/>
        <v>4607.6000000000004</v>
      </c>
      <c r="BJ411" s="494">
        <v>14289.54</v>
      </c>
      <c r="BK411" s="494">
        <v>3389.61</v>
      </c>
      <c r="BL411" s="494">
        <v>5995.76</v>
      </c>
      <c r="BM411" s="494">
        <v>548.62</v>
      </c>
      <c r="BN411" s="495" t="e">
        <f t="shared" si="408"/>
        <v>#DIV/0!</v>
      </c>
      <c r="BO411" s="495" t="e">
        <f t="shared" si="409"/>
        <v>#DIV/0!</v>
      </c>
      <c r="BP411" s="495" t="e">
        <f t="shared" si="410"/>
        <v>#DIV/0!</v>
      </c>
      <c r="BQ411" s="495" t="e">
        <f t="shared" si="411"/>
        <v>#DIV/0!</v>
      </c>
      <c r="BR411" s="495" t="e">
        <f t="shared" si="412"/>
        <v>#DIV/0!</v>
      </c>
      <c r="BS411" s="495" t="e">
        <f t="shared" si="413"/>
        <v>#DIV/0!</v>
      </c>
      <c r="BT411" s="495" t="e">
        <f t="shared" si="414"/>
        <v>#DIV/0!</v>
      </c>
      <c r="BU411" s="495" t="str">
        <f t="shared" si="415"/>
        <v xml:space="preserve"> </v>
      </c>
      <c r="BV411" s="495" t="e">
        <f t="shared" si="416"/>
        <v>#DIV/0!</v>
      </c>
      <c r="BW411" s="495" t="e">
        <f t="shared" si="417"/>
        <v>#DIV/0!</v>
      </c>
      <c r="BX411" s="495" t="e">
        <f t="shared" si="418"/>
        <v>#DIV/0!</v>
      </c>
      <c r="BY411" s="495" t="str">
        <f t="shared" si="419"/>
        <v xml:space="preserve"> </v>
      </c>
    </row>
    <row r="412" spans="1:77" s="28" customFormat="1" ht="9" customHeight="1">
      <c r="A412" s="406">
        <v>52</v>
      </c>
      <c r="B412" s="206" t="s">
        <v>674</v>
      </c>
      <c r="C412" s="376">
        <v>2512.3000000000002</v>
      </c>
      <c r="D412" s="376"/>
      <c r="E412" s="413" t="s">
        <v>1006</v>
      </c>
      <c r="F412" s="413"/>
      <c r="G412" s="413"/>
      <c r="H412" s="211">
        <v>3020556</v>
      </c>
      <c r="I412" s="407">
        <f t="shared" si="392"/>
        <v>0</v>
      </c>
      <c r="J412" s="217">
        <v>0</v>
      </c>
      <c r="K412" s="469">
        <v>0</v>
      </c>
      <c r="L412" s="217">
        <v>0</v>
      </c>
      <c r="M412" s="469">
        <v>0</v>
      </c>
      <c r="N412" s="217">
        <v>0</v>
      </c>
      <c r="O412" s="249">
        <v>0</v>
      </c>
      <c r="P412" s="407">
        <v>0</v>
      </c>
      <c r="Q412" s="249">
        <v>0</v>
      </c>
      <c r="R412" s="407">
        <v>0</v>
      </c>
      <c r="S412" s="249">
        <v>0</v>
      </c>
      <c r="T412" s="407">
        <v>0</v>
      </c>
      <c r="U412" s="130">
        <v>0</v>
      </c>
      <c r="V412" s="407">
        <v>0</v>
      </c>
      <c r="W412" s="410">
        <v>934</v>
      </c>
      <c r="X412" s="407">
        <f t="shared" si="393"/>
        <v>2884630.98</v>
      </c>
      <c r="Y412" s="410">
        <v>0</v>
      </c>
      <c r="Z412" s="410">
        <v>0</v>
      </c>
      <c r="AA412" s="410">
        <v>0</v>
      </c>
      <c r="AB412" s="410">
        <v>0</v>
      </c>
      <c r="AC412" s="410">
        <v>0</v>
      </c>
      <c r="AD412" s="410">
        <v>0</v>
      </c>
      <c r="AE412" s="410">
        <v>0</v>
      </c>
      <c r="AF412" s="410">
        <v>0</v>
      </c>
      <c r="AG412" s="410">
        <v>0</v>
      </c>
      <c r="AH412" s="410">
        <v>0</v>
      </c>
      <c r="AI412" s="410">
        <v>0</v>
      </c>
      <c r="AJ412" s="410">
        <f t="shared" si="394"/>
        <v>90616.68</v>
      </c>
      <c r="AK412" s="410">
        <f t="shared" si="395"/>
        <v>45308.34</v>
      </c>
      <c r="AL412" s="410">
        <v>0</v>
      </c>
      <c r="AM412" s="446"/>
      <c r="AN412" s="446"/>
      <c r="AP412" s="486" t="e">
        <f t="shared" si="396"/>
        <v>#DIV/0!</v>
      </c>
      <c r="AQ412" s="486" t="e">
        <f t="shared" si="398"/>
        <v>#DIV/0!</v>
      </c>
      <c r="AR412" s="486" t="e">
        <f t="shared" si="399"/>
        <v>#DIV/0!</v>
      </c>
      <c r="AS412" s="486" t="e">
        <f t="shared" si="400"/>
        <v>#DIV/0!</v>
      </c>
      <c r="AT412" s="486" t="e">
        <f t="shared" si="401"/>
        <v>#DIV/0!</v>
      </c>
      <c r="AU412" s="486" t="e">
        <f t="shared" si="402"/>
        <v>#DIV/0!</v>
      </c>
      <c r="AV412" s="486" t="e">
        <f t="shared" si="403"/>
        <v>#DIV/0!</v>
      </c>
      <c r="AW412" s="486">
        <f t="shared" si="404"/>
        <v>3088.47</v>
      </c>
      <c r="AX412" s="486" t="e">
        <f t="shared" si="405"/>
        <v>#DIV/0!</v>
      </c>
      <c r="AY412" s="486" t="e">
        <f t="shared" si="406"/>
        <v>#DIV/0!</v>
      </c>
      <c r="AZ412" s="486" t="e">
        <f t="shared" si="407"/>
        <v>#DIV/0!</v>
      </c>
      <c r="BA412" s="486">
        <f t="shared" si="397"/>
        <v>0</v>
      </c>
      <c r="BB412" s="494">
        <v>5155.41</v>
      </c>
      <c r="BC412" s="494">
        <v>2070.12</v>
      </c>
      <c r="BD412" s="494">
        <v>848.92</v>
      </c>
      <c r="BE412" s="494">
        <v>819.73</v>
      </c>
      <c r="BF412" s="494">
        <v>611.5</v>
      </c>
      <c r="BG412" s="494">
        <v>1080.04</v>
      </c>
      <c r="BH412" s="494">
        <v>2671800.0099999998</v>
      </c>
      <c r="BI412" s="494">
        <f t="shared" si="376"/>
        <v>4422.8500000000004</v>
      </c>
      <c r="BJ412" s="494">
        <v>14289.54</v>
      </c>
      <c r="BK412" s="494">
        <v>3389.61</v>
      </c>
      <c r="BL412" s="494">
        <v>5995.76</v>
      </c>
      <c r="BM412" s="494">
        <v>548.62</v>
      </c>
      <c r="BN412" s="495" t="e">
        <f t="shared" si="408"/>
        <v>#DIV/0!</v>
      </c>
      <c r="BO412" s="495" t="e">
        <f t="shared" si="409"/>
        <v>#DIV/0!</v>
      </c>
      <c r="BP412" s="495" t="e">
        <f t="shared" si="410"/>
        <v>#DIV/0!</v>
      </c>
      <c r="BQ412" s="495" t="e">
        <f t="shared" si="411"/>
        <v>#DIV/0!</v>
      </c>
      <c r="BR412" s="495" t="e">
        <f t="shared" si="412"/>
        <v>#DIV/0!</v>
      </c>
      <c r="BS412" s="495" t="e">
        <f t="shared" si="413"/>
        <v>#DIV/0!</v>
      </c>
      <c r="BT412" s="495" t="e">
        <f t="shared" si="414"/>
        <v>#DIV/0!</v>
      </c>
      <c r="BU412" s="495" t="str">
        <f t="shared" si="415"/>
        <v xml:space="preserve"> </v>
      </c>
      <c r="BV412" s="495" t="e">
        <f t="shared" si="416"/>
        <v>#DIV/0!</v>
      </c>
      <c r="BW412" s="495" t="e">
        <f t="shared" si="417"/>
        <v>#DIV/0!</v>
      </c>
      <c r="BX412" s="495" t="e">
        <f t="shared" si="418"/>
        <v>#DIV/0!</v>
      </c>
      <c r="BY412" s="495" t="str">
        <f t="shared" si="419"/>
        <v xml:space="preserve"> </v>
      </c>
    </row>
    <row r="413" spans="1:77" s="28" customFormat="1" ht="9" customHeight="1">
      <c r="A413" s="406">
        <v>53</v>
      </c>
      <c r="B413" s="206" t="s">
        <v>675</v>
      </c>
      <c r="C413" s="376">
        <v>2126.6</v>
      </c>
      <c r="D413" s="376"/>
      <c r="E413" s="413" t="s">
        <v>1006</v>
      </c>
      <c r="F413" s="413"/>
      <c r="G413" s="413"/>
      <c r="H413" s="211">
        <v>2891196</v>
      </c>
      <c r="I413" s="407">
        <f t="shared" si="392"/>
        <v>0</v>
      </c>
      <c r="J413" s="217">
        <v>0</v>
      </c>
      <c r="K413" s="469">
        <v>0</v>
      </c>
      <c r="L413" s="217">
        <v>0</v>
      </c>
      <c r="M413" s="469">
        <v>0</v>
      </c>
      <c r="N413" s="217">
        <v>0</v>
      </c>
      <c r="O413" s="249">
        <v>0</v>
      </c>
      <c r="P413" s="407">
        <v>0</v>
      </c>
      <c r="Q413" s="249">
        <v>0</v>
      </c>
      <c r="R413" s="407">
        <v>0</v>
      </c>
      <c r="S413" s="249">
        <v>0</v>
      </c>
      <c r="T413" s="407">
        <v>0</v>
      </c>
      <c r="U413" s="130">
        <v>0</v>
      </c>
      <c r="V413" s="407">
        <v>0</v>
      </c>
      <c r="W413" s="410">
        <v>894</v>
      </c>
      <c r="X413" s="407">
        <f t="shared" si="393"/>
        <v>2761092.18</v>
      </c>
      <c r="Y413" s="410">
        <v>0</v>
      </c>
      <c r="Z413" s="410">
        <v>0</v>
      </c>
      <c r="AA413" s="410">
        <v>0</v>
      </c>
      <c r="AB413" s="410">
        <v>0</v>
      </c>
      <c r="AC413" s="410">
        <v>0</v>
      </c>
      <c r="AD413" s="410">
        <v>0</v>
      </c>
      <c r="AE413" s="410">
        <v>0</v>
      </c>
      <c r="AF413" s="410">
        <v>0</v>
      </c>
      <c r="AG413" s="410">
        <v>0</v>
      </c>
      <c r="AH413" s="410">
        <v>0</v>
      </c>
      <c r="AI413" s="410">
        <v>0</v>
      </c>
      <c r="AJ413" s="410">
        <f t="shared" si="394"/>
        <v>86735.88</v>
      </c>
      <c r="AK413" s="410">
        <f t="shared" si="395"/>
        <v>43367.94</v>
      </c>
      <c r="AL413" s="410">
        <v>0</v>
      </c>
      <c r="AM413" s="446"/>
      <c r="AN413" s="446"/>
      <c r="AP413" s="486" t="e">
        <f t="shared" si="396"/>
        <v>#DIV/0!</v>
      </c>
      <c r="AQ413" s="486" t="e">
        <f t="shared" si="398"/>
        <v>#DIV/0!</v>
      </c>
      <c r="AR413" s="486" t="e">
        <f t="shared" si="399"/>
        <v>#DIV/0!</v>
      </c>
      <c r="AS413" s="486" t="e">
        <f t="shared" si="400"/>
        <v>#DIV/0!</v>
      </c>
      <c r="AT413" s="486" t="e">
        <f t="shared" si="401"/>
        <v>#DIV/0!</v>
      </c>
      <c r="AU413" s="486" t="e">
        <f t="shared" si="402"/>
        <v>#DIV/0!</v>
      </c>
      <c r="AV413" s="486" t="e">
        <f t="shared" si="403"/>
        <v>#DIV/0!</v>
      </c>
      <c r="AW413" s="486">
        <f t="shared" si="404"/>
        <v>3088.4700000000003</v>
      </c>
      <c r="AX413" s="486" t="e">
        <f t="shared" si="405"/>
        <v>#DIV/0!</v>
      </c>
      <c r="AY413" s="486" t="e">
        <f t="shared" si="406"/>
        <v>#DIV/0!</v>
      </c>
      <c r="AZ413" s="486" t="e">
        <f t="shared" si="407"/>
        <v>#DIV/0!</v>
      </c>
      <c r="BA413" s="486">
        <f t="shared" si="397"/>
        <v>0</v>
      </c>
      <c r="BB413" s="494">
        <v>5155.41</v>
      </c>
      <c r="BC413" s="494">
        <v>2070.12</v>
      </c>
      <c r="BD413" s="494">
        <v>848.92</v>
      </c>
      <c r="BE413" s="494">
        <v>819.73</v>
      </c>
      <c r="BF413" s="494">
        <v>611.5</v>
      </c>
      <c r="BG413" s="494">
        <v>1080.04</v>
      </c>
      <c r="BH413" s="494">
        <v>2671800.0099999998</v>
      </c>
      <c r="BI413" s="494">
        <f t="shared" si="376"/>
        <v>4422.8500000000004</v>
      </c>
      <c r="BJ413" s="494">
        <v>14289.54</v>
      </c>
      <c r="BK413" s="494">
        <v>3389.61</v>
      </c>
      <c r="BL413" s="494">
        <v>5995.76</v>
      </c>
      <c r="BM413" s="494">
        <v>548.62</v>
      </c>
      <c r="BN413" s="495" t="e">
        <f t="shared" si="408"/>
        <v>#DIV/0!</v>
      </c>
      <c r="BO413" s="495" t="e">
        <f t="shared" si="409"/>
        <v>#DIV/0!</v>
      </c>
      <c r="BP413" s="495" t="e">
        <f t="shared" si="410"/>
        <v>#DIV/0!</v>
      </c>
      <c r="BQ413" s="495" t="e">
        <f t="shared" si="411"/>
        <v>#DIV/0!</v>
      </c>
      <c r="BR413" s="495" t="e">
        <f t="shared" si="412"/>
        <v>#DIV/0!</v>
      </c>
      <c r="BS413" s="495" t="e">
        <f t="shared" si="413"/>
        <v>#DIV/0!</v>
      </c>
      <c r="BT413" s="495" t="e">
        <f t="shared" si="414"/>
        <v>#DIV/0!</v>
      </c>
      <c r="BU413" s="495" t="str">
        <f t="shared" si="415"/>
        <v xml:space="preserve"> </v>
      </c>
      <c r="BV413" s="495" t="e">
        <f t="shared" si="416"/>
        <v>#DIV/0!</v>
      </c>
      <c r="BW413" s="495" t="e">
        <f t="shared" si="417"/>
        <v>#DIV/0!</v>
      </c>
      <c r="BX413" s="495" t="e">
        <f t="shared" si="418"/>
        <v>#DIV/0!</v>
      </c>
      <c r="BY413" s="495" t="str">
        <f t="shared" si="419"/>
        <v xml:space="preserve"> </v>
      </c>
    </row>
    <row r="414" spans="1:77" s="28" customFormat="1" ht="9" customHeight="1">
      <c r="A414" s="406">
        <v>54</v>
      </c>
      <c r="B414" s="206" t="s">
        <v>676</v>
      </c>
      <c r="C414" s="376">
        <v>2489.1</v>
      </c>
      <c r="D414" s="376"/>
      <c r="E414" s="413" t="s">
        <v>1006</v>
      </c>
      <c r="F414" s="413"/>
      <c r="G414" s="413"/>
      <c r="H414" s="211">
        <v>2868558</v>
      </c>
      <c r="I414" s="407">
        <f t="shared" si="392"/>
        <v>0</v>
      </c>
      <c r="J414" s="217">
        <v>0</v>
      </c>
      <c r="K414" s="469">
        <v>0</v>
      </c>
      <c r="L414" s="217">
        <v>0</v>
      </c>
      <c r="M414" s="469">
        <v>0</v>
      </c>
      <c r="N414" s="217">
        <v>0</v>
      </c>
      <c r="O414" s="249">
        <v>0</v>
      </c>
      <c r="P414" s="407">
        <v>0</v>
      </c>
      <c r="Q414" s="249">
        <v>0</v>
      </c>
      <c r="R414" s="407">
        <v>0</v>
      </c>
      <c r="S414" s="249">
        <v>0</v>
      </c>
      <c r="T414" s="407">
        <v>0</v>
      </c>
      <c r="U414" s="130">
        <v>0</v>
      </c>
      <c r="V414" s="407">
        <v>0</v>
      </c>
      <c r="W414" s="410">
        <v>887</v>
      </c>
      <c r="X414" s="407">
        <f t="shared" si="393"/>
        <v>2739472.89</v>
      </c>
      <c r="Y414" s="410">
        <v>0</v>
      </c>
      <c r="Z414" s="410">
        <v>0</v>
      </c>
      <c r="AA414" s="410">
        <v>0</v>
      </c>
      <c r="AB414" s="410">
        <v>0</v>
      </c>
      <c r="AC414" s="410">
        <v>0</v>
      </c>
      <c r="AD414" s="410">
        <v>0</v>
      </c>
      <c r="AE414" s="410">
        <v>0</v>
      </c>
      <c r="AF414" s="410">
        <v>0</v>
      </c>
      <c r="AG414" s="410">
        <v>0</v>
      </c>
      <c r="AH414" s="410">
        <v>0</v>
      </c>
      <c r="AI414" s="410">
        <v>0</v>
      </c>
      <c r="AJ414" s="410">
        <f t="shared" si="394"/>
        <v>86056.74</v>
      </c>
      <c r="AK414" s="410">
        <f t="shared" si="395"/>
        <v>43028.37</v>
      </c>
      <c r="AL414" s="410">
        <v>0</v>
      </c>
      <c r="AM414" s="446"/>
      <c r="AN414" s="446"/>
      <c r="AP414" s="486" t="e">
        <f t="shared" si="396"/>
        <v>#DIV/0!</v>
      </c>
      <c r="AQ414" s="486" t="e">
        <f t="shared" si="398"/>
        <v>#DIV/0!</v>
      </c>
      <c r="AR414" s="486" t="e">
        <f t="shared" si="399"/>
        <v>#DIV/0!</v>
      </c>
      <c r="AS414" s="486" t="e">
        <f t="shared" si="400"/>
        <v>#DIV/0!</v>
      </c>
      <c r="AT414" s="486" t="e">
        <f t="shared" si="401"/>
        <v>#DIV/0!</v>
      </c>
      <c r="AU414" s="486" t="e">
        <f t="shared" si="402"/>
        <v>#DIV/0!</v>
      </c>
      <c r="AV414" s="486" t="e">
        <f t="shared" si="403"/>
        <v>#DIV/0!</v>
      </c>
      <c r="AW414" s="486">
        <f t="shared" si="404"/>
        <v>3088.4700000000003</v>
      </c>
      <c r="AX414" s="486" t="e">
        <f t="shared" si="405"/>
        <v>#DIV/0!</v>
      </c>
      <c r="AY414" s="486" t="e">
        <f t="shared" si="406"/>
        <v>#DIV/0!</v>
      </c>
      <c r="AZ414" s="486" t="e">
        <f t="shared" si="407"/>
        <v>#DIV/0!</v>
      </c>
      <c r="BA414" s="486">
        <f t="shared" si="397"/>
        <v>0</v>
      </c>
      <c r="BB414" s="494">
        <v>5155.41</v>
      </c>
      <c r="BC414" s="494">
        <v>2070.12</v>
      </c>
      <c r="BD414" s="494">
        <v>848.92</v>
      </c>
      <c r="BE414" s="494">
        <v>819.73</v>
      </c>
      <c r="BF414" s="494">
        <v>611.5</v>
      </c>
      <c r="BG414" s="494">
        <v>1080.04</v>
      </c>
      <c r="BH414" s="494">
        <v>2671800.0099999998</v>
      </c>
      <c r="BI414" s="494">
        <f t="shared" si="376"/>
        <v>4422.8500000000004</v>
      </c>
      <c r="BJ414" s="494">
        <v>14289.54</v>
      </c>
      <c r="BK414" s="494">
        <v>3389.61</v>
      </c>
      <c r="BL414" s="494">
        <v>5995.76</v>
      </c>
      <c r="BM414" s="494">
        <v>548.62</v>
      </c>
      <c r="BN414" s="495" t="e">
        <f t="shared" si="408"/>
        <v>#DIV/0!</v>
      </c>
      <c r="BO414" s="495" t="e">
        <f t="shared" si="409"/>
        <v>#DIV/0!</v>
      </c>
      <c r="BP414" s="495" t="e">
        <f t="shared" si="410"/>
        <v>#DIV/0!</v>
      </c>
      <c r="BQ414" s="495" t="e">
        <f t="shared" si="411"/>
        <v>#DIV/0!</v>
      </c>
      <c r="BR414" s="495" t="e">
        <f t="shared" si="412"/>
        <v>#DIV/0!</v>
      </c>
      <c r="BS414" s="495" t="e">
        <f t="shared" si="413"/>
        <v>#DIV/0!</v>
      </c>
      <c r="BT414" s="495" t="e">
        <f t="shared" si="414"/>
        <v>#DIV/0!</v>
      </c>
      <c r="BU414" s="495" t="str">
        <f t="shared" si="415"/>
        <v xml:space="preserve"> </v>
      </c>
      <c r="BV414" s="495" t="e">
        <f t="shared" si="416"/>
        <v>#DIV/0!</v>
      </c>
      <c r="BW414" s="495" t="e">
        <f t="shared" si="417"/>
        <v>#DIV/0!</v>
      </c>
      <c r="BX414" s="495" t="e">
        <f t="shared" si="418"/>
        <v>#DIV/0!</v>
      </c>
      <c r="BY414" s="495" t="str">
        <f t="shared" si="419"/>
        <v xml:space="preserve"> </v>
      </c>
    </row>
    <row r="415" spans="1:77" s="28" customFormat="1" ht="9" customHeight="1">
      <c r="A415" s="406">
        <v>55</v>
      </c>
      <c r="B415" s="206" t="s">
        <v>677</v>
      </c>
      <c r="C415" s="376">
        <v>1360.9</v>
      </c>
      <c r="D415" s="376"/>
      <c r="E415" s="413" t="s">
        <v>1006</v>
      </c>
      <c r="F415" s="413"/>
      <c r="G415" s="413"/>
      <c r="H415" s="211">
        <v>1862784</v>
      </c>
      <c r="I415" s="407">
        <f t="shared" si="392"/>
        <v>0</v>
      </c>
      <c r="J415" s="217">
        <v>0</v>
      </c>
      <c r="K415" s="469">
        <v>0</v>
      </c>
      <c r="L415" s="217">
        <v>0</v>
      </c>
      <c r="M415" s="469">
        <v>0</v>
      </c>
      <c r="N415" s="217">
        <v>0</v>
      </c>
      <c r="O415" s="249">
        <v>0</v>
      </c>
      <c r="P415" s="407">
        <v>0</v>
      </c>
      <c r="Q415" s="249">
        <v>0</v>
      </c>
      <c r="R415" s="407">
        <v>0</v>
      </c>
      <c r="S415" s="249">
        <v>0</v>
      </c>
      <c r="T415" s="407">
        <v>0</v>
      </c>
      <c r="U415" s="130">
        <v>0</v>
      </c>
      <c r="V415" s="407">
        <v>0</v>
      </c>
      <c r="W415" s="410">
        <v>576</v>
      </c>
      <c r="X415" s="407">
        <f t="shared" si="393"/>
        <v>1778958.72</v>
      </c>
      <c r="Y415" s="410">
        <v>0</v>
      </c>
      <c r="Z415" s="410">
        <v>0</v>
      </c>
      <c r="AA415" s="410">
        <v>0</v>
      </c>
      <c r="AB415" s="410">
        <v>0</v>
      </c>
      <c r="AC415" s="410">
        <v>0</v>
      </c>
      <c r="AD415" s="410">
        <v>0</v>
      </c>
      <c r="AE415" s="410">
        <v>0</v>
      </c>
      <c r="AF415" s="410">
        <v>0</v>
      </c>
      <c r="AG415" s="410">
        <v>0</v>
      </c>
      <c r="AH415" s="410">
        <v>0</v>
      </c>
      <c r="AI415" s="410">
        <v>0</v>
      </c>
      <c r="AJ415" s="410">
        <f t="shared" si="394"/>
        <v>55883.519999999997</v>
      </c>
      <c r="AK415" s="410">
        <f t="shared" si="395"/>
        <v>27941.759999999998</v>
      </c>
      <c r="AL415" s="410">
        <v>0</v>
      </c>
      <c r="AM415" s="446"/>
      <c r="AN415" s="446"/>
      <c r="AP415" s="486" t="e">
        <f t="shared" si="396"/>
        <v>#DIV/0!</v>
      </c>
      <c r="AQ415" s="486" t="e">
        <f t="shared" si="398"/>
        <v>#DIV/0!</v>
      </c>
      <c r="AR415" s="486" t="e">
        <f t="shared" si="399"/>
        <v>#DIV/0!</v>
      </c>
      <c r="AS415" s="486" t="e">
        <f t="shared" si="400"/>
        <v>#DIV/0!</v>
      </c>
      <c r="AT415" s="486" t="e">
        <f t="shared" si="401"/>
        <v>#DIV/0!</v>
      </c>
      <c r="AU415" s="486" t="e">
        <f t="shared" si="402"/>
        <v>#DIV/0!</v>
      </c>
      <c r="AV415" s="486" t="e">
        <f t="shared" si="403"/>
        <v>#DIV/0!</v>
      </c>
      <c r="AW415" s="486">
        <f t="shared" si="404"/>
        <v>3088.47</v>
      </c>
      <c r="AX415" s="486" t="e">
        <f t="shared" si="405"/>
        <v>#DIV/0!</v>
      </c>
      <c r="AY415" s="486" t="e">
        <f t="shared" si="406"/>
        <v>#DIV/0!</v>
      </c>
      <c r="AZ415" s="486" t="e">
        <f t="shared" si="407"/>
        <v>#DIV/0!</v>
      </c>
      <c r="BA415" s="486">
        <f t="shared" si="397"/>
        <v>0</v>
      </c>
      <c r="BB415" s="494">
        <v>5155.41</v>
      </c>
      <c r="BC415" s="494">
        <v>2070.12</v>
      </c>
      <c r="BD415" s="494">
        <v>848.92</v>
      </c>
      <c r="BE415" s="494">
        <v>819.73</v>
      </c>
      <c r="BF415" s="494">
        <v>611.5</v>
      </c>
      <c r="BG415" s="494">
        <v>1080.04</v>
      </c>
      <c r="BH415" s="494">
        <v>2671800.0099999998</v>
      </c>
      <c r="BI415" s="494">
        <f t="shared" si="376"/>
        <v>4422.8500000000004</v>
      </c>
      <c r="BJ415" s="494">
        <v>14289.54</v>
      </c>
      <c r="BK415" s="494">
        <v>3389.61</v>
      </c>
      <c r="BL415" s="494">
        <v>5995.76</v>
      </c>
      <c r="BM415" s="494">
        <v>548.62</v>
      </c>
      <c r="BN415" s="495" t="e">
        <f t="shared" si="408"/>
        <v>#DIV/0!</v>
      </c>
      <c r="BO415" s="495" t="e">
        <f t="shared" si="409"/>
        <v>#DIV/0!</v>
      </c>
      <c r="BP415" s="495" t="e">
        <f t="shared" si="410"/>
        <v>#DIV/0!</v>
      </c>
      <c r="BQ415" s="495" t="e">
        <f t="shared" si="411"/>
        <v>#DIV/0!</v>
      </c>
      <c r="BR415" s="495" t="e">
        <f t="shared" si="412"/>
        <v>#DIV/0!</v>
      </c>
      <c r="BS415" s="495" t="e">
        <f t="shared" si="413"/>
        <v>#DIV/0!</v>
      </c>
      <c r="BT415" s="495" t="e">
        <f t="shared" si="414"/>
        <v>#DIV/0!</v>
      </c>
      <c r="BU415" s="495" t="str">
        <f t="shared" si="415"/>
        <v xml:space="preserve"> </v>
      </c>
      <c r="BV415" s="495" t="e">
        <f t="shared" si="416"/>
        <v>#DIV/0!</v>
      </c>
      <c r="BW415" s="495" t="e">
        <f t="shared" si="417"/>
        <v>#DIV/0!</v>
      </c>
      <c r="BX415" s="495" t="e">
        <f t="shared" si="418"/>
        <v>#DIV/0!</v>
      </c>
      <c r="BY415" s="495" t="str">
        <f t="shared" si="419"/>
        <v xml:space="preserve"> </v>
      </c>
    </row>
    <row r="416" spans="1:77" s="28" customFormat="1" ht="9" customHeight="1">
      <c r="A416" s="406">
        <v>56</v>
      </c>
      <c r="B416" s="206" t="s">
        <v>678</v>
      </c>
      <c r="C416" s="376">
        <v>2273.4</v>
      </c>
      <c r="D416" s="376"/>
      <c r="E416" s="413" t="s">
        <v>1005</v>
      </c>
      <c r="F416" s="413"/>
      <c r="G416" s="413"/>
      <c r="H416" s="211">
        <v>1233580</v>
      </c>
      <c r="I416" s="407">
        <f t="shared" si="392"/>
        <v>0</v>
      </c>
      <c r="J416" s="217">
        <v>0</v>
      </c>
      <c r="K416" s="469">
        <v>0</v>
      </c>
      <c r="L416" s="217">
        <v>0</v>
      </c>
      <c r="M416" s="469">
        <v>0</v>
      </c>
      <c r="N416" s="217">
        <v>0</v>
      </c>
      <c r="O416" s="249">
        <v>0</v>
      </c>
      <c r="P416" s="407">
        <v>0</v>
      </c>
      <c r="Q416" s="249">
        <v>0</v>
      </c>
      <c r="R416" s="407">
        <v>0</v>
      </c>
      <c r="S416" s="249">
        <v>0</v>
      </c>
      <c r="T416" s="407">
        <v>0</v>
      </c>
      <c r="U416" s="130">
        <v>0</v>
      </c>
      <c r="V416" s="407">
        <v>0</v>
      </c>
      <c r="W416" s="410">
        <v>370</v>
      </c>
      <c r="X416" s="407">
        <f t="shared" si="393"/>
        <v>1178068.8999999999</v>
      </c>
      <c r="Y416" s="410">
        <v>0</v>
      </c>
      <c r="Z416" s="410">
        <v>0</v>
      </c>
      <c r="AA416" s="410">
        <v>0</v>
      </c>
      <c r="AB416" s="410">
        <v>0</v>
      </c>
      <c r="AC416" s="410">
        <v>0</v>
      </c>
      <c r="AD416" s="410">
        <v>0</v>
      </c>
      <c r="AE416" s="410">
        <v>0</v>
      </c>
      <c r="AF416" s="410">
        <v>0</v>
      </c>
      <c r="AG416" s="410">
        <v>0</v>
      </c>
      <c r="AH416" s="410">
        <v>0</v>
      </c>
      <c r="AI416" s="410">
        <v>0</v>
      </c>
      <c r="AJ416" s="410">
        <f t="shared" si="394"/>
        <v>37007.4</v>
      </c>
      <c r="AK416" s="410">
        <f t="shared" si="395"/>
        <v>18503.7</v>
      </c>
      <c r="AL416" s="410">
        <v>0</v>
      </c>
      <c r="AM416" s="446"/>
      <c r="AN416" s="446"/>
      <c r="AP416" s="486" t="e">
        <f t="shared" si="396"/>
        <v>#DIV/0!</v>
      </c>
      <c r="AQ416" s="486" t="e">
        <f t="shared" si="398"/>
        <v>#DIV/0!</v>
      </c>
      <c r="AR416" s="486" t="e">
        <f t="shared" si="399"/>
        <v>#DIV/0!</v>
      </c>
      <c r="AS416" s="486" t="e">
        <f t="shared" si="400"/>
        <v>#DIV/0!</v>
      </c>
      <c r="AT416" s="486" t="e">
        <f t="shared" si="401"/>
        <v>#DIV/0!</v>
      </c>
      <c r="AU416" s="486" t="e">
        <f t="shared" si="402"/>
        <v>#DIV/0!</v>
      </c>
      <c r="AV416" s="486" t="e">
        <f t="shared" si="403"/>
        <v>#DIV/0!</v>
      </c>
      <c r="AW416" s="486">
        <f t="shared" si="404"/>
        <v>3183.97</v>
      </c>
      <c r="AX416" s="486" t="e">
        <f t="shared" si="405"/>
        <v>#DIV/0!</v>
      </c>
      <c r="AY416" s="486" t="e">
        <f t="shared" si="406"/>
        <v>#DIV/0!</v>
      </c>
      <c r="AZ416" s="486" t="e">
        <f t="shared" si="407"/>
        <v>#DIV/0!</v>
      </c>
      <c r="BA416" s="486">
        <f t="shared" si="397"/>
        <v>0</v>
      </c>
      <c r="BB416" s="494">
        <v>5155.41</v>
      </c>
      <c r="BC416" s="494">
        <v>2070.12</v>
      </c>
      <c r="BD416" s="494">
        <v>848.92</v>
      </c>
      <c r="BE416" s="494">
        <v>819.73</v>
      </c>
      <c r="BF416" s="494">
        <v>611.5</v>
      </c>
      <c r="BG416" s="494">
        <v>1080.04</v>
      </c>
      <c r="BH416" s="494">
        <v>2671800.0099999998</v>
      </c>
      <c r="BI416" s="494">
        <f t="shared" si="376"/>
        <v>4607.6000000000004</v>
      </c>
      <c r="BJ416" s="494">
        <v>14289.54</v>
      </c>
      <c r="BK416" s="494">
        <v>3389.61</v>
      </c>
      <c r="BL416" s="494">
        <v>5995.76</v>
      </c>
      <c r="BM416" s="494">
        <v>548.62</v>
      </c>
      <c r="BN416" s="495" t="e">
        <f t="shared" si="408"/>
        <v>#DIV/0!</v>
      </c>
      <c r="BO416" s="495" t="e">
        <f t="shared" si="409"/>
        <v>#DIV/0!</v>
      </c>
      <c r="BP416" s="495" t="e">
        <f t="shared" si="410"/>
        <v>#DIV/0!</v>
      </c>
      <c r="BQ416" s="495" t="e">
        <f t="shared" si="411"/>
        <v>#DIV/0!</v>
      </c>
      <c r="BR416" s="495" t="e">
        <f t="shared" si="412"/>
        <v>#DIV/0!</v>
      </c>
      <c r="BS416" s="495" t="e">
        <f t="shared" si="413"/>
        <v>#DIV/0!</v>
      </c>
      <c r="BT416" s="495" t="e">
        <f t="shared" si="414"/>
        <v>#DIV/0!</v>
      </c>
      <c r="BU416" s="495" t="str">
        <f t="shared" si="415"/>
        <v xml:space="preserve"> </v>
      </c>
      <c r="BV416" s="495" t="e">
        <f t="shared" si="416"/>
        <v>#DIV/0!</v>
      </c>
      <c r="BW416" s="495" t="e">
        <f t="shared" si="417"/>
        <v>#DIV/0!</v>
      </c>
      <c r="BX416" s="495" t="e">
        <f t="shared" si="418"/>
        <v>#DIV/0!</v>
      </c>
      <c r="BY416" s="495" t="str">
        <f t="shared" si="419"/>
        <v xml:space="preserve"> </v>
      </c>
    </row>
    <row r="417" spans="1:77" s="28" customFormat="1" ht="9" customHeight="1">
      <c r="A417" s="406">
        <v>57</v>
      </c>
      <c r="B417" s="206" t="s">
        <v>679</v>
      </c>
      <c r="C417" s="376">
        <v>3184.65</v>
      </c>
      <c r="D417" s="376"/>
      <c r="E417" s="413" t="s">
        <v>1006</v>
      </c>
      <c r="F417" s="413"/>
      <c r="G417" s="413"/>
      <c r="H417" s="211">
        <v>3124044</v>
      </c>
      <c r="I417" s="407">
        <f t="shared" si="392"/>
        <v>0</v>
      </c>
      <c r="J417" s="217">
        <v>0</v>
      </c>
      <c r="K417" s="469">
        <v>0</v>
      </c>
      <c r="L417" s="217">
        <v>0</v>
      </c>
      <c r="M417" s="469">
        <v>0</v>
      </c>
      <c r="N417" s="217">
        <v>0</v>
      </c>
      <c r="O417" s="249">
        <v>0</v>
      </c>
      <c r="P417" s="407">
        <v>0</v>
      </c>
      <c r="Q417" s="249">
        <v>0</v>
      </c>
      <c r="R417" s="407">
        <v>0</v>
      </c>
      <c r="S417" s="249">
        <v>0</v>
      </c>
      <c r="T417" s="407">
        <v>0</v>
      </c>
      <c r="U417" s="130">
        <v>0</v>
      </c>
      <c r="V417" s="407">
        <v>0</v>
      </c>
      <c r="W417" s="410">
        <v>966</v>
      </c>
      <c r="X417" s="407">
        <f t="shared" si="393"/>
        <v>2983462.02</v>
      </c>
      <c r="Y417" s="410">
        <v>0</v>
      </c>
      <c r="Z417" s="410">
        <v>0</v>
      </c>
      <c r="AA417" s="410">
        <v>0</v>
      </c>
      <c r="AB417" s="410">
        <v>0</v>
      </c>
      <c r="AC417" s="410">
        <v>0</v>
      </c>
      <c r="AD417" s="410">
        <v>0</v>
      </c>
      <c r="AE417" s="410">
        <v>0</v>
      </c>
      <c r="AF417" s="410">
        <v>0</v>
      </c>
      <c r="AG417" s="410">
        <v>0</v>
      </c>
      <c r="AH417" s="410">
        <v>0</v>
      </c>
      <c r="AI417" s="410">
        <v>0</v>
      </c>
      <c r="AJ417" s="410">
        <f t="shared" si="394"/>
        <v>93721.32</v>
      </c>
      <c r="AK417" s="410">
        <f t="shared" si="395"/>
        <v>46860.66</v>
      </c>
      <c r="AL417" s="410">
        <v>0</v>
      </c>
      <c r="AM417" s="446"/>
      <c r="AN417" s="446"/>
      <c r="AP417" s="486" t="e">
        <f t="shared" si="396"/>
        <v>#DIV/0!</v>
      </c>
      <c r="AQ417" s="486" t="e">
        <f t="shared" si="398"/>
        <v>#DIV/0!</v>
      </c>
      <c r="AR417" s="486" t="e">
        <f t="shared" si="399"/>
        <v>#DIV/0!</v>
      </c>
      <c r="AS417" s="486" t="e">
        <f t="shared" si="400"/>
        <v>#DIV/0!</v>
      </c>
      <c r="AT417" s="486" t="e">
        <f t="shared" si="401"/>
        <v>#DIV/0!</v>
      </c>
      <c r="AU417" s="486" t="e">
        <f t="shared" si="402"/>
        <v>#DIV/0!</v>
      </c>
      <c r="AV417" s="486" t="e">
        <f t="shared" si="403"/>
        <v>#DIV/0!</v>
      </c>
      <c r="AW417" s="486">
        <f t="shared" si="404"/>
        <v>3088.47</v>
      </c>
      <c r="AX417" s="486" t="e">
        <f t="shared" si="405"/>
        <v>#DIV/0!</v>
      </c>
      <c r="AY417" s="486" t="e">
        <f t="shared" si="406"/>
        <v>#DIV/0!</v>
      </c>
      <c r="AZ417" s="486" t="e">
        <f t="shared" si="407"/>
        <v>#DIV/0!</v>
      </c>
      <c r="BA417" s="486">
        <f t="shared" si="397"/>
        <v>0</v>
      </c>
      <c r="BB417" s="494">
        <v>5155.41</v>
      </c>
      <c r="BC417" s="494">
        <v>2070.12</v>
      </c>
      <c r="BD417" s="494">
        <v>848.92</v>
      </c>
      <c r="BE417" s="494">
        <v>819.73</v>
      </c>
      <c r="BF417" s="494">
        <v>611.5</v>
      </c>
      <c r="BG417" s="494">
        <v>1080.04</v>
      </c>
      <c r="BH417" s="494">
        <v>2671800.0099999998</v>
      </c>
      <c r="BI417" s="494">
        <f t="shared" si="376"/>
        <v>4422.8500000000004</v>
      </c>
      <c r="BJ417" s="494">
        <v>14289.54</v>
      </c>
      <c r="BK417" s="494">
        <v>3389.61</v>
      </c>
      <c r="BL417" s="494">
        <v>5995.76</v>
      </c>
      <c r="BM417" s="494">
        <v>548.62</v>
      </c>
      <c r="BN417" s="495" t="e">
        <f t="shared" si="408"/>
        <v>#DIV/0!</v>
      </c>
      <c r="BO417" s="495" t="e">
        <f t="shared" si="409"/>
        <v>#DIV/0!</v>
      </c>
      <c r="BP417" s="495" t="e">
        <f t="shared" si="410"/>
        <v>#DIV/0!</v>
      </c>
      <c r="BQ417" s="495" t="e">
        <f t="shared" si="411"/>
        <v>#DIV/0!</v>
      </c>
      <c r="BR417" s="495" t="e">
        <f t="shared" si="412"/>
        <v>#DIV/0!</v>
      </c>
      <c r="BS417" s="495" t="e">
        <f t="shared" si="413"/>
        <v>#DIV/0!</v>
      </c>
      <c r="BT417" s="495" t="e">
        <f t="shared" si="414"/>
        <v>#DIV/0!</v>
      </c>
      <c r="BU417" s="495" t="str">
        <f t="shared" si="415"/>
        <v xml:space="preserve"> </v>
      </c>
      <c r="BV417" s="495" t="e">
        <f t="shared" si="416"/>
        <v>#DIV/0!</v>
      </c>
      <c r="BW417" s="495" t="e">
        <f t="shared" si="417"/>
        <v>#DIV/0!</v>
      </c>
      <c r="BX417" s="495" t="e">
        <f t="shared" si="418"/>
        <v>#DIV/0!</v>
      </c>
      <c r="BY417" s="495" t="str">
        <f t="shared" si="419"/>
        <v xml:space="preserve"> </v>
      </c>
    </row>
    <row r="418" spans="1:77" s="28" customFormat="1" ht="9" customHeight="1">
      <c r="A418" s="406">
        <v>58</v>
      </c>
      <c r="B418" s="206" t="s">
        <v>680</v>
      </c>
      <c r="C418" s="376">
        <v>3514.8</v>
      </c>
      <c r="D418" s="376"/>
      <c r="E418" s="413" t="s">
        <v>1005</v>
      </c>
      <c r="F418" s="413"/>
      <c r="G418" s="413"/>
      <c r="H418" s="211">
        <v>2920584</v>
      </c>
      <c r="I418" s="407">
        <f t="shared" si="392"/>
        <v>0</v>
      </c>
      <c r="J418" s="217">
        <v>0</v>
      </c>
      <c r="K418" s="469">
        <v>0</v>
      </c>
      <c r="L418" s="217">
        <v>0</v>
      </c>
      <c r="M418" s="469">
        <v>0</v>
      </c>
      <c r="N418" s="217">
        <v>0</v>
      </c>
      <c r="O418" s="249">
        <v>0</v>
      </c>
      <c r="P418" s="407">
        <v>0</v>
      </c>
      <c r="Q418" s="249">
        <v>0</v>
      </c>
      <c r="R418" s="407">
        <v>0</v>
      </c>
      <c r="S418" s="249">
        <v>0</v>
      </c>
      <c r="T418" s="407">
        <v>0</v>
      </c>
      <c r="U418" s="130">
        <v>0</v>
      </c>
      <c r="V418" s="407">
        <v>0</v>
      </c>
      <c r="W418" s="410">
        <v>876</v>
      </c>
      <c r="X418" s="407">
        <f t="shared" si="393"/>
        <v>2789157.72</v>
      </c>
      <c r="Y418" s="410">
        <v>0</v>
      </c>
      <c r="Z418" s="410">
        <v>0</v>
      </c>
      <c r="AA418" s="410">
        <v>0</v>
      </c>
      <c r="AB418" s="410">
        <v>0</v>
      </c>
      <c r="AC418" s="410">
        <v>0</v>
      </c>
      <c r="AD418" s="410">
        <v>0</v>
      </c>
      <c r="AE418" s="410">
        <v>0</v>
      </c>
      <c r="AF418" s="410">
        <v>0</v>
      </c>
      <c r="AG418" s="410">
        <v>0</v>
      </c>
      <c r="AH418" s="410">
        <v>0</v>
      </c>
      <c r="AI418" s="410">
        <v>0</v>
      </c>
      <c r="AJ418" s="410">
        <f t="shared" si="394"/>
        <v>87617.52</v>
      </c>
      <c r="AK418" s="410">
        <f t="shared" si="395"/>
        <v>43808.76</v>
      </c>
      <c r="AL418" s="410">
        <v>0</v>
      </c>
      <c r="AM418" s="446"/>
      <c r="AN418" s="446"/>
      <c r="AP418" s="486" t="e">
        <f t="shared" si="396"/>
        <v>#DIV/0!</v>
      </c>
      <c r="AQ418" s="486" t="e">
        <f t="shared" si="398"/>
        <v>#DIV/0!</v>
      </c>
      <c r="AR418" s="486" t="e">
        <f t="shared" si="399"/>
        <v>#DIV/0!</v>
      </c>
      <c r="AS418" s="486" t="e">
        <f t="shared" si="400"/>
        <v>#DIV/0!</v>
      </c>
      <c r="AT418" s="486" t="e">
        <f t="shared" si="401"/>
        <v>#DIV/0!</v>
      </c>
      <c r="AU418" s="486" t="e">
        <f t="shared" si="402"/>
        <v>#DIV/0!</v>
      </c>
      <c r="AV418" s="486" t="e">
        <f t="shared" si="403"/>
        <v>#DIV/0!</v>
      </c>
      <c r="AW418" s="486">
        <f t="shared" si="404"/>
        <v>3183.9700000000003</v>
      </c>
      <c r="AX418" s="486" t="e">
        <f t="shared" si="405"/>
        <v>#DIV/0!</v>
      </c>
      <c r="AY418" s="486" t="e">
        <f t="shared" si="406"/>
        <v>#DIV/0!</v>
      </c>
      <c r="AZ418" s="486" t="e">
        <f t="shared" si="407"/>
        <v>#DIV/0!</v>
      </c>
      <c r="BA418" s="486">
        <f t="shared" si="397"/>
        <v>0</v>
      </c>
      <c r="BB418" s="494">
        <v>5155.41</v>
      </c>
      <c r="BC418" s="494">
        <v>2070.12</v>
      </c>
      <c r="BD418" s="494">
        <v>848.92</v>
      </c>
      <c r="BE418" s="494">
        <v>819.73</v>
      </c>
      <c r="BF418" s="494">
        <v>611.5</v>
      </c>
      <c r="BG418" s="494">
        <v>1080.04</v>
      </c>
      <c r="BH418" s="494">
        <v>2671800.0099999998</v>
      </c>
      <c r="BI418" s="494">
        <f t="shared" si="376"/>
        <v>4607.6000000000004</v>
      </c>
      <c r="BJ418" s="494">
        <v>14289.54</v>
      </c>
      <c r="BK418" s="494">
        <v>3389.61</v>
      </c>
      <c r="BL418" s="494">
        <v>5995.76</v>
      </c>
      <c r="BM418" s="494">
        <v>548.62</v>
      </c>
      <c r="BN418" s="495" t="e">
        <f t="shared" si="408"/>
        <v>#DIV/0!</v>
      </c>
      <c r="BO418" s="495" t="e">
        <f t="shared" si="409"/>
        <v>#DIV/0!</v>
      </c>
      <c r="BP418" s="495" t="e">
        <f t="shared" si="410"/>
        <v>#DIV/0!</v>
      </c>
      <c r="BQ418" s="495" t="e">
        <f t="shared" si="411"/>
        <v>#DIV/0!</v>
      </c>
      <c r="BR418" s="495" t="e">
        <f t="shared" si="412"/>
        <v>#DIV/0!</v>
      </c>
      <c r="BS418" s="495" t="e">
        <f t="shared" si="413"/>
        <v>#DIV/0!</v>
      </c>
      <c r="BT418" s="495" t="e">
        <f t="shared" si="414"/>
        <v>#DIV/0!</v>
      </c>
      <c r="BU418" s="495" t="str">
        <f t="shared" si="415"/>
        <v xml:space="preserve"> </v>
      </c>
      <c r="BV418" s="495" t="e">
        <f t="shared" si="416"/>
        <v>#DIV/0!</v>
      </c>
      <c r="BW418" s="495" t="e">
        <f t="shared" si="417"/>
        <v>#DIV/0!</v>
      </c>
      <c r="BX418" s="495" t="e">
        <f t="shared" si="418"/>
        <v>#DIV/0!</v>
      </c>
      <c r="BY418" s="495" t="str">
        <f t="shared" si="419"/>
        <v xml:space="preserve"> </v>
      </c>
    </row>
    <row r="419" spans="1:77" s="28" customFormat="1" ht="9" customHeight="1">
      <c r="A419" s="406">
        <v>59</v>
      </c>
      <c r="B419" s="206" t="s">
        <v>681</v>
      </c>
      <c r="C419" s="376">
        <v>3479</v>
      </c>
      <c r="D419" s="376"/>
      <c r="E419" s="413" t="s">
        <v>1005</v>
      </c>
      <c r="F419" s="413"/>
      <c r="G419" s="413"/>
      <c r="H419" s="211">
        <v>3614056</v>
      </c>
      <c r="I419" s="407">
        <f t="shared" si="392"/>
        <v>0</v>
      </c>
      <c r="J419" s="217">
        <v>0</v>
      </c>
      <c r="K419" s="469">
        <v>0</v>
      </c>
      <c r="L419" s="217">
        <v>0</v>
      </c>
      <c r="M419" s="469">
        <v>0</v>
      </c>
      <c r="N419" s="217">
        <v>0</v>
      </c>
      <c r="O419" s="249">
        <v>0</v>
      </c>
      <c r="P419" s="407">
        <v>0</v>
      </c>
      <c r="Q419" s="249">
        <v>0</v>
      </c>
      <c r="R419" s="407">
        <v>0</v>
      </c>
      <c r="S419" s="249">
        <v>0</v>
      </c>
      <c r="T419" s="407">
        <v>0</v>
      </c>
      <c r="U419" s="130">
        <v>0</v>
      </c>
      <c r="V419" s="407">
        <v>0</v>
      </c>
      <c r="W419" s="410">
        <v>1084</v>
      </c>
      <c r="X419" s="407">
        <f t="shared" si="393"/>
        <v>3451423.48</v>
      </c>
      <c r="Y419" s="410">
        <v>0</v>
      </c>
      <c r="Z419" s="410">
        <v>0</v>
      </c>
      <c r="AA419" s="410">
        <v>0</v>
      </c>
      <c r="AB419" s="410">
        <v>0</v>
      </c>
      <c r="AC419" s="410">
        <v>0</v>
      </c>
      <c r="AD419" s="410">
        <v>0</v>
      </c>
      <c r="AE419" s="410">
        <v>0</v>
      </c>
      <c r="AF419" s="410">
        <v>0</v>
      </c>
      <c r="AG419" s="410">
        <v>0</v>
      </c>
      <c r="AH419" s="410">
        <v>0</v>
      </c>
      <c r="AI419" s="410">
        <v>0</v>
      </c>
      <c r="AJ419" s="410">
        <f t="shared" si="394"/>
        <v>108421.68</v>
      </c>
      <c r="AK419" s="410">
        <f t="shared" si="395"/>
        <v>54210.84</v>
      </c>
      <c r="AL419" s="410">
        <v>0</v>
      </c>
      <c r="AM419" s="446"/>
      <c r="AN419" s="446"/>
      <c r="AP419" s="486" t="e">
        <f t="shared" si="396"/>
        <v>#DIV/0!</v>
      </c>
      <c r="AQ419" s="486" t="e">
        <f t="shared" si="398"/>
        <v>#DIV/0!</v>
      </c>
      <c r="AR419" s="486" t="e">
        <f t="shared" si="399"/>
        <v>#DIV/0!</v>
      </c>
      <c r="AS419" s="486" t="e">
        <f t="shared" si="400"/>
        <v>#DIV/0!</v>
      </c>
      <c r="AT419" s="486" t="e">
        <f t="shared" si="401"/>
        <v>#DIV/0!</v>
      </c>
      <c r="AU419" s="486" t="e">
        <f t="shared" si="402"/>
        <v>#DIV/0!</v>
      </c>
      <c r="AV419" s="486" t="e">
        <f t="shared" si="403"/>
        <v>#DIV/0!</v>
      </c>
      <c r="AW419" s="486">
        <f t="shared" si="404"/>
        <v>3183.97</v>
      </c>
      <c r="AX419" s="486" t="e">
        <f t="shared" si="405"/>
        <v>#DIV/0!</v>
      </c>
      <c r="AY419" s="486" t="e">
        <f t="shared" si="406"/>
        <v>#DIV/0!</v>
      </c>
      <c r="AZ419" s="486" t="e">
        <f t="shared" si="407"/>
        <v>#DIV/0!</v>
      </c>
      <c r="BA419" s="486">
        <f t="shared" si="397"/>
        <v>0</v>
      </c>
      <c r="BB419" s="494">
        <v>5155.41</v>
      </c>
      <c r="BC419" s="494">
        <v>2070.12</v>
      </c>
      <c r="BD419" s="494">
        <v>848.92</v>
      </c>
      <c r="BE419" s="494">
        <v>819.73</v>
      </c>
      <c r="BF419" s="494">
        <v>611.5</v>
      </c>
      <c r="BG419" s="494">
        <v>1080.04</v>
      </c>
      <c r="BH419" s="494">
        <v>2671800.0099999998</v>
      </c>
      <c r="BI419" s="494">
        <f t="shared" ref="BI419:BI482" si="420">IF(E419="ПК",4607.6,4422.85)</f>
        <v>4607.6000000000004</v>
      </c>
      <c r="BJ419" s="494">
        <v>14289.54</v>
      </c>
      <c r="BK419" s="494">
        <v>3389.61</v>
      </c>
      <c r="BL419" s="494">
        <v>5995.76</v>
      </c>
      <c r="BM419" s="494">
        <v>548.62</v>
      </c>
      <c r="BN419" s="495" t="e">
        <f t="shared" si="408"/>
        <v>#DIV/0!</v>
      </c>
      <c r="BO419" s="495" t="e">
        <f t="shared" si="409"/>
        <v>#DIV/0!</v>
      </c>
      <c r="BP419" s="495" t="e">
        <f t="shared" si="410"/>
        <v>#DIV/0!</v>
      </c>
      <c r="BQ419" s="495" t="e">
        <f t="shared" si="411"/>
        <v>#DIV/0!</v>
      </c>
      <c r="BR419" s="495" t="e">
        <f t="shared" si="412"/>
        <v>#DIV/0!</v>
      </c>
      <c r="BS419" s="495" t="e">
        <f t="shared" si="413"/>
        <v>#DIV/0!</v>
      </c>
      <c r="BT419" s="495" t="e">
        <f t="shared" si="414"/>
        <v>#DIV/0!</v>
      </c>
      <c r="BU419" s="495" t="str">
        <f t="shared" si="415"/>
        <v xml:space="preserve"> </v>
      </c>
      <c r="BV419" s="495" t="e">
        <f t="shared" si="416"/>
        <v>#DIV/0!</v>
      </c>
      <c r="BW419" s="495" t="e">
        <f t="shared" si="417"/>
        <v>#DIV/0!</v>
      </c>
      <c r="BX419" s="495" t="e">
        <f t="shared" si="418"/>
        <v>#DIV/0!</v>
      </c>
      <c r="BY419" s="495" t="str">
        <f t="shared" si="419"/>
        <v xml:space="preserve"> </v>
      </c>
    </row>
    <row r="420" spans="1:77" s="28" customFormat="1" ht="9" customHeight="1">
      <c r="A420" s="406">
        <v>60</v>
      </c>
      <c r="B420" s="206" t="s">
        <v>682</v>
      </c>
      <c r="C420" s="376">
        <v>3489</v>
      </c>
      <c r="D420" s="376"/>
      <c r="E420" s="413" t="s">
        <v>1005</v>
      </c>
      <c r="F420" s="413"/>
      <c r="G420" s="413"/>
      <c r="H420" s="211">
        <v>3600720</v>
      </c>
      <c r="I420" s="407">
        <f t="shared" si="392"/>
        <v>0</v>
      </c>
      <c r="J420" s="217">
        <v>0</v>
      </c>
      <c r="K420" s="469">
        <v>0</v>
      </c>
      <c r="L420" s="217">
        <v>0</v>
      </c>
      <c r="M420" s="469">
        <v>0</v>
      </c>
      <c r="N420" s="217">
        <v>0</v>
      </c>
      <c r="O420" s="249">
        <v>0</v>
      </c>
      <c r="P420" s="407">
        <v>0</v>
      </c>
      <c r="Q420" s="249">
        <v>0</v>
      </c>
      <c r="R420" s="407">
        <v>0</v>
      </c>
      <c r="S420" s="249">
        <v>0</v>
      </c>
      <c r="T420" s="407">
        <v>0</v>
      </c>
      <c r="U420" s="130">
        <v>0</v>
      </c>
      <c r="V420" s="407">
        <v>0</v>
      </c>
      <c r="W420" s="410">
        <v>1080</v>
      </c>
      <c r="X420" s="407">
        <f t="shared" si="393"/>
        <v>3438687.6</v>
      </c>
      <c r="Y420" s="410">
        <v>0</v>
      </c>
      <c r="Z420" s="410">
        <v>0</v>
      </c>
      <c r="AA420" s="410">
        <v>0</v>
      </c>
      <c r="AB420" s="410">
        <v>0</v>
      </c>
      <c r="AC420" s="410">
        <v>0</v>
      </c>
      <c r="AD420" s="410">
        <v>0</v>
      </c>
      <c r="AE420" s="410">
        <v>0</v>
      </c>
      <c r="AF420" s="410">
        <v>0</v>
      </c>
      <c r="AG420" s="410">
        <v>0</v>
      </c>
      <c r="AH420" s="410">
        <v>0</v>
      </c>
      <c r="AI420" s="410">
        <v>0</v>
      </c>
      <c r="AJ420" s="410">
        <f t="shared" si="394"/>
        <v>108021.6</v>
      </c>
      <c r="AK420" s="410">
        <f t="shared" si="395"/>
        <v>54010.8</v>
      </c>
      <c r="AL420" s="410">
        <v>0</v>
      </c>
      <c r="AM420" s="446"/>
      <c r="AN420" s="446"/>
      <c r="AP420" s="486" t="e">
        <f t="shared" si="396"/>
        <v>#DIV/0!</v>
      </c>
      <c r="AQ420" s="486" t="e">
        <f t="shared" si="398"/>
        <v>#DIV/0!</v>
      </c>
      <c r="AR420" s="486" t="e">
        <f t="shared" si="399"/>
        <v>#DIV/0!</v>
      </c>
      <c r="AS420" s="486" t="e">
        <f t="shared" si="400"/>
        <v>#DIV/0!</v>
      </c>
      <c r="AT420" s="486" t="e">
        <f t="shared" si="401"/>
        <v>#DIV/0!</v>
      </c>
      <c r="AU420" s="486" t="e">
        <f t="shared" si="402"/>
        <v>#DIV/0!</v>
      </c>
      <c r="AV420" s="486" t="e">
        <f t="shared" si="403"/>
        <v>#DIV/0!</v>
      </c>
      <c r="AW420" s="486">
        <f t="shared" si="404"/>
        <v>3183.9700000000003</v>
      </c>
      <c r="AX420" s="486" t="e">
        <f t="shared" si="405"/>
        <v>#DIV/0!</v>
      </c>
      <c r="AY420" s="486" t="e">
        <f t="shared" si="406"/>
        <v>#DIV/0!</v>
      </c>
      <c r="AZ420" s="486" t="e">
        <f t="shared" si="407"/>
        <v>#DIV/0!</v>
      </c>
      <c r="BA420" s="486">
        <f t="shared" si="397"/>
        <v>0</v>
      </c>
      <c r="BB420" s="494">
        <v>5155.41</v>
      </c>
      <c r="BC420" s="494">
        <v>2070.12</v>
      </c>
      <c r="BD420" s="494">
        <v>848.92</v>
      </c>
      <c r="BE420" s="494">
        <v>819.73</v>
      </c>
      <c r="BF420" s="494">
        <v>611.5</v>
      </c>
      <c r="BG420" s="494">
        <v>1080.04</v>
      </c>
      <c r="BH420" s="494">
        <v>2671800.0099999998</v>
      </c>
      <c r="BI420" s="494">
        <f t="shared" si="420"/>
        <v>4607.6000000000004</v>
      </c>
      <c r="BJ420" s="494">
        <v>14289.54</v>
      </c>
      <c r="BK420" s="494">
        <v>3389.61</v>
      </c>
      <c r="BL420" s="494">
        <v>5995.76</v>
      </c>
      <c r="BM420" s="494">
        <v>548.62</v>
      </c>
      <c r="BN420" s="495" t="e">
        <f t="shared" si="408"/>
        <v>#DIV/0!</v>
      </c>
      <c r="BO420" s="495" t="e">
        <f t="shared" si="409"/>
        <v>#DIV/0!</v>
      </c>
      <c r="BP420" s="495" t="e">
        <f t="shared" si="410"/>
        <v>#DIV/0!</v>
      </c>
      <c r="BQ420" s="495" t="e">
        <f t="shared" si="411"/>
        <v>#DIV/0!</v>
      </c>
      <c r="BR420" s="495" t="e">
        <f t="shared" si="412"/>
        <v>#DIV/0!</v>
      </c>
      <c r="BS420" s="495" t="e">
        <f t="shared" si="413"/>
        <v>#DIV/0!</v>
      </c>
      <c r="BT420" s="495" t="e">
        <f t="shared" si="414"/>
        <v>#DIV/0!</v>
      </c>
      <c r="BU420" s="495" t="str">
        <f t="shared" si="415"/>
        <v xml:space="preserve"> </v>
      </c>
      <c r="BV420" s="495" t="e">
        <f t="shared" si="416"/>
        <v>#DIV/0!</v>
      </c>
      <c r="BW420" s="495" t="e">
        <f t="shared" si="417"/>
        <v>#DIV/0!</v>
      </c>
      <c r="BX420" s="495" t="e">
        <f t="shared" si="418"/>
        <v>#DIV/0!</v>
      </c>
      <c r="BY420" s="495" t="str">
        <f t="shared" si="419"/>
        <v xml:space="preserve"> </v>
      </c>
    </row>
    <row r="421" spans="1:77" s="28" customFormat="1" ht="9" customHeight="1">
      <c r="A421" s="406">
        <v>61</v>
      </c>
      <c r="B421" s="206" t="s">
        <v>683</v>
      </c>
      <c r="C421" s="376">
        <v>3498.1</v>
      </c>
      <c r="D421" s="376"/>
      <c r="E421" s="413" t="s">
        <v>1005</v>
      </c>
      <c r="F421" s="413"/>
      <c r="G421" s="413"/>
      <c r="H421" s="211">
        <v>3620724</v>
      </c>
      <c r="I421" s="407">
        <f t="shared" si="392"/>
        <v>0</v>
      </c>
      <c r="J421" s="217">
        <v>0</v>
      </c>
      <c r="K421" s="469">
        <v>0</v>
      </c>
      <c r="L421" s="217">
        <v>0</v>
      </c>
      <c r="M421" s="469">
        <v>0</v>
      </c>
      <c r="N421" s="217">
        <v>0</v>
      </c>
      <c r="O421" s="249">
        <v>0</v>
      </c>
      <c r="P421" s="407">
        <v>0</v>
      </c>
      <c r="Q421" s="249">
        <v>0</v>
      </c>
      <c r="R421" s="407">
        <v>0</v>
      </c>
      <c r="S421" s="249">
        <v>0</v>
      </c>
      <c r="T421" s="407">
        <v>0</v>
      </c>
      <c r="U421" s="130">
        <v>0</v>
      </c>
      <c r="V421" s="407">
        <v>0</v>
      </c>
      <c r="W421" s="410">
        <v>1086</v>
      </c>
      <c r="X421" s="407">
        <f t="shared" si="393"/>
        <v>3457791.42</v>
      </c>
      <c r="Y421" s="410">
        <v>0</v>
      </c>
      <c r="Z421" s="410">
        <v>0</v>
      </c>
      <c r="AA421" s="410">
        <v>0</v>
      </c>
      <c r="AB421" s="410">
        <v>0</v>
      </c>
      <c r="AC421" s="410">
        <v>0</v>
      </c>
      <c r="AD421" s="410">
        <v>0</v>
      </c>
      <c r="AE421" s="410">
        <v>0</v>
      </c>
      <c r="AF421" s="410">
        <v>0</v>
      </c>
      <c r="AG421" s="410">
        <v>0</v>
      </c>
      <c r="AH421" s="410">
        <v>0</v>
      </c>
      <c r="AI421" s="410">
        <v>0</v>
      </c>
      <c r="AJ421" s="410">
        <f t="shared" si="394"/>
        <v>108621.72</v>
      </c>
      <c r="AK421" s="410">
        <f t="shared" si="395"/>
        <v>54310.86</v>
      </c>
      <c r="AL421" s="410">
        <v>0</v>
      </c>
      <c r="AM421" s="446"/>
      <c r="AN421" s="446"/>
      <c r="AP421" s="486" t="e">
        <f t="shared" si="396"/>
        <v>#DIV/0!</v>
      </c>
      <c r="AQ421" s="486" t="e">
        <f t="shared" si="398"/>
        <v>#DIV/0!</v>
      </c>
      <c r="AR421" s="486" t="e">
        <f t="shared" si="399"/>
        <v>#DIV/0!</v>
      </c>
      <c r="AS421" s="486" t="e">
        <f t="shared" si="400"/>
        <v>#DIV/0!</v>
      </c>
      <c r="AT421" s="486" t="e">
        <f t="shared" si="401"/>
        <v>#DIV/0!</v>
      </c>
      <c r="AU421" s="486" t="e">
        <f t="shared" si="402"/>
        <v>#DIV/0!</v>
      </c>
      <c r="AV421" s="486" t="e">
        <f t="shared" si="403"/>
        <v>#DIV/0!</v>
      </c>
      <c r="AW421" s="486">
        <f t="shared" si="404"/>
        <v>3183.97</v>
      </c>
      <c r="AX421" s="486" t="e">
        <f t="shared" si="405"/>
        <v>#DIV/0!</v>
      </c>
      <c r="AY421" s="486" t="e">
        <f t="shared" si="406"/>
        <v>#DIV/0!</v>
      </c>
      <c r="AZ421" s="486" t="e">
        <f t="shared" si="407"/>
        <v>#DIV/0!</v>
      </c>
      <c r="BA421" s="486">
        <f t="shared" si="397"/>
        <v>0</v>
      </c>
      <c r="BB421" s="494">
        <v>5155.41</v>
      </c>
      <c r="BC421" s="494">
        <v>2070.12</v>
      </c>
      <c r="BD421" s="494">
        <v>848.92</v>
      </c>
      <c r="BE421" s="494">
        <v>819.73</v>
      </c>
      <c r="BF421" s="494">
        <v>611.5</v>
      </c>
      <c r="BG421" s="494">
        <v>1080.04</v>
      </c>
      <c r="BH421" s="494">
        <v>2671800.0099999998</v>
      </c>
      <c r="BI421" s="494">
        <f t="shared" si="420"/>
        <v>4607.6000000000004</v>
      </c>
      <c r="BJ421" s="494">
        <v>14289.54</v>
      </c>
      <c r="BK421" s="494">
        <v>3389.61</v>
      </c>
      <c r="BL421" s="494">
        <v>5995.76</v>
      </c>
      <c r="BM421" s="494">
        <v>548.62</v>
      </c>
      <c r="BN421" s="495" t="e">
        <f t="shared" si="408"/>
        <v>#DIV/0!</v>
      </c>
      <c r="BO421" s="495" t="e">
        <f t="shared" si="409"/>
        <v>#DIV/0!</v>
      </c>
      <c r="BP421" s="495" t="e">
        <f t="shared" si="410"/>
        <v>#DIV/0!</v>
      </c>
      <c r="BQ421" s="495" t="e">
        <f t="shared" si="411"/>
        <v>#DIV/0!</v>
      </c>
      <c r="BR421" s="495" t="e">
        <f t="shared" si="412"/>
        <v>#DIV/0!</v>
      </c>
      <c r="BS421" s="495" t="e">
        <f t="shared" si="413"/>
        <v>#DIV/0!</v>
      </c>
      <c r="BT421" s="495" t="e">
        <f t="shared" si="414"/>
        <v>#DIV/0!</v>
      </c>
      <c r="BU421" s="495" t="str">
        <f t="shared" si="415"/>
        <v xml:space="preserve"> </v>
      </c>
      <c r="BV421" s="495" t="e">
        <f t="shared" si="416"/>
        <v>#DIV/0!</v>
      </c>
      <c r="BW421" s="495" t="e">
        <f t="shared" si="417"/>
        <v>#DIV/0!</v>
      </c>
      <c r="BX421" s="495" t="e">
        <f t="shared" si="418"/>
        <v>#DIV/0!</v>
      </c>
      <c r="BY421" s="495" t="str">
        <f t="shared" si="419"/>
        <v xml:space="preserve"> </v>
      </c>
    </row>
    <row r="422" spans="1:77" s="28" customFormat="1" ht="9" customHeight="1">
      <c r="A422" s="406">
        <v>62</v>
      </c>
      <c r="B422" s="206" t="s">
        <v>684</v>
      </c>
      <c r="C422" s="376">
        <v>2384</v>
      </c>
      <c r="D422" s="376"/>
      <c r="E422" s="413" t="s">
        <v>1005</v>
      </c>
      <c r="F422" s="413"/>
      <c r="G422" s="413"/>
      <c r="H422" s="211">
        <v>3620724</v>
      </c>
      <c r="I422" s="407">
        <f t="shared" si="392"/>
        <v>0</v>
      </c>
      <c r="J422" s="217">
        <v>0</v>
      </c>
      <c r="K422" s="469">
        <v>0</v>
      </c>
      <c r="L422" s="217">
        <v>0</v>
      </c>
      <c r="M422" s="469">
        <v>0</v>
      </c>
      <c r="N422" s="217">
        <v>0</v>
      </c>
      <c r="O422" s="249">
        <v>0</v>
      </c>
      <c r="P422" s="407">
        <v>0</v>
      </c>
      <c r="Q422" s="249">
        <v>0</v>
      </c>
      <c r="R422" s="407">
        <v>0</v>
      </c>
      <c r="S422" s="249">
        <v>0</v>
      </c>
      <c r="T422" s="407">
        <v>0</v>
      </c>
      <c r="U422" s="130">
        <v>0</v>
      </c>
      <c r="V422" s="407">
        <v>0</v>
      </c>
      <c r="W422" s="410">
        <v>1086</v>
      </c>
      <c r="X422" s="407">
        <f t="shared" si="393"/>
        <v>3457791.42</v>
      </c>
      <c r="Y422" s="410">
        <v>0</v>
      </c>
      <c r="Z422" s="410">
        <v>0</v>
      </c>
      <c r="AA422" s="410">
        <v>0</v>
      </c>
      <c r="AB422" s="410">
        <v>0</v>
      </c>
      <c r="AC422" s="410">
        <v>0</v>
      </c>
      <c r="AD422" s="410">
        <v>0</v>
      </c>
      <c r="AE422" s="410">
        <v>0</v>
      </c>
      <c r="AF422" s="410">
        <v>0</v>
      </c>
      <c r="AG422" s="410">
        <v>0</v>
      </c>
      <c r="AH422" s="410">
        <v>0</v>
      </c>
      <c r="AI422" s="410">
        <v>0</v>
      </c>
      <c r="AJ422" s="410">
        <f t="shared" si="394"/>
        <v>108621.72</v>
      </c>
      <c r="AK422" s="410">
        <f t="shared" si="395"/>
        <v>54310.86</v>
      </c>
      <c r="AL422" s="410">
        <v>0</v>
      </c>
      <c r="AM422" s="446"/>
      <c r="AN422" s="446"/>
      <c r="AP422" s="486" t="e">
        <f t="shared" si="396"/>
        <v>#DIV/0!</v>
      </c>
      <c r="AQ422" s="486" t="e">
        <f t="shared" si="398"/>
        <v>#DIV/0!</v>
      </c>
      <c r="AR422" s="486" t="e">
        <f t="shared" si="399"/>
        <v>#DIV/0!</v>
      </c>
      <c r="AS422" s="486" t="e">
        <f t="shared" si="400"/>
        <v>#DIV/0!</v>
      </c>
      <c r="AT422" s="486" t="e">
        <f t="shared" si="401"/>
        <v>#DIV/0!</v>
      </c>
      <c r="AU422" s="486" t="e">
        <f t="shared" si="402"/>
        <v>#DIV/0!</v>
      </c>
      <c r="AV422" s="486" t="e">
        <f t="shared" si="403"/>
        <v>#DIV/0!</v>
      </c>
      <c r="AW422" s="486">
        <f t="shared" si="404"/>
        <v>3183.97</v>
      </c>
      <c r="AX422" s="486" t="e">
        <f t="shared" si="405"/>
        <v>#DIV/0!</v>
      </c>
      <c r="AY422" s="486" t="e">
        <f t="shared" si="406"/>
        <v>#DIV/0!</v>
      </c>
      <c r="AZ422" s="486" t="e">
        <f t="shared" si="407"/>
        <v>#DIV/0!</v>
      </c>
      <c r="BA422" s="486">
        <f t="shared" si="397"/>
        <v>0</v>
      </c>
      <c r="BB422" s="494">
        <v>5155.41</v>
      </c>
      <c r="BC422" s="494">
        <v>2070.12</v>
      </c>
      <c r="BD422" s="494">
        <v>848.92</v>
      </c>
      <c r="BE422" s="494">
        <v>819.73</v>
      </c>
      <c r="BF422" s="494">
        <v>611.5</v>
      </c>
      <c r="BG422" s="494">
        <v>1080.04</v>
      </c>
      <c r="BH422" s="494">
        <v>2671800.0099999998</v>
      </c>
      <c r="BI422" s="494">
        <f t="shared" si="420"/>
        <v>4607.6000000000004</v>
      </c>
      <c r="BJ422" s="494">
        <v>14289.54</v>
      </c>
      <c r="BK422" s="494">
        <v>3389.61</v>
      </c>
      <c r="BL422" s="494">
        <v>5995.76</v>
      </c>
      <c r="BM422" s="494">
        <v>548.62</v>
      </c>
      <c r="BN422" s="495" t="e">
        <f t="shared" si="408"/>
        <v>#DIV/0!</v>
      </c>
      <c r="BO422" s="495" t="e">
        <f t="shared" si="409"/>
        <v>#DIV/0!</v>
      </c>
      <c r="BP422" s="495" t="e">
        <f t="shared" si="410"/>
        <v>#DIV/0!</v>
      </c>
      <c r="BQ422" s="495" t="e">
        <f t="shared" si="411"/>
        <v>#DIV/0!</v>
      </c>
      <c r="BR422" s="495" t="e">
        <f t="shared" si="412"/>
        <v>#DIV/0!</v>
      </c>
      <c r="BS422" s="495" t="e">
        <f t="shared" si="413"/>
        <v>#DIV/0!</v>
      </c>
      <c r="BT422" s="495" t="e">
        <f t="shared" si="414"/>
        <v>#DIV/0!</v>
      </c>
      <c r="BU422" s="495" t="str">
        <f t="shared" si="415"/>
        <v xml:space="preserve"> </v>
      </c>
      <c r="BV422" s="495" t="e">
        <f t="shared" si="416"/>
        <v>#DIV/0!</v>
      </c>
      <c r="BW422" s="495" t="e">
        <f t="shared" si="417"/>
        <v>#DIV/0!</v>
      </c>
      <c r="BX422" s="495" t="e">
        <f t="shared" si="418"/>
        <v>#DIV/0!</v>
      </c>
      <c r="BY422" s="495" t="str">
        <f t="shared" si="419"/>
        <v xml:space="preserve"> </v>
      </c>
    </row>
    <row r="423" spans="1:77" s="28" customFormat="1" ht="9" customHeight="1">
      <c r="A423" s="406">
        <v>63</v>
      </c>
      <c r="B423" s="206" t="s">
        <v>685</v>
      </c>
      <c r="C423" s="376">
        <v>3305.77</v>
      </c>
      <c r="D423" s="376"/>
      <c r="E423" s="413" t="s">
        <v>1005</v>
      </c>
      <c r="F423" s="413"/>
      <c r="G423" s="413"/>
      <c r="H423" s="211">
        <v>3607388</v>
      </c>
      <c r="I423" s="407">
        <f t="shared" si="392"/>
        <v>0</v>
      </c>
      <c r="J423" s="217">
        <v>0</v>
      </c>
      <c r="K423" s="469">
        <v>0</v>
      </c>
      <c r="L423" s="217">
        <v>0</v>
      </c>
      <c r="M423" s="469">
        <v>0</v>
      </c>
      <c r="N423" s="217">
        <v>0</v>
      </c>
      <c r="O423" s="249">
        <v>0</v>
      </c>
      <c r="P423" s="407">
        <v>0</v>
      </c>
      <c r="Q423" s="249">
        <v>0</v>
      </c>
      <c r="R423" s="407">
        <v>0</v>
      </c>
      <c r="S423" s="249">
        <v>0</v>
      </c>
      <c r="T423" s="407">
        <v>0</v>
      </c>
      <c r="U423" s="130">
        <v>0</v>
      </c>
      <c r="V423" s="407">
        <v>0</v>
      </c>
      <c r="W423" s="410">
        <v>1082</v>
      </c>
      <c r="X423" s="407">
        <f t="shared" si="393"/>
        <v>3445055.54</v>
      </c>
      <c r="Y423" s="410">
        <v>0</v>
      </c>
      <c r="Z423" s="410">
        <v>0</v>
      </c>
      <c r="AA423" s="410">
        <v>0</v>
      </c>
      <c r="AB423" s="410">
        <v>0</v>
      </c>
      <c r="AC423" s="410">
        <v>0</v>
      </c>
      <c r="AD423" s="410">
        <v>0</v>
      </c>
      <c r="AE423" s="410">
        <v>0</v>
      </c>
      <c r="AF423" s="410">
        <v>0</v>
      </c>
      <c r="AG423" s="410">
        <v>0</v>
      </c>
      <c r="AH423" s="410">
        <v>0</v>
      </c>
      <c r="AI423" s="410">
        <v>0</v>
      </c>
      <c r="AJ423" s="410">
        <f t="shared" si="394"/>
        <v>108221.64</v>
      </c>
      <c r="AK423" s="410">
        <f t="shared" si="395"/>
        <v>54110.82</v>
      </c>
      <c r="AL423" s="410">
        <v>0</v>
      </c>
      <c r="AM423" s="446"/>
      <c r="AN423" s="446"/>
      <c r="AP423" s="486" t="e">
        <f t="shared" si="396"/>
        <v>#DIV/0!</v>
      </c>
      <c r="AQ423" s="486" t="e">
        <f t="shared" si="398"/>
        <v>#DIV/0!</v>
      </c>
      <c r="AR423" s="486" t="e">
        <f t="shared" si="399"/>
        <v>#DIV/0!</v>
      </c>
      <c r="AS423" s="486" t="e">
        <f t="shared" si="400"/>
        <v>#DIV/0!</v>
      </c>
      <c r="AT423" s="486" t="e">
        <f t="shared" si="401"/>
        <v>#DIV/0!</v>
      </c>
      <c r="AU423" s="486" t="e">
        <f t="shared" si="402"/>
        <v>#DIV/0!</v>
      </c>
      <c r="AV423" s="486" t="e">
        <f t="shared" si="403"/>
        <v>#DIV/0!</v>
      </c>
      <c r="AW423" s="486">
        <f t="shared" si="404"/>
        <v>3183.9700000000003</v>
      </c>
      <c r="AX423" s="486" t="e">
        <f t="shared" si="405"/>
        <v>#DIV/0!</v>
      </c>
      <c r="AY423" s="486" t="e">
        <f t="shared" si="406"/>
        <v>#DIV/0!</v>
      </c>
      <c r="AZ423" s="486" t="e">
        <f t="shared" si="407"/>
        <v>#DIV/0!</v>
      </c>
      <c r="BA423" s="486">
        <f t="shared" si="397"/>
        <v>0</v>
      </c>
      <c r="BB423" s="494">
        <v>5155.41</v>
      </c>
      <c r="BC423" s="494">
        <v>2070.12</v>
      </c>
      <c r="BD423" s="494">
        <v>848.92</v>
      </c>
      <c r="BE423" s="494">
        <v>819.73</v>
      </c>
      <c r="BF423" s="494">
        <v>611.5</v>
      </c>
      <c r="BG423" s="494">
        <v>1080.04</v>
      </c>
      <c r="BH423" s="494">
        <v>2671800.0099999998</v>
      </c>
      <c r="BI423" s="494">
        <f t="shared" si="420"/>
        <v>4607.6000000000004</v>
      </c>
      <c r="BJ423" s="494">
        <v>14289.54</v>
      </c>
      <c r="BK423" s="494">
        <v>3389.61</v>
      </c>
      <c r="BL423" s="494">
        <v>5995.76</v>
      </c>
      <c r="BM423" s="494">
        <v>548.62</v>
      </c>
      <c r="BN423" s="495" t="e">
        <f t="shared" si="408"/>
        <v>#DIV/0!</v>
      </c>
      <c r="BO423" s="495" t="e">
        <f t="shared" si="409"/>
        <v>#DIV/0!</v>
      </c>
      <c r="BP423" s="495" t="e">
        <f t="shared" si="410"/>
        <v>#DIV/0!</v>
      </c>
      <c r="BQ423" s="495" t="e">
        <f t="shared" si="411"/>
        <v>#DIV/0!</v>
      </c>
      <c r="BR423" s="495" t="e">
        <f t="shared" si="412"/>
        <v>#DIV/0!</v>
      </c>
      <c r="BS423" s="495" t="e">
        <f t="shared" si="413"/>
        <v>#DIV/0!</v>
      </c>
      <c r="BT423" s="495" t="e">
        <f t="shared" si="414"/>
        <v>#DIV/0!</v>
      </c>
      <c r="BU423" s="495" t="str">
        <f t="shared" si="415"/>
        <v xml:space="preserve"> </v>
      </c>
      <c r="BV423" s="495" t="e">
        <f t="shared" si="416"/>
        <v>#DIV/0!</v>
      </c>
      <c r="BW423" s="495" t="e">
        <f t="shared" si="417"/>
        <v>#DIV/0!</v>
      </c>
      <c r="BX423" s="495" t="e">
        <f t="shared" si="418"/>
        <v>#DIV/0!</v>
      </c>
      <c r="BY423" s="495" t="str">
        <f t="shared" si="419"/>
        <v xml:space="preserve"> </v>
      </c>
    </row>
    <row r="424" spans="1:77" s="28" customFormat="1" ht="9" customHeight="1">
      <c r="A424" s="406">
        <v>64</v>
      </c>
      <c r="B424" s="206" t="s">
        <v>686</v>
      </c>
      <c r="C424" s="376">
        <v>3494.9</v>
      </c>
      <c r="D424" s="376"/>
      <c r="E424" s="413" t="s">
        <v>1005</v>
      </c>
      <c r="F424" s="413"/>
      <c r="G424" s="413"/>
      <c r="H424" s="211">
        <v>3927452</v>
      </c>
      <c r="I424" s="407">
        <f t="shared" si="392"/>
        <v>0</v>
      </c>
      <c r="J424" s="217">
        <v>0</v>
      </c>
      <c r="K424" s="469">
        <v>0</v>
      </c>
      <c r="L424" s="217">
        <v>0</v>
      </c>
      <c r="M424" s="469">
        <v>0</v>
      </c>
      <c r="N424" s="217">
        <v>0</v>
      </c>
      <c r="O424" s="249">
        <v>0</v>
      </c>
      <c r="P424" s="407">
        <v>0</v>
      </c>
      <c r="Q424" s="249">
        <v>0</v>
      </c>
      <c r="R424" s="407">
        <v>0</v>
      </c>
      <c r="S424" s="249">
        <v>0</v>
      </c>
      <c r="T424" s="407">
        <v>0</v>
      </c>
      <c r="U424" s="130">
        <v>0</v>
      </c>
      <c r="V424" s="407">
        <v>0</v>
      </c>
      <c r="W424" s="410">
        <v>1178</v>
      </c>
      <c r="X424" s="407">
        <f t="shared" si="393"/>
        <v>3750716.66</v>
      </c>
      <c r="Y424" s="410">
        <v>0</v>
      </c>
      <c r="Z424" s="410">
        <v>0</v>
      </c>
      <c r="AA424" s="410">
        <v>0</v>
      </c>
      <c r="AB424" s="410">
        <v>0</v>
      </c>
      <c r="AC424" s="410">
        <v>0</v>
      </c>
      <c r="AD424" s="410">
        <v>0</v>
      </c>
      <c r="AE424" s="410">
        <v>0</v>
      </c>
      <c r="AF424" s="410">
        <v>0</v>
      </c>
      <c r="AG424" s="410">
        <v>0</v>
      </c>
      <c r="AH424" s="410">
        <v>0</v>
      </c>
      <c r="AI424" s="410">
        <v>0</v>
      </c>
      <c r="AJ424" s="410">
        <f t="shared" si="394"/>
        <v>117823.56</v>
      </c>
      <c r="AK424" s="410">
        <f t="shared" si="395"/>
        <v>58911.78</v>
      </c>
      <c r="AL424" s="410">
        <v>0</v>
      </c>
      <c r="AM424" s="446"/>
      <c r="AN424" s="446"/>
      <c r="AP424" s="486" t="e">
        <f t="shared" si="396"/>
        <v>#DIV/0!</v>
      </c>
      <c r="AQ424" s="486" t="e">
        <f t="shared" si="398"/>
        <v>#DIV/0!</v>
      </c>
      <c r="AR424" s="486" t="e">
        <f t="shared" si="399"/>
        <v>#DIV/0!</v>
      </c>
      <c r="AS424" s="486" t="e">
        <f t="shared" si="400"/>
        <v>#DIV/0!</v>
      </c>
      <c r="AT424" s="486" t="e">
        <f t="shared" si="401"/>
        <v>#DIV/0!</v>
      </c>
      <c r="AU424" s="486" t="e">
        <f t="shared" si="402"/>
        <v>#DIV/0!</v>
      </c>
      <c r="AV424" s="486" t="e">
        <f t="shared" si="403"/>
        <v>#DIV/0!</v>
      </c>
      <c r="AW424" s="486">
        <f t="shared" si="404"/>
        <v>3183.9700000000003</v>
      </c>
      <c r="AX424" s="486" t="e">
        <f t="shared" si="405"/>
        <v>#DIV/0!</v>
      </c>
      <c r="AY424" s="486" t="e">
        <f t="shared" si="406"/>
        <v>#DIV/0!</v>
      </c>
      <c r="AZ424" s="486" t="e">
        <f t="shared" si="407"/>
        <v>#DIV/0!</v>
      </c>
      <c r="BA424" s="486">
        <f t="shared" si="397"/>
        <v>0</v>
      </c>
      <c r="BB424" s="494">
        <v>5155.41</v>
      </c>
      <c r="BC424" s="494">
        <v>2070.12</v>
      </c>
      <c r="BD424" s="494">
        <v>848.92</v>
      </c>
      <c r="BE424" s="494">
        <v>819.73</v>
      </c>
      <c r="BF424" s="494">
        <v>611.5</v>
      </c>
      <c r="BG424" s="494">
        <v>1080.04</v>
      </c>
      <c r="BH424" s="494">
        <v>2671800.0099999998</v>
      </c>
      <c r="BI424" s="494">
        <f t="shared" si="420"/>
        <v>4607.6000000000004</v>
      </c>
      <c r="BJ424" s="494">
        <v>14289.54</v>
      </c>
      <c r="BK424" s="494">
        <v>3389.61</v>
      </c>
      <c r="BL424" s="494">
        <v>5995.76</v>
      </c>
      <c r="BM424" s="494">
        <v>548.62</v>
      </c>
      <c r="BN424" s="495" t="e">
        <f t="shared" si="408"/>
        <v>#DIV/0!</v>
      </c>
      <c r="BO424" s="495" t="e">
        <f t="shared" si="409"/>
        <v>#DIV/0!</v>
      </c>
      <c r="BP424" s="495" t="e">
        <f t="shared" si="410"/>
        <v>#DIV/0!</v>
      </c>
      <c r="BQ424" s="495" t="e">
        <f t="shared" si="411"/>
        <v>#DIV/0!</v>
      </c>
      <c r="BR424" s="495" t="e">
        <f t="shared" si="412"/>
        <v>#DIV/0!</v>
      </c>
      <c r="BS424" s="495" t="e">
        <f t="shared" si="413"/>
        <v>#DIV/0!</v>
      </c>
      <c r="BT424" s="495" t="e">
        <f t="shared" si="414"/>
        <v>#DIV/0!</v>
      </c>
      <c r="BU424" s="495" t="str">
        <f t="shared" si="415"/>
        <v xml:space="preserve"> </v>
      </c>
      <c r="BV424" s="495" t="e">
        <f t="shared" si="416"/>
        <v>#DIV/0!</v>
      </c>
      <c r="BW424" s="495" t="e">
        <f t="shared" si="417"/>
        <v>#DIV/0!</v>
      </c>
      <c r="BX424" s="495" t="e">
        <f t="shared" si="418"/>
        <v>#DIV/0!</v>
      </c>
      <c r="BY424" s="495" t="str">
        <f t="shared" si="419"/>
        <v xml:space="preserve"> </v>
      </c>
    </row>
    <row r="425" spans="1:77" s="28" customFormat="1" ht="9" customHeight="1">
      <c r="A425" s="406">
        <v>65</v>
      </c>
      <c r="B425" s="206" t="s">
        <v>687</v>
      </c>
      <c r="C425" s="376">
        <v>3197.9</v>
      </c>
      <c r="D425" s="376"/>
      <c r="E425" s="413" t="s">
        <v>1005</v>
      </c>
      <c r="F425" s="413"/>
      <c r="G425" s="413"/>
      <c r="H425" s="211">
        <v>3083950</v>
      </c>
      <c r="I425" s="407">
        <f t="shared" si="392"/>
        <v>0</v>
      </c>
      <c r="J425" s="217">
        <v>0</v>
      </c>
      <c r="K425" s="469">
        <v>0</v>
      </c>
      <c r="L425" s="217">
        <v>0</v>
      </c>
      <c r="M425" s="469">
        <v>0</v>
      </c>
      <c r="N425" s="217">
        <v>0</v>
      </c>
      <c r="O425" s="249">
        <v>0</v>
      </c>
      <c r="P425" s="407">
        <v>0</v>
      </c>
      <c r="Q425" s="249">
        <v>0</v>
      </c>
      <c r="R425" s="407">
        <v>0</v>
      </c>
      <c r="S425" s="249">
        <v>0</v>
      </c>
      <c r="T425" s="407">
        <v>0</v>
      </c>
      <c r="U425" s="130">
        <v>0</v>
      </c>
      <c r="V425" s="407">
        <v>0</v>
      </c>
      <c r="W425" s="410">
        <v>925</v>
      </c>
      <c r="X425" s="407">
        <f t="shared" si="393"/>
        <v>2945172.25</v>
      </c>
      <c r="Y425" s="410">
        <v>0</v>
      </c>
      <c r="Z425" s="410">
        <v>0</v>
      </c>
      <c r="AA425" s="410">
        <v>0</v>
      </c>
      <c r="AB425" s="410">
        <v>0</v>
      </c>
      <c r="AC425" s="410">
        <v>0</v>
      </c>
      <c r="AD425" s="410">
        <v>0</v>
      </c>
      <c r="AE425" s="410">
        <v>0</v>
      </c>
      <c r="AF425" s="410">
        <v>0</v>
      </c>
      <c r="AG425" s="410">
        <v>0</v>
      </c>
      <c r="AH425" s="410">
        <v>0</v>
      </c>
      <c r="AI425" s="410">
        <v>0</v>
      </c>
      <c r="AJ425" s="410">
        <f t="shared" si="394"/>
        <v>92518.5</v>
      </c>
      <c r="AK425" s="410">
        <f t="shared" si="395"/>
        <v>46259.25</v>
      </c>
      <c r="AL425" s="410">
        <v>0</v>
      </c>
      <c r="AM425" s="446"/>
      <c r="AN425" s="446"/>
      <c r="AP425" s="486" t="e">
        <f t="shared" si="396"/>
        <v>#DIV/0!</v>
      </c>
      <c r="AQ425" s="486" t="e">
        <f t="shared" si="398"/>
        <v>#DIV/0!</v>
      </c>
      <c r="AR425" s="486" t="e">
        <f t="shared" si="399"/>
        <v>#DIV/0!</v>
      </c>
      <c r="AS425" s="486" t="e">
        <f t="shared" si="400"/>
        <v>#DIV/0!</v>
      </c>
      <c r="AT425" s="486" t="e">
        <f t="shared" si="401"/>
        <v>#DIV/0!</v>
      </c>
      <c r="AU425" s="486" t="e">
        <f t="shared" si="402"/>
        <v>#DIV/0!</v>
      </c>
      <c r="AV425" s="486" t="e">
        <f t="shared" si="403"/>
        <v>#DIV/0!</v>
      </c>
      <c r="AW425" s="486">
        <f t="shared" si="404"/>
        <v>3183.97</v>
      </c>
      <c r="AX425" s="486" t="e">
        <f t="shared" si="405"/>
        <v>#DIV/0!</v>
      </c>
      <c r="AY425" s="486" t="e">
        <f t="shared" si="406"/>
        <v>#DIV/0!</v>
      </c>
      <c r="AZ425" s="486" t="e">
        <f t="shared" si="407"/>
        <v>#DIV/0!</v>
      </c>
      <c r="BA425" s="486">
        <f t="shared" si="397"/>
        <v>0</v>
      </c>
      <c r="BB425" s="494">
        <v>5155.41</v>
      </c>
      <c r="BC425" s="494">
        <v>2070.12</v>
      </c>
      <c r="BD425" s="494">
        <v>848.92</v>
      </c>
      <c r="BE425" s="494">
        <v>819.73</v>
      </c>
      <c r="BF425" s="494">
        <v>611.5</v>
      </c>
      <c r="BG425" s="494">
        <v>1080.04</v>
      </c>
      <c r="BH425" s="494">
        <v>2671800.0099999998</v>
      </c>
      <c r="BI425" s="494">
        <f t="shared" si="420"/>
        <v>4607.6000000000004</v>
      </c>
      <c r="BJ425" s="494">
        <v>14289.54</v>
      </c>
      <c r="BK425" s="494">
        <v>3389.61</v>
      </c>
      <c r="BL425" s="494">
        <v>5995.76</v>
      </c>
      <c r="BM425" s="494">
        <v>548.62</v>
      </c>
      <c r="BN425" s="495" t="e">
        <f t="shared" si="408"/>
        <v>#DIV/0!</v>
      </c>
      <c r="BO425" s="495" t="e">
        <f t="shared" si="409"/>
        <v>#DIV/0!</v>
      </c>
      <c r="BP425" s="495" t="e">
        <f t="shared" si="410"/>
        <v>#DIV/0!</v>
      </c>
      <c r="BQ425" s="495" t="e">
        <f t="shared" si="411"/>
        <v>#DIV/0!</v>
      </c>
      <c r="BR425" s="495" t="e">
        <f t="shared" si="412"/>
        <v>#DIV/0!</v>
      </c>
      <c r="BS425" s="495" t="e">
        <f t="shared" si="413"/>
        <v>#DIV/0!</v>
      </c>
      <c r="BT425" s="495" t="e">
        <f t="shared" si="414"/>
        <v>#DIV/0!</v>
      </c>
      <c r="BU425" s="495" t="str">
        <f t="shared" si="415"/>
        <v xml:space="preserve"> </v>
      </c>
      <c r="BV425" s="495" t="e">
        <f t="shared" si="416"/>
        <v>#DIV/0!</v>
      </c>
      <c r="BW425" s="495" t="e">
        <f t="shared" si="417"/>
        <v>#DIV/0!</v>
      </c>
      <c r="BX425" s="495" t="e">
        <f t="shared" si="418"/>
        <v>#DIV/0!</v>
      </c>
      <c r="BY425" s="495" t="str">
        <f t="shared" si="419"/>
        <v xml:space="preserve"> </v>
      </c>
    </row>
    <row r="426" spans="1:77" s="28" customFormat="1" ht="9" customHeight="1">
      <c r="A426" s="406">
        <v>66</v>
      </c>
      <c r="B426" s="206" t="s">
        <v>688</v>
      </c>
      <c r="C426" s="376">
        <v>4490</v>
      </c>
      <c r="D426" s="376"/>
      <c r="E426" s="413" t="s">
        <v>1005</v>
      </c>
      <c r="F426" s="413"/>
      <c r="G426" s="413"/>
      <c r="H426" s="211">
        <v>6117890</v>
      </c>
      <c r="I426" s="407">
        <f t="shared" si="392"/>
        <v>0</v>
      </c>
      <c r="J426" s="217">
        <v>0</v>
      </c>
      <c r="K426" s="469">
        <v>0</v>
      </c>
      <c r="L426" s="217">
        <v>0</v>
      </c>
      <c r="M426" s="469">
        <v>0</v>
      </c>
      <c r="N426" s="217">
        <v>0</v>
      </c>
      <c r="O426" s="249">
        <v>0</v>
      </c>
      <c r="P426" s="407">
        <v>0</v>
      </c>
      <c r="Q426" s="249">
        <v>0</v>
      </c>
      <c r="R426" s="407">
        <v>0</v>
      </c>
      <c r="S426" s="249">
        <v>0</v>
      </c>
      <c r="T426" s="407">
        <v>0</v>
      </c>
      <c r="U426" s="130">
        <v>0</v>
      </c>
      <c r="V426" s="407">
        <v>0</v>
      </c>
      <c r="W426" s="410">
        <v>1835</v>
      </c>
      <c r="X426" s="407">
        <f t="shared" si="393"/>
        <v>5842584.9500000002</v>
      </c>
      <c r="Y426" s="410">
        <v>0</v>
      </c>
      <c r="Z426" s="410">
        <v>0</v>
      </c>
      <c r="AA426" s="410">
        <v>0</v>
      </c>
      <c r="AB426" s="410">
        <v>0</v>
      </c>
      <c r="AC426" s="410">
        <v>0</v>
      </c>
      <c r="AD426" s="410">
        <v>0</v>
      </c>
      <c r="AE426" s="410">
        <v>0</v>
      </c>
      <c r="AF426" s="410">
        <v>0</v>
      </c>
      <c r="AG426" s="410">
        <v>0</v>
      </c>
      <c r="AH426" s="410">
        <v>0</v>
      </c>
      <c r="AI426" s="410">
        <v>0</v>
      </c>
      <c r="AJ426" s="410">
        <f t="shared" si="394"/>
        <v>183536.7</v>
      </c>
      <c r="AK426" s="410">
        <f t="shared" si="395"/>
        <v>91768.35</v>
      </c>
      <c r="AL426" s="410">
        <v>0</v>
      </c>
      <c r="AM426" s="446"/>
      <c r="AN426" s="446"/>
      <c r="AP426" s="486" t="e">
        <f t="shared" si="396"/>
        <v>#DIV/0!</v>
      </c>
      <c r="AQ426" s="486" t="e">
        <f t="shared" si="398"/>
        <v>#DIV/0!</v>
      </c>
      <c r="AR426" s="486" t="e">
        <f t="shared" si="399"/>
        <v>#DIV/0!</v>
      </c>
      <c r="AS426" s="486" t="e">
        <f t="shared" si="400"/>
        <v>#DIV/0!</v>
      </c>
      <c r="AT426" s="486" t="e">
        <f t="shared" si="401"/>
        <v>#DIV/0!</v>
      </c>
      <c r="AU426" s="486" t="e">
        <f t="shared" si="402"/>
        <v>#DIV/0!</v>
      </c>
      <c r="AV426" s="486" t="e">
        <f t="shared" si="403"/>
        <v>#DIV/0!</v>
      </c>
      <c r="AW426" s="486">
        <f t="shared" si="404"/>
        <v>3183.9700000000003</v>
      </c>
      <c r="AX426" s="486" t="e">
        <f t="shared" si="405"/>
        <v>#DIV/0!</v>
      </c>
      <c r="AY426" s="486" t="e">
        <f t="shared" si="406"/>
        <v>#DIV/0!</v>
      </c>
      <c r="AZ426" s="486" t="e">
        <f t="shared" si="407"/>
        <v>#DIV/0!</v>
      </c>
      <c r="BA426" s="486">
        <f t="shared" si="397"/>
        <v>0</v>
      </c>
      <c r="BB426" s="494">
        <v>5155.41</v>
      </c>
      <c r="BC426" s="494">
        <v>2070.12</v>
      </c>
      <c r="BD426" s="494">
        <v>848.92</v>
      </c>
      <c r="BE426" s="494">
        <v>819.73</v>
      </c>
      <c r="BF426" s="494">
        <v>611.5</v>
      </c>
      <c r="BG426" s="494">
        <v>1080.04</v>
      </c>
      <c r="BH426" s="494">
        <v>2671800.0099999998</v>
      </c>
      <c r="BI426" s="494">
        <f t="shared" si="420"/>
        <v>4607.6000000000004</v>
      </c>
      <c r="BJ426" s="494">
        <v>14289.54</v>
      </c>
      <c r="BK426" s="494">
        <v>3389.61</v>
      </c>
      <c r="BL426" s="494">
        <v>5995.76</v>
      </c>
      <c r="BM426" s="494">
        <v>548.62</v>
      </c>
      <c r="BN426" s="495" t="e">
        <f t="shared" si="408"/>
        <v>#DIV/0!</v>
      </c>
      <c r="BO426" s="495" t="e">
        <f t="shared" si="409"/>
        <v>#DIV/0!</v>
      </c>
      <c r="BP426" s="495" t="e">
        <f t="shared" si="410"/>
        <v>#DIV/0!</v>
      </c>
      <c r="BQ426" s="495" t="e">
        <f t="shared" si="411"/>
        <v>#DIV/0!</v>
      </c>
      <c r="BR426" s="495" t="e">
        <f t="shared" si="412"/>
        <v>#DIV/0!</v>
      </c>
      <c r="BS426" s="495" t="e">
        <f t="shared" si="413"/>
        <v>#DIV/0!</v>
      </c>
      <c r="BT426" s="495" t="e">
        <f t="shared" si="414"/>
        <v>#DIV/0!</v>
      </c>
      <c r="BU426" s="495" t="str">
        <f t="shared" si="415"/>
        <v xml:space="preserve"> </v>
      </c>
      <c r="BV426" s="495" t="e">
        <f t="shared" si="416"/>
        <v>#DIV/0!</v>
      </c>
      <c r="BW426" s="495" t="e">
        <f t="shared" si="417"/>
        <v>#DIV/0!</v>
      </c>
      <c r="BX426" s="495" t="e">
        <f t="shared" si="418"/>
        <v>#DIV/0!</v>
      </c>
      <c r="BY426" s="495" t="str">
        <f t="shared" si="419"/>
        <v xml:space="preserve"> </v>
      </c>
    </row>
    <row r="427" spans="1:77" s="28" customFormat="1" ht="9" customHeight="1">
      <c r="A427" s="406">
        <v>67</v>
      </c>
      <c r="B427" s="206" t="s">
        <v>689</v>
      </c>
      <c r="C427" s="376">
        <v>7044</v>
      </c>
      <c r="D427" s="376"/>
      <c r="E427" s="413" t="s">
        <v>1005</v>
      </c>
      <c r="F427" s="413"/>
      <c r="G427" s="413"/>
      <c r="H427" s="211">
        <v>10608788</v>
      </c>
      <c r="I427" s="407">
        <f t="shared" si="392"/>
        <v>0</v>
      </c>
      <c r="J427" s="217">
        <v>0</v>
      </c>
      <c r="K427" s="469">
        <v>0</v>
      </c>
      <c r="L427" s="217">
        <v>0</v>
      </c>
      <c r="M427" s="469">
        <v>0</v>
      </c>
      <c r="N427" s="217">
        <v>0</v>
      </c>
      <c r="O427" s="249">
        <v>0</v>
      </c>
      <c r="P427" s="407">
        <v>0</v>
      </c>
      <c r="Q427" s="249">
        <v>0</v>
      </c>
      <c r="R427" s="407">
        <v>0</v>
      </c>
      <c r="S427" s="249">
        <v>0</v>
      </c>
      <c r="T427" s="407">
        <v>0</v>
      </c>
      <c r="U427" s="130">
        <v>0</v>
      </c>
      <c r="V427" s="407">
        <v>0</v>
      </c>
      <c r="W427" s="410">
        <v>3182</v>
      </c>
      <c r="X427" s="407">
        <f t="shared" si="393"/>
        <v>10131392.539999999</v>
      </c>
      <c r="Y427" s="410">
        <v>0</v>
      </c>
      <c r="Z427" s="410">
        <v>0</v>
      </c>
      <c r="AA427" s="410">
        <v>0</v>
      </c>
      <c r="AB427" s="410">
        <v>0</v>
      </c>
      <c r="AC427" s="410">
        <v>0</v>
      </c>
      <c r="AD427" s="410">
        <v>0</v>
      </c>
      <c r="AE427" s="410">
        <v>0</v>
      </c>
      <c r="AF427" s="410">
        <v>0</v>
      </c>
      <c r="AG427" s="410">
        <v>0</v>
      </c>
      <c r="AH427" s="410">
        <v>0</v>
      </c>
      <c r="AI427" s="410">
        <v>0</v>
      </c>
      <c r="AJ427" s="410">
        <f t="shared" si="394"/>
        <v>318263.64</v>
      </c>
      <c r="AK427" s="410">
        <f t="shared" si="395"/>
        <v>159131.82</v>
      </c>
      <c r="AL427" s="410">
        <v>0</v>
      </c>
      <c r="AM427" s="446"/>
      <c r="AN427" s="446"/>
      <c r="AP427" s="486" t="e">
        <f t="shared" si="396"/>
        <v>#DIV/0!</v>
      </c>
      <c r="AQ427" s="486" t="e">
        <f t="shared" si="398"/>
        <v>#DIV/0!</v>
      </c>
      <c r="AR427" s="486" t="e">
        <f t="shared" si="399"/>
        <v>#DIV/0!</v>
      </c>
      <c r="AS427" s="486" t="e">
        <f t="shared" si="400"/>
        <v>#DIV/0!</v>
      </c>
      <c r="AT427" s="486" t="e">
        <f t="shared" si="401"/>
        <v>#DIV/0!</v>
      </c>
      <c r="AU427" s="486" t="e">
        <f t="shared" si="402"/>
        <v>#DIV/0!</v>
      </c>
      <c r="AV427" s="486" t="e">
        <f t="shared" si="403"/>
        <v>#DIV/0!</v>
      </c>
      <c r="AW427" s="486">
        <f t="shared" si="404"/>
        <v>3183.97</v>
      </c>
      <c r="AX427" s="486" t="e">
        <f t="shared" si="405"/>
        <v>#DIV/0!</v>
      </c>
      <c r="AY427" s="486" t="e">
        <f t="shared" si="406"/>
        <v>#DIV/0!</v>
      </c>
      <c r="AZ427" s="486" t="e">
        <f t="shared" si="407"/>
        <v>#DIV/0!</v>
      </c>
      <c r="BA427" s="486">
        <f t="shared" si="397"/>
        <v>0</v>
      </c>
      <c r="BB427" s="494">
        <v>5155.41</v>
      </c>
      <c r="BC427" s="494">
        <v>2070.12</v>
      </c>
      <c r="BD427" s="494">
        <v>848.92</v>
      </c>
      <c r="BE427" s="494">
        <v>819.73</v>
      </c>
      <c r="BF427" s="494">
        <v>611.5</v>
      </c>
      <c r="BG427" s="494">
        <v>1080.04</v>
      </c>
      <c r="BH427" s="494">
        <v>2671800.0099999998</v>
      </c>
      <c r="BI427" s="494">
        <f t="shared" si="420"/>
        <v>4607.6000000000004</v>
      </c>
      <c r="BJ427" s="494">
        <v>14289.54</v>
      </c>
      <c r="BK427" s="494">
        <v>3389.61</v>
      </c>
      <c r="BL427" s="494">
        <v>5995.76</v>
      </c>
      <c r="BM427" s="494">
        <v>548.62</v>
      </c>
      <c r="BN427" s="495" t="e">
        <f t="shared" si="408"/>
        <v>#DIV/0!</v>
      </c>
      <c r="BO427" s="495" t="e">
        <f t="shared" si="409"/>
        <v>#DIV/0!</v>
      </c>
      <c r="BP427" s="495" t="e">
        <f t="shared" si="410"/>
        <v>#DIV/0!</v>
      </c>
      <c r="BQ427" s="495" t="e">
        <f t="shared" si="411"/>
        <v>#DIV/0!</v>
      </c>
      <c r="BR427" s="495" t="e">
        <f t="shared" si="412"/>
        <v>#DIV/0!</v>
      </c>
      <c r="BS427" s="495" t="e">
        <f t="shared" si="413"/>
        <v>#DIV/0!</v>
      </c>
      <c r="BT427" s="495" t="e">
        <f t="shared" si="414"/>
        <v>#DIV/0!</v>
      </c>
      <c r="BU427" s="495" t="str">
        <f t="shared" si="415"/>
        <v xml:space="preserve"> </v>
      </c>
      <c r="BV427" s="495" t="e">
        <f t="shared" si="416"/>
        <v>#DIV/0!</v>
      </c>
      <c r="BW427" s="495" t="e">
        <f t="shared" si="417"/>
        <v>#DIV/0!</v>
      </c>
      <c r="BX427" s="495" t="e">
        <f t="shared" si="418"/>
        <v>#DIV/0!</v>
      </c>
      <c r="BY427" s="495" t="str">
        <f t="shared" si="419"/>
        <v xml:space="preserve"> </v>
      </c>
    </row>
    <row r="428" spans="1:77" s="28" customFormat="1" ht="9" customHeight="1">
      <c r="A428" s="406">
        <v>68</v>
      </c>
      <c r="B428" s="206" t="s">
        <v>690</v>
      </c>
      <c r="C428" s="376">
        <v>4642.5</v>
      </c>
      <c r="D428" s="376"/>
      <c r="E428" s="413" t="s">
        <v>1005</v>
      </c>
      <c r="F428" s="413"/>
      <c r="G428" s="413"/>
      <c r="H428" s="211">
        <v>4347536</v>
      </c>
      <c r="I428" s="407">
        <f t="shared" si="392"/>
        <v>0</v>
      </c>
      <c r="J428" s="217">
        <v>0</v>
      </c>
      <c r="K428" s="469">
        <v>0</v>
      </c>
      <c r="L428" s="217">
        <v>0</v>
      </c>
      <c r="M428" s="469">
        <v>0</v>
      </c>
      <c r="N428" s="217">
        <v>0</v>
      </c>
      <c r="O428" s="249">
        <v>0</v>
      </c>
      <c r="P428" s="407">
        <v>0</v>
      </c>
      <c r="Q428" s="249">
        <v>0</v>
      </c>
      <c r="R428" s="407">
        <v>0</v>
      </c>
      <c r="S428" s="249">
        <v>0</v>
      </c>
      <c r="T428" s="407">
        <v>0</v>
      </c>
      <c r="U428" s="130">
        <v>0</v>
      </c>
      <c r="V428" s="407">
        <v>0</v>
      </c>
      <c r="W428" s="410">
        <v>1304</v>
      </c>
      <c r="X428" s="407">
        <f t="shared" si="393"/>
        <v>4151896.88</v>
      </c>
      <c r="Y428" s="410">
        <v>0</v>
      </c>
      <c r="Z428" s="410">
        <v>0</v>
      </c>
      <c r="AA428" s="410">
        <v>0</v>
      </c>
      <c r="AB428" s="410">
        <v>0</v>
      </c>
      <c r="AC428" s="410">
        <v>0</v>
      </c>
      <c r="AD428" s="410">
        <v>0</v>
      </c>
      <c r="AE428" s="410">
        <v>0</v>
      </c>
      <c r="AF428" s="410">
        <v>0</v>
      </c>
      <c r="AG428" s="410">
        <v>0</v>
      </c>
      <c r="AH428" s="410">
        <v>0</v>
      </c>
      <c r="AI428" s="410">
        <v>0</v>
      </c>
      <c r="AJ428" s="410">
        <f t="shared" si="394"/>
        <v>130426.08</v>
      </c>
      <c r="AK428" s="410">
        <f t="shared" si="395"/>
        <v>65213.04</v>
      </c>
      <c r="AL428" s="410">
        <v>0</v>
      </c>
      <c r="AM428" s="446"/>
      <c r="AN428" s="446"/>
      <c r="AP428" s="486" t="e">
        <f t="shared" si="396"/>
        <v>#DIV/0!</v>
      </c>
      <c r="AQ428" s="486" t="e">
        <f t="shared" si="398"/>
        <v>#DIV/0!</v>
      </c>
      <c r="AR428" s="486" t="e">
        <f t="shared" si="399"/>
        <v>#DIV/0!</v>
      </c>
      <c r="AS428" s="486" t="e">
        <f t="shared" si="400"/>
        <v>#DIV/0!</v>
      </c>
      <c r="AT428" s="486" t="e">
        <f t="shared" si="401"/>
        <v>#DIV/0!</v>
      </c>
      <c r="AU428" s="486" t="e">
        <f t="shared" si="402"/>
        <v>#DIV/0!</v>
      </c>
      <c r="AV428" s="486" t="e">
        <f t="shared" si="403"/>
        <v>#DIV/0!</v>
      </c>
      <c r="AW428" s="486">
        <f t="shared" si="404"/>
        <v>3183.97</v>
      </c>
      <c r="AX428" s="486" t="e">
        <f t="shared" si="405"/>
        <v>#DIV/0!</v>
      </c>
      <c r="AY428" s="486" t="e">
        <f t="shared" si="406"/>
        <v>#DIV/0!</v>
      </c>
      <c r="AZ428" s="486" t="e">
        <f t="shared" si="407"/>
        <v>#DIV/0!</v>
      </c>
      <c r="BA428" s="486">
        <f t="shared" si="397"/>
        <v>0</v>
      </c>
      <c r="BB428" s="494">
        <v>5155.41</v>
      </c>
      <c r="BC428" s="494">
        <v>2070.12</v>
      </c>
      <c r="BD428" s="494">
        <v>848.92</v>
      </c>
      <c r="BE428" s="494">
        <v>819.73</v>
      </c>
      <c r="BF428" s="494">
        <v>611.5</v>
      </c>
      <c r="BG428" s="494">
        <v>1080.04</v>
      </c>
      <c r="BH428" s="494">
        <v>2671800.0099999998</v>
      </c>
      <c r="BI428" s="494">
        <f t="shared" si="420"/>
        <v>4607.6000000000004</v>
      </c>
      <c r="BJ428" s="494">
        <v>14289.54</v>
      </c>
      <c r="BK428" s="494">
        <v>3389.61</v>
      </c>
      <c r="BL428" s="494">
        <v>5995.76</v>
      </c>
      <c r="BM428" s="494">
        <v>548.62</v>
      </c>
      <c r="BN428" s="495" t="e">
        <f t="shared" si="408"/>
        <v>#DIV/0!</v>
      </c>
      <c r="BO428" s="495" t="e">
        <f t="shared" si="409"/>
        <v>#DIV/0!</v>
      </c>
      <c r="BP428" s="495" t="e">
        <f t="shared" si="410"/>
        <v>#DIV/0!</v>
      </c>
      <c r="BQ428" s="495" t="e">
        <f t="shared" si="411"/>
        <v>#DIV/0!</v>
      </c>
      <c r="BR428" s="495" t="e">
        <f t="shared" si="412"/>
        <v>#DIV/0!</v>
      </c>
      <c r="BS428" s="495" t="e">
        <f t="shared" si="413"/>
        <v>#DIV/0!</v>
      </c>
      <c r="BT428" s="495" t="e">
        <f t="shared" si="414"/>
        <v>#DIV/0!</v>
      </c>
      <c r="BU428" s="495" t="str">
        <f t="shared" si="415"/>
        <v xml:space="preserve"> </v>
      </c>
      <c r="BV428" s="495" t="e">
        <f t="shared" si="416"/>
        <v>#DIV/0!</v>
      </c>
      <c r="BW428" s="495" t="e">
        <f t="shared" si="417"/>
        <v>#DIV/0!</v>
      </c>
      <c r="BX428" s="495" t="e">
        <f t="shared" si="418"/>
        <v>#DIV/0!</v>
      </c>
      <c r="BY428" s="495" t="str">
        <f t="shared" si="419"/>
        <v xml:space="preserve"> </v>
      </c>
    </row>
    <row r="429" spans="1:77" s="28" customFormat="1" ht="9" customHeight="1">
      <c r="A429" s="406">
        <v>69</v>
      </c>
      <c r="B429" s="206" t="s">
        <v>691</v>
      </c>
      <c r="C429" s="376">
        <v>4599.1000000000004</v>
      </c>
      <c r="D429" s="376"/>
      <c r="E429" s="413" t="s">
        <v>1005</v>
      </c>
      <c r="F429" s="413"/>
      <c r="G429" s="413"/>
      <c r="H429" s="211">
        <v>3980796</v>
      </c>
      <c r="I429" s="407">
        <f t="shared" si="392"/>
        <v>0</v>
      </c>
      <c r="J429" s="217">
        <v>0</v>
      </c>
      <c r="K429" s="469">
        <v>0</v>
      </c>
      <c r="L429" s="217">
        <v>0</v>
      </c>
      <c r="M429" s="469">
        <v>0</v>
      </c>
      <c r="N429" s="217">
        <v>0</v>
      </c>
      <c r="O429" s="249">
        <v>0</v>
      </c>
      <c r="P429" s="407">
        <v>0</v>
      </c>
      <c r="Q429" s="249">
        <v>0</v>
      </c>
      <c r="R429" s="407">
        <v>0</v>
      </c>
      <c r="S429" s="249">
        <v>0</v>
      </c>
      <c r="T429" s="407">
        <v>0</v>
      </c>
      <c r="U429" s="130">
        <v>0</v>
      </c>
      <c r="V429" s="407">
        <v>0</v>
      </c>
      <c r="W429" s="410">
        <v>1194</v>
      </c>
      <c r="X429" s="407">
        <f t="shared" si="393"/>
        <v>3801660.18</v>
      </c>
      <c r="Y429" s="410">
        <v>0</v>
      </c>
      <c r="Z429" s="410">
        <v>0</v>
      </c>
      <c r="AA429" s="410">
        <v>0</v>
      </c>
      <c r="AB429" s="410">
        <v>0</v>
      </c>
      <c r="AC429" s="410">
        <v>0</v>
      </c>
      <c r="AD429" s="410">
        <v>0</v>
      </c>
      <c r="AE429" s="410">
        <v>0</v>
      </c>
      <c r="AF429" s="410">
        <v>0</v>
      </c>
      <c r="AG429" s="410">
        <v>0</v>
      </c>
      <c r="AH429" s="410">
        <v>0</v>
      </c>
      <c r="AI429" s="410">
        <v>0</v>
      </c>
      <c r="AJ429" s="410">
        <f t="shared" si="394"/>
        <v>119423.88</v>
      </c>
      <c r="AK429" s="410">
        <f t="shared" si="395"/>
        <v>59711.94</v>
      </c>
      <c r="AL429" s="410">
        <v>0</v>
      </c>
      <c r="AM429" s="446"/>
      <c r="AN429" s="446"/>
      <c r="AP429" s="486" t="e">
        <f t="shared" si="396"/>
        <v>#DIV/0!</v>
      </c>
      <c r="AQ429" s="486" t="e">
        <f t="shared" si="398"/>
        <v>#DIV/0!</v>
      </c>
      <c r="AR429" s="486" t="e">
        <f t="shared" si="399"/>
        <v>#DIV/0!</v>
      </c>
      <c r="AS429" s="486" t="e">
        <f t="shared" si="400"/>
        <v>#DIV/0!</v>
      </c>
      <c r="AT429" s="486" t="e">
        <f t="shared" si="401"/>
        <v>#DIV/0!</v>
      </c>
      <c r="AU429" s="486" t="e">
        <f t="shared" si="402"/>
        <v>#DIV/0!</v>
      </c>
      <c r="AV429" s="486" t="e">
        <f t="shared" si="403"/>
        <v>#DIV/0!</v>
      </c>
      <c r="AW429" s="486">
        <f t="shared" si="404"/>
        <v>3183.9700000000003</v>
      </c>
      <c r="AX429" s="486" t="e">
        <f t="shared" si="405"/>
        <v>#DIV/0!</v>
      </c>
      <c r="AY429" s="486" t="e">
        <f t="shared" si="406"/>
        <v>#DIV/0!</v>
      </c>
      <c r="AZ429" s="486" t="e">
        <f t="shared" si="407"/>
        <v>#DIV/0!</v>
      </c>
      <c r="BA429" s="486">
        <f t="shared" si="397"/>
        <v>0</v>
      </c>
      <c r="BB429" s="494">
        <v>5155.41</v>
      </c>
      <c r="BC429" s="494">
        <v>2070.12</v>
      </c>
      <c r="BD429" s="494">
        <v>848.92</v>
      </c>
      <c r="BE429" s="494">
        <v>819.73</v>
      </c>
      <c r="BF429" s="494">
        <v>611.5</v>
      </c>
      <c r="BG429" s="494">
        <v>1080.04</v>
      </c>
      <c r="BH429" s="494">
        <v>2671800.0099999998</v>
      </c>
      <c r="BI429" s="494">
        <f t="shared" si="420"/>
        <v>4607.6000000000004</v>
      </c>
      <c r="BJ429" s="494">
        <v>14289.54</v>
      </c>
      <c r="BK429" s="494">
        <v>3389.61</v>
      </c>
      <c r="BL429" s="494">
        <v>5995.76</v>
      </c>
      <c r="BM429" s="494">
        <v>548.62</v>
      </c>
      <c r="BN429" s="495" t="e">
        <f t="shared" si="408"/>
        <v>#DIV/0!</v>
      </c>
      <c r="BO429" s="495" t="e">
        <f t="shared" si="409"/>
        <v>#DIV/0!</v>
      </c>
      <c r="BP429" s="495" t="e">
        <f t="shared" si="410"/>
        <v>#DIV/0!</v>
      </c>
      <c r="BQ429" s="495" t="e">
        <f t="shared" si="411"/>
        <v>#DIV/0!</v>
      </c>
      <c r="BR429" s="495" t="e">
        <f t="shared" si="412"/>
        <v>#DIV/0!</v>
      </c>
      <c r="BS429" s="495" t="e">
        <f t="shared" si="413"/>
        <v>#DIV/0!</v>
      </c>
      <c r="BT429" s="495" t="e">
        <f t="shared" si="414"/>
        <v>#DIV/0!</v>
      </c>
      <c r="BU429" s="495" t="str">
        <f t="shared" si="415"/>
        <v xml:space="preserve"> </v>
      </c>
      <c r="BV429" s="495" t="e">
        <f t="shared" si="416"/>
        <v>#DIV/0!</v>
      </c>
      <c r="BW429" s="495" t="e">
        <f t="shared" si="417"/>
        <v>#DIV/0!</v>
      </c>
      <c r="BX429" s="495" t="e">
        <f t="shared" si="418"/>
        <v>#DIV/0!</v>
      </c>
      <c r="BY429" s="495" t="str">
        <f t="shared" si="419"/>
        <v xml:space="preserve"> </v>
      </c>
    </row>
    <row r="430" spans="1:77" s="28" customFormat="1" ht="9" customHeight="1">
      <c r="A430" s="406">
        <v>70</v>
      </c>
      <c r="B430" s="206" t="s">
        <v>692</v>
      </c>
      <c r="C430" s="376">
        <v>1900.6</v>
      </c>
      <c r="D430" s="376"/>
      <c r="E430" s="413" t="s">
        <v>1005</v>
      </c>
      <c r="F430" s="413"/>
      <c r="G430" s="413"/>
      <c r="H430" s="211">
        <v>2353804</v>
      </c>
      <c r="I430" s="407">
        <f t="shared" si="392"/>
        <v>0</v>
      </c>
      <c r="J430" s="217">
        <v>0</v>
      </c>
      <c r="K430" s="469">
        <v>0</v>
      </c>
      <c r="L430" s="217">
        <v>0</v>
      </c>
      <c r="M430" s="469">
        <v>0</v>
      </c>
      <c r="N430" s="217">
        <v>0</v>
      </c>
      <c r="O430" s="249">
        <v>0</v>
      </c>
      <c r="P430" s="407">
        <v>0</v>
      </c>
      <c r="Q430" s="249">
        <v>0</v>
      </c>
      <c r="R430" s="407">
        <v>0</v>
      </c>
      <c r="S430" s="249">
        <v>0</v>
      </c>
      <c r="T430" s="407">
        <v>0</v>
      </c>
      <c r="U430" s="130">
        <v>0</v>
      </c>
      <c r="V430" s="407">
        <v>0</v>
      </c>
      <c r="W430" s="410">
        <v>706</v>
      </c>
      <c r="X430" s="407">
        <f t="shared" si="393"/>
        <v>2247882.8199999998</v>
      </c>
      <c r="Y430" s="410">
        <v>0</v>
      </c>
      <c r="Z430" s="410">
        <v>0</v>
      </c>
      <c r="AA430" s="410">
        <v>0</v>
      </c>
      <c r="AB430" s="410">
        <v>0</v>
      </c>
      <c r="AC430" s="410">
        <v>0</v>
      </c>
      <c r="AD430" s="410">
        <v>0</v>
      </c>
      <c r="AE430" s="410">
        <v>0</v>
      </c>
      <c r="AF430" s="410">
        <v>0</v>
      </c>
      <c r="AG430" s="410">
        <v>0</v>
      </c>
      <c r="AH430" s="410">
        <v>0</v>
      </c>
      <c r="AI430" s="410">
        <v>0</v>
      </c>
      <c r="AJ430" s="410">
        <f t="shared" si="394"/>
        <v>70614.12</v>
      </c>
      <c r="AK430" s="410">
        <f t="shared" si="395"/>
        <v>35307.06</v>
      </c>
      <c r="AL430" s="410">
        <v>0</v>
      </c>
      <c r="AM430" s="446"/>
      <c r="AN430" s="446"/>
      <c r="AP430" s="486" t="e">
        <f t="shared" si="396"/>
        <v>#DIV/0!</v>
      </c>
      <c r="AQ430" s="486" t="e">
        <f t="shared" si="398"/>
        <v>#DIV/0!</v>
      </c>
      <c r="AR430" s="486" t="e">
        <f t="shared" si="399"/>
        <v>#DIV/0!</v>
      </c>
      <c r="AS430" s="486" t="e">
        <f t="shared" si="400"/>
        <v>#DIV/0!</v>
      </c>
      <c r="AT430" s="486" t="e">
        <f t="shared" si="401"/>
        <v>#DIV/0!</v>
      </c>
      <c r="AU430" s="486" t="e">
        <f t="shared" si="402"/>
        <v>#DIV/0!</v>
      </c>
      <c r="AV430" s="486" t="e">
        <f t="shared" si="403"/>
        <v>#DIV/0!</v>
      </c>
      <c r="AW430" s="486">
        <f t="shared" si="404"/>
        <v>3183.97</v>
      </c>
      <c r="AX430" s="486" t="e">
        <f t="shared" si="405"/>
        <v>#DIV/0!</v>
      </c>
      <c r="AY430" s="486" t="e">
        <f t="shared" si="406"/>
        <v>#DIV/0!</v>
      </c>
      <c r="AZ430" s="486" t="e">
        <f t="shared" si="407"/>
        <v>#DIV/0!</v>
      </c>
      <c r="BA430" s="486">
        <f t="shared" si="397"/>
        <v>0</v>
      </c>
      <c r="BB430" s="494">
        <v>5155.41</v>
      </c>
      <c r="BC430" s="494">
        <v>2070.12</v>
      </c>
      <c r="BD430" s="494">
        <v>848.92</v>
      </c>
      <c r="BE430" s="494">
        <v>819.73</v>
      </c>
      <c r="BF430" s="494">
        <v>611.5</v>
      </c>
      <c r="BG430" s="494">
        <v>1080.04</v>
      </c>
      <c r="BH430" s="494">
        <v>2671800.0099999998</v>
      </c>
      <c r="BI430" s="494">
        <f t="shared" si="420"/>
        <v>4607.6000000000004</v>
      </c>
      <c r="BJ430" s="494">
        <v>14289.54</v>
      </c>
      <c r="BK430" s="494">
        <v>3389.61</v>
      </c>
      <c r="BL430" s="494">
        <v>5995.76</v>
      </c>
      <c r="BM430" s="494">
        <v>548.62</v>
      </c>
      <c r="BN430" s="495" t="e">
        <f t="shared" si="408"/>
        <v>#DIV/0!</v>
      </c>
      <c r="BO430" s="495" t="e">
        <f t="shared" si="409"/>
        <v>#DIV/0!</v>
      </c>
      <c r="BP430" s="495" t="e">
        <f t="shared" si="410"/>
        <v>#DIV/0!</v>
      </c>
      <c r="BQ430" s="495" t="e">
        <f t="shared" si="411"/>
        <v>#DIV/0!</v>
      </c>
      <c r="BR430" s="495" t="e">
        <f t="shared" si="412"/>
        <v>#DIV/0!</v>
      </c>
      <c r="BS430" s="495" t="e">
        <f t="shared" si="413"/>
        <v>#DIV/0!</v>
      </c>
      <c r="BT430" s="495" t="e">
        <f t="shared" si="414"/>
        <v>#DIV/0!</v>
      </c>
      <c r="BU430" s="495" t="str">
        <f t="shared" si="415"/>
        <v xml:space="preserve"> </v>
      </c>
      <c r="BV430" s="495" t="e">
        <f t="shared" si="416"/>
        <v>#DIV/0!</v>
      </c>
      <c r="BW430" s="495" t="e">
        <f t="shared" si="417"/>
        <v>#DIV/0!</v>
      </c>
      <c r="BX430" s="495" t="e">
        <f t="shared" si="418"/>
        <v>#DIV/0!</v>
      </c>
      <c r="BY430" s="495" t="str">
        <f t="shared" si="419"/>
        <v xml:space="preserve"> </v>
      </c>
    </row>
    <row r="431" spans="1:77" s="28" customFormat="1" ht="9" customHeight="1">
      <c r="A431" s="406">
        <v>71</v>
      </c>
      <c r="B431" s="206" t="s">
        <v>693</v>
      </c>
      <c r="C431" s="376">
        <v>6141.9</v>
      </c>
      <c r="D431" s="376"/>
      <c r="E431" s="413" t="s">
        <v>1005</v>
      </c>
      <c r="F431" s="413"/>
      <c r="G431" s="413"/>
      <c r="H431" s="211">
        <v>6127892</v>
      </c>
      <c r="I431" s="407">
        <f t="shared" si="392"/>
        <v>0</v>
      </c>
      <c r="J431" s="217">
        <v>0</v>
      </c>
      <c r="K431" s="469">
        <v>0</v>
      </c>
      <c r="L431" s="217">
        <v>0</v>
      </c>
      <c r="M431" s="469">
        <v>0</v>
      </c>
      <c r="N431" s="217">
        <v>0</v>
      </c>
      <c r="O431" s="249">
        <v>0</v>
      </c>
      <c r="P431" s="407">
        <v>0</v>
      </c>
      <c r="Q431" s="249">
        <v>0</v>
      </c>
      <c r="R431" s="407">
        <v>0</v>
      </c>
      <c r="S431" s="249">
        <v>0</v>
      </c>
      <c r="T431" s="407">
        <v>0</v>
      </c>
      <c r="U431" s="130">
        <v>0</v>
      </c>
      <c r="V431" s="407">
        <v>0</v>
      </c>
      <c r="W431" s="410">
        <v>1838</v>
      </c>
      <c r="X431" s="407">
        <f t="shared" si="393"/>
        <v>5852136.8600000003</v>
      </c>
      <c r="Y431" s="410">
        <v>0</v>
      </c>
      <c r="Z431" s="410">
        <v>0</v>
      </c>
      <c r="AA431" s="410">
        <v>0</v>
      </c>
      <c r="AB431" s="410">
        <v>0</v>
      </c>
      <c r="AC431" s="410">
        <v>0</v>
      </c>
      <c r="AD431" s="410">
        <v>0</v>
      </c>
      <c r="AE431" s="410">
        <v>0</v>
      </c>
      <c r="AF431" s="410">
        <v>0</v>
      </c>
      <c r="AG431" s="410">
        <v>0</v>
      </c>
      <c r="AH431" s="410">
        <v>0</v>
      </c>
      <c r="AI431" s="410">
        <v>0</v>
      </c>
      <c r="AJ431" s="410">
        <f t="shared" si="394"/>
        <v>183836.76</v>
      </c>
      <c r="AK431" s="410">
        <f t="shared" si="395"/>
        <v>91918.38</v>
      </c>
      <c r="AL431" s="410">
        <v>0</v>
      </c>
      <c r="AM431" s="446"/>
      <c r="AN431" s="446"/>
      <c r="AP431" s="486" t="e">
        <f t="shared" si="396"/>
        <v>#DIV/0!</v>
      </c>
      <c r="AQ431" s="486" t="e">
        <f t="shared" si="398"/>
        <v>#DIV/0!</v>
      </c>
      <c r="AR431" s="486" t="e">
        <f t="shared" si="399"/>
        <v>#DIV/0!</v>
      </c>
      <c r="AS431" s="486" t="e">
        <f t="shared" si="400"/>
        <v>#DIV/0!</v>
      </c>
      <c r="AT431" s="486" t="e">
        <f t="shared" si="401"/>
        <v>#DIV/0!</v>
      </c>
      <c r="AU431" s="486" t="e">
        <f t="shared" si="402"/>
        <v>#DIV/0!</v>
      </c>
      <c r="AV431" s="486" t="e">
        <f t="shared" si="403"/>
        <v>#DIV/0!</v>
      </c>
      <c r="AW431" s="486">
        <f t="shared" si="404"/>
        <v>3183.9700000000003</v>
      </c>
      <c r="AX431" s="486" t="e">
        <f t="shared" si="405"/>
        <v>#DIV/0!</v>
      </c>
      <c r="AY431" s="486" t="e">
        <f t="shared" si="406"/>
        <v>#DIV/0!</v>
      </c>
      <c r="AZ431" s="486" t="e">
        <f t="shared" si="407"/>
        <v>#DIV/0!</v>
      </c>
      <c r="BA431" s="486">
        <f t="shared" si="397"/>
        <v>0</v>
      </c>
      <c r="BB431" s="494">
        <v>5155.41</v>
      </c>
      <c r="BC431" s="494">
        <v>2070.12</v>
      </c>
      <c r="BD431" s="494">
        <v>848.92</v>
      </c>
      <c r="BE431" s="494">
        <v>819.73</v>
      </c>
      <c r="BF431" s="494">
        <v>611.5</v>
      </c>
      <c r="BG431" s="494">
        <v>1080.04</v>
      </c>
      <c r="BH431" s="494">
        <v>2671800.0099999998</v>
      </c>
      <c r="BI431" s="494">
        <f t="shared" si="420"/>
        <v>4607.6000000000004</v>
      </c>
      <c r="BJ431" s="494">
        <v>14289.54</v>
      </c>
      <c r="BK431" s="494">
        <v>3389.61</v>
      </c>
      <c r="BL431" s="494">
        <v>5995.76</v>
      </c>
      <c r="BM431" s="494">
        <v>548.62</v>
      </c>
      <c r="BN431" s="495" t="e">
        <f t="shared" si="408"/>
        <v>#DIV/0!</v>
      </c>
      <c r="BO431" s="495" t="e">
        <f t="shared" si="409"/>
        <v>#DIV/0!</v>
      </c>
      <c r="BP431" s="495" t="e">
        <f t="shared" si="410"/>
        <v>#DIV/0!</v>
      </c>
      <c r="BQ431" s="495" t="e">
        <f t="shared" si="411"/>
        <v>#DIV/0!</v>
      </c>
      <c r="BR431" s="495" t="e">
        <f t="shared" si="412"/>
        <v>#DIV/0!</v>
      </c>
      <c r="BS431" s="495" t="e">
        <f t="shared" si="413"/>
        <v>#DIV/0!</v>
      </c>
      <c r="BT431" s="495" t="e">
        <f t="shared" si="414"/>
        <v>#DIV/0!</v>
      </c>
      <c r="BU431" s="495" t="str">
        <f t="shared" si="415"/>
        <v xml:space="preserve"> </v>
      </c>
      <c r="BV431" s="495" t="e">
        <f t="shared" si="416"/>
        <v>#DIV/0!</v>
      </c>
      <c r="BW431" s="495" t="e">
        <f t="shared" si="417"/>
        <v>#DIV/0!</v>
      </c>
      <c r="BX431" s="495" t="e">
        <f t="shared" si="418"/>
        <v>#DIV/0!</v>
      </c>
      <c r="BY431" s="495" t="str">
        <f t="shared" si="419"/>
        <v xml:space="preserve"> </v>
      </c>
    </row>
    <row r="432" spans="1:77" s="28" customFormat="1" ht="9" customHeight="1">
      <c r="A432" s="406">
        <v>72</v>
      </c>
      <c r="B432" s="206" t="s">
        <v>694</v>
      </c>
      <c r="C432" s="376">
        <v>2019</v>
      </c>
      <c r="D432" s="376"/>
      <c r="E432" s="413" t="s">
        <v>1005</v>
      </c>
      <c r="F432" s="413"/>
      <c r="G432" s="413"/>
      <c r="H432" s="211">
        <v>2240448</v>
      </c>
      <c r="I432" s="407">
        <f t="shared" si="392"/>
        <v>0</v>
      </c>
      <c r="J432" s="217">
        <v>0</v>
      </c>
      <c r="K432" s="469">
        <v>0</v>
      </c>
      <c r="L432" s="217">
        <v>0</v>
      </c>
      <c r="M432" s="469">
        <v>0</v>
      </c>
      <c r="N432" s="217">
        <v>0</v>
      </c>
      <c r="O432" s="249">
        <v>0</v>
      </c>
      <c r="P432" s="407">
        <v>0</v>
      </c>
      <c r="Q432" s="249">
        <v>0</v>
      </c>
      <c r="R432" s="407">
        <v>0</v>
      </c>
      <c r="S432" s="249">
        <v>0</v>
      </c>
      <c r="T432" s="407">
        <v>0</v>
      </c>
      <c r="U432" s="130">
        <v>0</v>
      </c>
      <c r="V432" s="407">
        <v>0</v>
      </c>
      <c r="W432" s="410">
        <v>672</v>
      </c>
      <c r="X432" s="407">
        <f t="shared" si="393"/>
        <v>2139627.84</v>
      </c>
      <c r="Y432" s="410">
        <v>0</v>
      </c>
      <c r="Z432" s="410">
        <v>0</v>
      </c>
      <c r="AA432" s="410">
        <v>0</v>
      </c>
      <c r="AB432" s="410">
        <v>0</v>
      </c>
      <c r="AC432" s="410">
        <v>0</v>
      </c>
      <c r="AD432" s="410">
        <v>0</v>
      </c>
      <c r="AE432" s="410">
        <v>0</v>
      </c>
      <c r="AF432" s="410">
        <v>0</v>
      </c>
      <c r="AG432" s="410">
        <v>0</v>
      </c>
      <c r="AH432" s="410">
        <v>0</v>
      </c>
      <c r="AI432" s="410">
        <v>0</v>
      </c>
      <c r="AJ432" s="410">
        <f t="shared" si="394"/>
        <v>67213.440000000002</v>
      </c>
      <c r="AK432" s="410">
        <f t="shared" si="395"/>
        <v>33606.720000000001</v>
      </c>
      <c r="AL432" s="410">
        <v>0</v>
      </c>
      <c r="AM432" s="446"/>
      <c r="AN432" s="446"/>
      <c r="AP432" s="486" t="e">
        <f t="shared" si="396"/>
        <v>#DIV/0!</v>
      </c>
      <c r="AQ432" s="486" t="e">
        <f t="shared" si="398"/>
        <v>#DIV/0!</v>
      </c>
      <c r="AR432" s="486" t="e">
        <f t="shared" si="399"/>
        <v>#DIV/0!</v>
      </c>
      <c r="AS432" s="486" t="e">
        <f t="shared" si="400"/>
        <v>#DIV/0!</v>
      </c>
      <c r="AT432" s="486" t="e">
        <f t="shared" si="401"/>
        <v>#DIV/0!</v>
      </c>
      <c r="AU432" s="486" t="e">
        <f t="shared" si="402"/>
        <v>#DIV/0!</v>
      </c>
      <c r="AV432" s="486" t="e">
        <f t="shared" si="403"/>
        <v>#DIV/0!</v>
      </c>
      <c r="AW432" s="486">
        <f t="shared" si="404"/>
        <v>3183.97</v>
      </c>
      <c r="AX432" s="486" t="e">
        <f t="shared" si="405"/>
        <v>#DIV/0!</v>
      </c>
      <c r="AY432" s="486" t="e">
        <f t="shared" si="406"/>
        <v>#DIV/0!</v>
      </c>
      <c r="AZ432" s="486" t="e">
        <f t="shared" si="407"/>
        <v>#DIV/0!</v>
      </c>
      <c r="BA432" s="486">
        <f t="shared" si="397"/>
        <v>0</v>
      </c>
      <c r="BB432" s="494">
        <v>5155.41</v>
      </c>
      <c r="BC432" s="494">
        <v>2070.12</v>
      </c>
      <c r="BD432" s="494">
        <v>848.92</v>
      </c>
      <c r="BE432" s="494">
        <v>819.73</v>
      </c>
      <c r="BF432" s="494">
        <v>611.5</v>
      </c>
      <c r="BG432" s="494">
        <v>1080.04</v>
      </c>
      <c r="BH432" s="494">
        <v>2671800.0099999998</v>
      </c>
      <c r="BI432" s="494">
        <f t="shared" si="420"/>
        <v>4607.6000000000004</v>
      </c>
      <c r="BJ432" s="494">
        <v>14289.54</v>
      </c>
      <c r="BK432" s="494">
        <v>3389.61</v>
      </c>
      <c r="BL432" s="494">
        <v>5995.76</v>
      </c>
      <c r="BM432" s="494">
        <v>548.62</v>
      </c>
      <c r="BN432" s="495" t="e">
        <f t="shared" si="408"/>
        <v>#DIV/0!</v>
      </c>
      <c r="BO432" s="495" t="e">
        <f t="shared" si="409"/>
        <v>#DIV/0!</v>
      </c>
      <c r="BP432" s="495" t="e">
        <f t="shared" si="410"/>
        <v>#DIV/0!</v>
      </c>
      <c r="BQ432" s="495" t="e">
        <f t="shared" si="411"/>
        <v>#DIV/0!</v>
      </c>
      <c r="BR432" s="495" t="e">
        <f t="shared" si="412"/>
        <v>#DIV/0!</v>
      </c>
      <c r="BS432" s="495" t="e">
        <f t="shared" si="413"/>
        <v>#DIV/0!</v>
      </c>
      <c r="BT432" s="495" t="e">
        <f t="shared" si="414"/>
        <v>#DIV/0!</v>
      </c>
      <c r="BU432" s="495" t="str">
        <f t="shared" si="415"/>
        <v xml:space="preserve"> </v>
      </c>
      <c r="BV432" s="495" t="e">
        <f t="shared" si="416"/>
        <v>#DIV/0!</v>
      </c>
      <c r="BW432" s="495" t="e">
        <f t="shared" si="417"/>
        <v>#DIV/0!</v>
      </c>
      <c r="BX432" s="495" t="e">
        <f t="shared" si="418"/>
        <v>#DIV/0!</v>
      </c>
      <c r="BY432" s="495" t="str">
        <f t="shared" si="419"/>
        <v xml:space="preserve"> </v>
      </c>
    </row>
    <row r="433" spans="1:77" s="28" customFormat="1" ht="9" customHeight="1">
      <c r="A433" s="406">
        <v>73</v>
      </c>
      <c r="B433" s="206" t="s">
        <v>695</v>
      </c>
      <c r="C433" s="376">
        <v>3119.8</v>
      </c>
      <c r="D433" s="376"/>
      <c r="E433" s="413" t="s">
        <v>1006</v>
      </c>
      <c r="F433" s="413"/>
      <c r="G433" s="413"/>
      <c r="H433" s="211">
        <v>3580038</v>
      </c>
      <c r="I433" s="407">
        <f t="shared" si="392"/>
        <v>0</v>
      </c>
      <c r="J433" s="217">
        <v>0</v>
      </c>
      <c r="K433" s="469">
        <v>0</v>
      </c>
      <c r="L433" s="217">
        <v>0</v>
      </c>
      <c r="M433" s="469">
        <v>0</v>
      </c>
      <c r="N433" s="217">
        <v>0</v>
      </c>
      <c r="O433" s="249">
        <v>0</v>
      </c>
      <c r="P433" s="407">
        <v>0</v>
      </c>
      <c r="Q433" s="249">
        <v>0</v>
      </c>
      <c r="R433" s="407">
        <v>0</v>
      </c>
      <c r="S433" s="249">
        <v>0</v>
      </c>
      <c r="T433" s="407">
        <v>0</v>
      </c>
      <c r="U433" s="130">
        <v>0</v>
      </c>
      <c r="V433" s="407">
        <v>0</v>
      </c>
      <c r="W433" s="410">
        <v>1107</v>
      </c>
      <c r="X433" s="407">
        <f t="shared" si="393"/>
        <v>3418936.29</v>
      </c>
      <c r="Y433" s="410">
        <v>0</v>
      </c>
      <c r="Z433" s="410">
        <v>0</v>
      </c>
      <c r="AA433" s="410">
        <v>0</v>
      </c>
      <c r="AB433" s="410">
        <v>0</v>
      </c>
      <c r="AC433" s="410">
        <v>0</v>
      </c>
      <c r="AD433" s="410">
        <v>0</v>
      </c>
      <c r="AE433" s="410">
        <v>0</v>
      </c>
      <c r="AF433" s="410">
        <v>0</v>
      </c>
      <c r="AG433" s="410">
        <v>0</v>
      </c>
      <c r="AH433" s="410">
        <v>0</v>
      </c>
      <c r="AI433" s="410">
        <v>0</v>
      </c>
      <c r="AJ433" s="410">
        <f t="shared" si="394"/>
        <v>107401.14</v>
      </c>
      <c r="AK433" s="410">
        <f t="shared" si="395"/>
        <v>53700.57</v>
      </c>
      <c r="AL433" s="410">
        <v>0</v>
      </c>
      <c r="AM433" s="446"/>
      <c r="AN433" s="446"/>
      <c r="AP433" s="486" t="e">
        <f t="shared" si="396"/>
        <v>#DIV/0!</v>
      </c>
      <c r="AQ433" s="486" t="e">
        <f t="shared" si="398"/>
        <v>#DIV/0!</v>
      </c>
      <c r="AR433" s="486" t="e">
        <f t="shared" si="399"/>
        <v>#DIV/0!</v>
      </c>
      <c r="AS433" s="486" t="e">
        <f t="shared" si="400"/>
        <v>#DIV/0!</v>
      </c>
      <c r="AT433" s="486" t="e">
        <f t="shared" si="401"/>
        <v>#DIV/0!</v>
      </c>
      <c r="AU433" s="486" t="e">
        <f t="shared" si="402"/>
        <v>#DIV/0!</v>
      </c>
      <c r="AV433" s="486" t="e">
        <f t="shared" si="403"/>
        <v>#DIV/0!</v>
      </c>
      <c r="AW433" s="486">
        <f t="shared" si="404"/>
        <v>3088.4700000000003</v>
      </c>
      <c r="AX433" s="486" t="e">
        <f t="shared" si="405"/>
        <v>#DIV/0!</v>
      </c>
      <c r="AY433" s="486" t="e">
        <f t="shared" si="406"/>
        <v>#DIV/0!</v>
      </c>
      <c r="AZ433" s="486" t="e">
        <f t="shared" si="407"/>
        <v>#DIV/0!</v>
      </c>
      <c r="BA433" s="486">
        <f t="shared" si="397"/>
        <v>0</v>
      </c>
      <c r="BB433" s="494">
        <v>5155.41</v>
      </c>
      <c r="BC433" s="494">
        <v>2070.12</v>
      </c>
      <c r="BD433" s="494">
        <v>848.92</v>
      </c>
      <c r="BE433" s="494">
        <v>819.73</v>
      </c>
      <c r="BF433" s="494">
        <v>611.5</v>
      </c>
      <c r="BG433" s="494">
        <v>1080.04</v>
      </c>
      <c r="BH433" s="494">
        <v>2671800.0099999998</v>
      </c>
      <c r="BI433" s="494">
        <f t="shared" si="420"/>
        <v>4422.8500000000004</v>
      </c>
      <c r="BJ433" s="494">
        <v>14289.54</v>
      </c>
      <c r="BK433" s="494">
        <v>3389.61</v>
      </c>
      <c r="BL433" s="494">
        <v>5995.76</v>
      </c>
      <c r="BM433" s="494">
        <v>548.62</v>
      </c>
      <c r="BN433" s="495" t="e">
        <f t="shared" si="408"/>
        <v>#DIV/0!</v>
      </c>
      <c r="BO433" s="495" t="e">
        <f t="shared" si="409"/>
        <v>#DIV/0!</v>
      </c>
      <c r="BP433" s="495" t="e">
        <f t="shared" si="410"/>
        <v>#DIV/0!</v>
      </c>
      <c r="BQ433" s="495" t="e">
        <f t="shared" si="411"/>
        <v>#DIV/0!</v>
      </c>
      <c r="BR433" s="495" t="e">
        <f t="shared" si="412"/>
        <v>#DIV/0!</v>
      </c>
      <c r="BS433" s="495" t="e">
        <f t="shared" si="413"/>
        <v>#DIV/0!</v>
      </c>
      <c r="BT433" s="495" t="e">
        <f t="shared" si="414"/>
        <v>#DIV/0!</v>
      </c>
      <c r="BU433" s="495" t="str">
        <f t="shared" si="415"/>
        <v xml:space="preserve"> </v>
      </c>
      <c r="BV433" s="495" t="e">
        <f t="shared" si="416"/>
        <v>#DIV/0!</v>
      </c>
      <c r="BW433" s="495" t="e">
        <f t="shared" si="417"/>
        <v>#DIV/0!</v>
      </c>
      <c r="BX433" s="495" t="e">
        <f t="shared" si="418"/>
        <v>#DIV/0!</v>
      </c>
      <c r="BY433" s="495" t="str">
        <f t="shared" si="419"/>
        <v xml:space="preserve"> </v>
      </c>
    </row>
    <row r="434" spans="1:77" s="28" customFormat="1" ht="9" customHeight="1">
      <c r="A434" s="406">
        <v>74</v>
      </c>
      <c r="B434" s="206" t="s">
        <v>696</v>
      </c>
      <c r="C434" s="376">
        <v>3322.6</v>
      </c>
      <c r="D434" s="376"/>
      <c r="E434" s="413" t="s">
        <v>1005</v>
      </c>
      <c r="F434" s="413"/>
      <c r="G434" s="413"/>
      <c r="H434" s="211">
        <v>3197306</v>
      </c>
      <c r="I434" s="407">
        <f t="shared" ref="I434:I491" si="421">J434+L434+N434+P434+R434+T434</f>
        <v>0</v>
      </c>
      <c r="J434" s="217">
        <v>0</v>
      </c>
      <c r="K434" s="469">
        <v>0</v>
      </c>
      <c r="L434" s="217">
        <v>0</v>
      </c>
      <c r="M434" s="469">
        <v>0</v>
      </c>
      <c r="N434" s="217">
        <v>0</v>
      </c>
      <c r="O434" s="249">
        <v>0</v>
      </c>
      <c r="P434" s="407">
        <v>0</v>
      </c>
      <c r="Q434" s="249">
        <v>0</v>
      </c>
      <c r="R434" s="407">
        <v>0</v>
      </c>
      <c r="S434" s="249">
        <v>0</v>
      </c>
      <c r="T434" s="407">
        <v>0</v>
      </c>
      <c r="U434" s="130">
        <v>0</v>
      </c>
      <c r="V434" s="407">
        <v>0</v>
      </c>
      <c r="W434" s="410">
        <v>959</v>
      </c>
      <c r="X434" s="407">
        <f t="shared" ref="X434:X491" si="422">ROUND(H434/100*95.5,2)</f>
        <v>3053427.23</v>
      </c>
      <c r="Y434" s="410">
        <v>0</v>
      </c>
      <c r="Z434" s="410">
        <v>0</v>
      </c>
      <c r="AA434" s="410">
        <v>0</v>
      </c>
      <c r="AB434" s="410">
        <v>0</v>
      </c>
      <c r="AC434" s="410">
        <v>0</v>
      </c>
      <c r="AD434" s="410">
        <v>0</v>
      </c>
      <c r="AE434" s="410">
        <v>0</v>
      </c>
      <c r="AF434" s="410">
        <v>0</v>
      </c>
      <c r="AG434" s="410">
        <v>0</v>
      </c>
      <c r="AH434" s="410">
        <v>0</v>
      </c>
      <c r="AI434" s="410">
        <v>0</v>
      </c>
      <c r="AJ434" s="410">
        <f t="shared" ref="AJ434:AJ491" si="423">ROUND(H434/100*3,2)</f>
        <v>95919.18</v>
      </c>
      <c r="AK434" s="410">
        <f t="shared" ref="AK434:AK491" si="424">ROUND(H434/100*1.5,2)</f>
        <v>47959.59</v>
      </c>
      <c r="AL434" s="410">
        <v>0</v>
      </c>
      <c r="AM434" s="446"/>
      <c r="AN434" s="446"/>
      <c r="AP434" s="486" t="e">
        <f t="shared" si="396"/>
        <v>#DIV/0!</v>
      </c>
      <c r="AQ434" s="486" t="e">
        <f t="shared" si="398"/>
        <v>#DIV/0!</v>
      </c>
      <c r="AR434" s="486" t="e">
        <f t="shared" si="399"/>
        <v>#DIV/0!</v>
      </c>
      <c r="AS434" s="486" t="e">
        <f t="shared" si="400"/>
        <v>#DIV/0!</v>
      </c>
      <c r="AT434" s="486" t="e">
        <f t="shared" si="401"/>
        <v>#DIV/0!</v>
      </c>
      <c r="AU434" s="486" t="e">
        <f t="shared" si="402"/>
        <v>#DIV/0!</v>
      </c>
      <c r="AV434" s="486" t="e">
        <f t="shared" si="403"/>
        <v>#DIV/0!</v>
      </c>
      <c r="AW434" s="486">
        <f t="shared" si="404"/>
        <v>3183.97</v>
      </c>
      <c r="AX434" s="486" t="e">
        <f t="shared" si="405"/>
        <v>#DIV/0!</v>
      </c>
      <c r="AY434" s="486" t="e">
        <f t="shared" si="406"/>
        <v>#DIV/0!</v>
      </c>
      <c r="AZ434" s="486" t="e">
        <f t="shared" si="407"/>
        <v>#DIV/0!</v>
      </c>
      <c r="BA434" s="486">
        <f t="shared" si="397"/>
        <v>0</v>
      </c>
      <c r="BB434" s="494">
        <v>5155.41</v>
      </c>
      <c r="BC434" s="494">
        <v>2070.12</v>
      </c>
      <c r="BD434" s="494">
        <v>848.92</v>
      </c>
      <c r="BE434" s="494">
        <v>819.73</v>
      </c>
      <c r="BF434" s="494">
        <v>611.5</v>
      </c>
      <c r="BG434" s="494">
        <v>1080.04</v>
      </c>
      <c r="BH434" s="494">
        <v>2671800.0099999998</v>
      </c>
      <c r="BI434" s="494">
        <f t="shared" si="420"/>
        <v>4607.6000000000004</v>
      </c>
      <c r="BJ434" s="494">
        <v>14289.54</v>
      </c>
      <c r="BK434" s="494">
        <v>3389.61</v>
      </c>
      <c r="BL434" s="494">
        <v>5995.76</v>
      </c>
      <c r="BM434" s="494">
        <v>548.62</v>
      </c>
      <c r="BN434" s="495" t="e">
        <f t="shared" si="408"/>
        <v>#DIV/0!</v>
      </c>
      <c r="BO434" s="495" t="e">
        <f t="shared" si="409"/>
        <v>#DIV/0!</v>
      </c>
      <c r="BP434" s="495" t="e">
        <f t="shared" si="410"/>
        <v>#DIV/0!</v>
      </c>
      <c r="BQ434" s="495" t="e">
        <f t="shared" si="411"/>
        <v>#DIV/0!</v>
      </c>
      <c r="BR434" s="495" t="e">
        <f t="shared" si="412"/>
        <v>#DIV/0!</v>
      </c>
      <c r="BS434" s="495" t="e">
        <f t="shared" si="413"/>
        <v>#DIV/0!</v>
      </c>
      <c r="BT434" s="495" t="e">
        <f t="shared" si="414"/>
        <v>#DIV/0!</v>
      </c>
      <c r="BU434" s="495" t="str">
        <f t="shared" si="415"/>
        <v xml:space="preserve"> </v>
      </c>
      <c r="BV434" s="495" t="e">
        <f t="shared" si="416"/>
        <v>#DIV/0!</v>
      </c>
      <c r="BW434" s="495" t="e">
        <f t="shared" si="417"/>
        <v>#DIV/0!</v>
      </c>
      <c r="BX434" s="495" t="e">
        <f t="shared" si="418"/>
        <v>#DIV/0!</v>
      </c>
      <c r="BY434" s="495" t="str">
        <f t="shared" si="419"/>
        <v xml:space="preserve"> </v>
      </c>
    </row>
    <row r="435" spans="1:77" s="28" customFormat="1" ht="9" customHeight="1">
      <c r="A435" s="406">
        <v>75</v>
      </c>
      <c r="B435" s="206" t="s">
        <v>697</v>
      </c>
      <c r="C435" s="376">
        <v>3366.3</v>
      </c>
      <c r="D435" s="376"/>
      <c r="E435" s="413" t="s">
        <v>1005</v>
      </c>
      <c r="F435" s="413"/>
      <c r="G435" s="413"/>
      <c r="H435" s="211">
        <v>3187304</v>
      </c>
      <c r="I435" s="407">
        <f t="shared" si="421"/>
        <v>0</v>
      </c>
      <c r="J435" s="217">
        <v>0</v>
      </c>
      <c r="K435" s="469">
        <v>0</v>
      </c>
      <c r="L435" s="217">
        <v>0</v>
      </c>
      <c r="M435" s="469">
        <v>0</v>
      </c>
      <c r="N435" s="217">
        <v>0</v>
      </c>
      <c r="O435" s="249">
        <v>0</v>
      </c>
      <c r="P435" s="407">
        <v>0</v>
      </c>
      <c r="Q435" s="249">
        <v>0</v>
      </c>
      <c r="R435" s="407">
        <v>0</v>
      </c>
      <c r="S435" s="249">
        <v>0</v>
      </c>
      <c r="T435" s="407">
        <v>0</v>
      </c>
      <c r="U435" s="130">
        <v>0</v>
      </c>
      <c r="V435" s="407">
        <v>0</v>
      </c>
      <c r="W435" s="410">
        <v>956</v>
      </c>
      <c r="X435" s="407">
        <f t="shared" si="422"/>
        <v>3043875.32</v>
      </c>
      <c r="Y435" s="410">
        <v>0</v>
      </c>
      <c r="Z435" s="410">
        <v>0</v>
      </c>
      <c r="AA435" s="410">
        <v>0</v>
      </c>
      <c r="AB435" s="410">
        <v>0</v>
      </c>
      <c r="AC435" s="410">
        <v>0</v>
      </c>
      <c r="AD435" s="410">
        <v>0</v>
      </c>
      <c r="AE435" s="410">
        <v>0</v>
      </c>
      <c r="AF435" s="410">
        <v>0</v>
      </c>
      <c r="AG435" s="410">
        <v>0</v>
      </c>
      <c r="AH435" s="410">
        <v>0</v>
      </c>
      <c r="AI435" s="410">
        <v>0</v>
      </c>
      <c r="AJ435" s="410">
        <f t="shared" si="423"/>
        <v>95619.12</v>
      </c>
      <c r="AK435" s="410">
        <f t="shared" si="424"/>
        <v>47809.56</v>
      </c>
      <c r="AL435" s="410">
        <v>0</v>
      </c>
      <c r="AM435" s="446"/>
      <c r="AN435" s="446"/>
      <c r="AP435" s="486" t="e">
        <f t="shared" si="396"/>
        <v>#DIV/0!</v>
      </c>
      <c r="AQ435" s="486" t="e">
        <f t="shared" si="398"/>
        <v>#DIV/0!</v>
      </c>
      <c r="AR435" s="486" t="e">
        <f t="shared" si="399"/>
        <v>#DIV/0!</v>
      </c>
      <c r="AS435" s="486" t="e">
        <f t="shared" si="400"/>
        <v>#DIV/0!</v>
      </c>
      <c r="AT435" s="486" t="e">
        <f t="shared" si="401"/>
        <v>#DIV/0!</v>
      </c>
      <c r="AU435" s="486" t="e">
        <f t="shared" si="402"/>
        <v>#DIV/0!</v>
      </c>
      <c r="AV435" s="486" t="e">
        <f t="shared" si="403"/>
        <v>#DIV/0!</v>
      </c>
      <c r="AW435" s="486">
        <f t="shared" si="404"/>
        <v>3183.97</v>
      </c>
      <c r="AX435" s="486" t="e">
        <f t="shared" si="405"/>
        <v>#DIV/0!</v>
      </c>
      <c r="AY435" s="486" t="e">
        <f t="shared" si="406"/>
        <v>#DIV/0!</v>
      </c>
      <c r="AZ435" s="486" t="e">
        <f t="shared" si="407"/>
        <v>#DIV/0!</v>
      </c>
      <c r="BA435" s="486">
        <f t="shared" si="397"/>
        <v>0</v>
      </c>
      <c r="BB435" s="494">
        <v>5155.41</v>
      </c>
      <c r="BC435" s="494">
        <v>2070.12</v>
      </c>
      <c r="BD435" s="494">
        <v>848.92</v>
      </c>
      <c r="BE435" s="494">
        <v>819.73</v>
      </c>
      <c r="BF435" s="494">
        <v>611.5</v>
      </c>
      <c r="BG435" s="494">
        <v>1080.04</v>
      </c>
      <c r="BH435" s="494">
        <v>2671800.0099999998</v>
      </c>
      <c r="BI435" s="494">
        <f t="shared" si="420"/>
        <v>4607.6000000000004</v>
      </c>
      <c r="BJ435" s="494">
        <v>14289.54</v>
      </c>
      <c r="BK435" s="494">
        <v>3389.61</v>
      </c>
      <c r="BL435" s="494">
        <v>5995.76</v>
      </c>
      <c r="BM435" s="494">
        <v>548.62</v>
      </c>
      <c r="BN435" s="495" t="e">
        <f t="shared" si="408"/>
        <v>#DIV/0!</v>
      </c>
      <c r="BO435" s="495" t="e">
        <f t="shared" si="409"/>
        <v>#DIV/0!</v>
      </c>
      <c r="BP435" s="495" t="e">
        <f t="shared" si="410"/>
        <v>#DIV/0!</v>
      </c>
      <c r="BQ435" s="495" t="e">
        <f t="shared" si="411"/>
        <v>#DIV/0!</v>
      </c>
      <c r="BR435" s="495" t="e">
        <f t="shared" si="412"/>
        <v>#DIV/0!</v>
      </c>
      <c r="BS435" s="495" t="e">
        <f t="shared" si="413"/>
        <v>#DIV/0!</v>
      </c>
      <c r="BT435" s="495" t="e">
        <f t="shared" si="414"/>
        <v>#DIV/0!</v>
      </c>
      <c r="BU435" s="495" t="str">
        <f t="shared" si="415"/>
        <v xml:space="preserve"> </v>
      </c>
      <c r="BV435" s="495" t="e">
        <f t="shared" si="416"/>
        <v>#DIV/0!</v>
      </c>
      <c r="BW435" s="495" t="e">
        <f t="shared" si="417"/>
        <v>#DIV/0!</v>
      </c>
      <c r="BX435" s="495" t="e">
        <f t="shared" si="418"/>
        <v>#DIV/0!</v>
      </c>
      <c r="BY435" s="495" t="str">
        <f t="shared" si="419"/>
        <v xml:space="preserve"> </v>
      </c>
    </row>
    <row r="436" spans="1:77" s="28" customFormat="1" ht="9" customHeight="1">
      <c r="A436" s="406">
        <v>76</v>
      </c>
      <c r="B436" s="206" t="s">
        <v>698</v>
      </c>
      <c r="C436" s="376">
        <v>5621.6</v>
      </c>
      <c r="D436" s="376"/>
      <c r="E436" s="413" t="s">
        <v>1005</v>
      </c>
      <c r="F436" s="413"/>
      <c r="G436" s="413"/>
      <c r="H436" s="211">
        <v>5317730</v>
      </c>
      <c r="I436" s="407">
        <f t="shared" si="421"/>
        <v>0</v>
      </c>
      <c r="J436" s="217">
        <v>0</v>
      </c>
      <c r="K436" s="469">
        <v>0</v>
      </c>
      <c r="L436" s="217">
        <v>0</v>
      </c>
      <c r="M436" s="469">
        <v>0</v>
      </c>
      <c r="N436" s="217">
        <v>0</v>
      </c>
      <c r="O436" s="249">
        <v>0</v>
      </c>
      <c r="P436" s="407">
        <v>0</v>
      </c>
      <c r="Q436" s="249">
        <v>0</v>
      </c>
      <c r="R436" s="407">
        <v>0</v>
      </c>
      <c r="S436" s="249">
        <v>0</v>
      </c>
      <c r="T436" s="407">
        <v>0</v>
      </c>
      <c r="U436" s="130">
        <v>0</v>
      </c>
      <c r="V436" s="407">
        <v>0</v>
      </c>
      <c r="W436" s="410">
        <v>1595</v>
      </c>
      <c r="X436" s="407">
        <f t="shared" si="422"/>
        <v>5078432.1500000004</v>
      </c>
      <c r="Y436" s="410">
        <v>0</v>
      </c>
      <c r="Z436" s="410">
        <v>0</v>
      </c>
      <c r="AA436" s="410">
        <v>0</v>
      </c>
      <c r="AB436" s="410">
        <v>0</v>
      </c>
      <c r="AC436" s="410">
        <v>0</v>
      </c>
      <c r="AD436" s="410">
        <v>0</v>
      </c>
      <c r="AE436" s="410">
        <v>0</v>
      </c>
      <c r="AF436" s="410">
        <v>0</v>
      </c>
      <c r="AG436" s="410">
        <v>0</v>
      </c>
      <c r="AH436" s="410">
        <v>0</v>
      </c>
      <c r="AI436" s="410">
        <v>0</v>
      </c>
      <c r="AJ436" s="410">
        <f t="shared" si="423"/>
        <v>159531.9</v>
      </c>
      <c r="AK436" s="410">
        <f t="shared" si="424"/>
        <v>79765.95</v>
      </c>
      <c r="AL436" s="410">
        <v>0</v>
      </c>
      <c r="AM436" s="446"/>
      <c r="AN436" s="446"/>
      <c r="AP436" s="486" t="e">
        <f t="shared" si="396"/>
        <v>#DIV/0!</v>
      </c>
      <c r="AQ436" s="486" t="e">
        <f t="shared" si="398"/>
        <v>#DIV/0!</v>
      </c>
      <c r="AR436" s="486" t="e">
        <f t="shared" si="399"/>
        <v>#DIV/0!</v>
      </c>
      <c r="AS436" s="486" t="e">
        <f t="shared" si="400"/>
        <v>#DIV/0!</v>
      </c>
      <c r="AT436" s="486" t="e">
        <f t="shared" si="401"/>
        <v>#DIV/0!</v>
      </c>
      <c r="AU436" s="486" t="e">
        <f t="shared" si="402"/>
        <v>#DIV/0!</v>
      </c>
      <c r="AV436" s="486" t="e">
        <f t="shared" si="403"/>
        <v>#DIV/0!</v>
      </c>
      <c r="AW436" s="486">
        <f t="shared" si="404"/>
        <v>3183.9700000000003</v>
      </c>
      <c r="AX436" s="486" t="e">
        <f t="shared" si="405"/>
        <v>#DIV/0!</v>
      </c>
      <c r="AY436" s="486" t="e">
        <f t="shared" si="406"/>
        <v>#DIV/0!</v>
      </c>
      <c r="AZ436" s="486" t="e">
        <f t="shared" si="407"/>
        <v>#DIV/0!</v>
      </c>
      <c r="BA436" s="486">
        <f t="shared" si="397"/>
        <v>0</v>
      </c>
      <c r="BB436" s="494">
        <v>5155.41</v>
      </c>
      <c r="BC436" s="494">
        <v>2070.12</v>
      </c>
      <c r="BD436" s="494">
        <v>848.92</v>
      </c>
      <c r="BE436" s="494">
        <v>819.73</v>
      </c>
      <c r="BF436" s="494">
        <v>611.5</v>
      </c>
      <c r="BG436" s="494">
        <v>1080.04</v>
      </c>
      <c r="BH436" s="494">
        <v>2671800.0099999998</v>
      </c>
      <c r="BI436" s="494">
        <f t="shared" si="420"/>
        <v>4607.6000000000004</v>
      </c>
      <c r="BJ436" s="494">
        <v>14289.54</v>
      </c>
      <c r="BK436" s="494">
        <v>3389.61</v>
      </c>
      <c r="BL436" s="494">
        <v>5995.76</v>
      </c>
      <c r="BM436" s="494">
        <v>548.62</v>
      </c>
      <c r="BN436" s="495" t="e">
        <f t="shared" si="408"/>
        <v>#DIV/0!</v>
      </c>
      <c r="BO436" s="495" t="e">
        <f t="shared" si="409"/>
        <v>#DIV/0!</v>
      </c>
      <c r="BP436" s="495" t="e">
        <f t="shared" si="410"/>
        <v>#DIV/0!</v>
      </c>
      <c r="BQ436" s="495" t="e">
        <f t="shared" si="411"/>
        <v>#DIV/0!</v>
      </c>
      <c r="BR436" s="495" t="e">
        <f t="shared" si="412"/>
        <v>#DIV/0!</v>
      </c>
      <c r="BS436" s="495" t="e">
        <f t="shared" si="413"/>
        <v>#DIV/0!</v>
      </c>
      <c r="BT436" s="495" t="e">
        <f t="shared" si="414"/>
        <v>#DIV/0!</v>
      </c>
      <c r="BU436" s="495" t="str">
        <f t="shared" si="415"/>
        <v xml:space="preserve"> </v>
      </c>
      <c r="BV436" s="495" t="e">
        <f t="shared" si="416"/>
        <v>#DIV/0!</v>
      </c>
      <c r="BW436" s="495" t="e">
        <f t="shared" si="417"/>
        <v>#DIV/0!</v>
      </c>
      <c r="BX436" s="495" t="e">
        <f t="shared" si="418"/>
        <v>#DIV/0!</v>
      </c>
      <c r="BY436" s="495" t="str">
        <f t="shared" si="419"/>
        <v xml:space="preserve"> </v>
      </c>
    </row>
    <row r="437" spans="1:77" s="28" customFormat="1" ht="9" customHeight="1">
      <c r="A437" s="406">
        <v>77</v>
      </c>
      <c r="B437" s="206" t="s">
        <v>699</v>
      </c>
      <c r="C437" s="376">
        <v>5548.2</v>
      </c>
      <c r="D437" s="376"/>
      <c r="E437" s="413" t="s">
        <v>1005</v>
      </c>
      <c r="F437" s="413"/>
      <c r="G437" s="413"/>
      <c r="H437" s="211">
        <v>5951190</v>
      </c>
      <c r="I437" s="407">
        <f t="shared" si="421"/>
        <v>0</v>
      </c>
      <c r="J437" s="217">
        <v>0</v>
      </c>
      <c r="K437" s="469">
        <v>0</v>
      </c>
      <c r="L437" s="217">
        <v>0</v>
      </c>
      <c r="M437" s="469">
        <v>0</v>
      </c>
      <c r="N437" s="217">
        <v>0</v>
      </c>
      <c r="O437" s="249">
        <v>0</v>
      </c>
      <c r="P437" s="407">
        <v>0</v>
      </c>
      <c r="Q437" s="249">
        <v>0</v>
      </c>
      <c r="R437" s="407">
        <v>0</v>
      </c>
      <c r="S437" s="249">
        <v>0</v>
      </c>
      <c r="T437" s="407">
        <v>0</v>
      </c>
      <c r="U437" s="130">
        <v>0</v>
      </c>
      <c r="V437" s="407">
        <v>0</v>
      </c>
      <c r="W437" s="410">
        <v>1785</v>
      </c>
      <c r="X437" s="407">
        <f t="shared" si="422"/>
        <v>5683386.4500000002</v>
      </c>
      <c r="Y437" s="410">
        <v>0</v>
      </c>
      <c r="Z437" s="410">
        <v>0</v>
      </c>
      <c r="AA437" s="410">
        <v>0</v>
      </c>
      <c r="AB437" s="410">
        <v>0</v>
      </c>
      <c r="AC437" s="410">
        <v>0</v>
      </c>
      <c r="AD437" s="410">
        <v>0</v>
      </c>
      <c r="AE437" s="410">
        <v>0</v>
      </c>
      <c r="AF437" s="410">
        <v>0</v>
      </c>
      <c r="AG437" s="410">
        <v>0</v>
      </c>
      <c r="AH437" s="410">
        <v>0</v>
      </c>
      <c r="AI437" s="410">
        <v>0</v>
      </c>
      <c r="AJ437" s="410">
        <f t="shared" si="423"/>
        <v>178535.7</v>
      </c>
      <c r="AK437" s="410">
        <f t="shared" si="424"/>
        <v>89267.85</v>
      </c>
      <c r="AL437" s="410">
        <v>0</v>
      </c>
      <c r="AM437" s="446"/>
      <c r="AN437" s="446"/>
      <c r="AP437" s="486" t="e">
        <f t="shared" si="396"/>
        <v>#DIV/0!</v>
      </c>
      <c r="AQ437" s="486" t="e">
        <f t="shared" si="398"/>
        <v>#DIV/0!</v>
      </c>
      <c r="AR437" s="486" t="e">
        <f t="shared" si="399"/>
        <v>#DIV/0!</v>
      </c>
      <c r="AS437" s="486" t="e">
        <f t="shared" si="400"/>
        <v>#DIV/0!</v>
      </c>
      <c r="AT437" s="486" t="e">
        <f t="shared" si="401"/>
        <v>#DIV/0!</v>
      </c>
      <c r="AU437" s="486" t="e">
        <f t="shared" si="402"/>
        <v>#DIV/0!</v>
      </c>
      <c r="AV437" s="486" t="e">
        <f t="shared" si="403"/>
        <v>#DIV/0!</v>
      </c>
      <c r="AW437" s="486">
        <f t="shared" si="404"/>
        <v>3183.9700000000003</v>
      </c>
      <c r="AX437" s="486" t="e">
        <f t="shared" si="405"/>
        <v>#DIV/0!</v>
      </c>
      <c r="AY437" s="486" t="e">
        <f t="shared" si="406"/>
        <v>#DIV/0!</v>
      </c>
      <c r="AZ437" s="486" t="e">
        <f t="shared" si="407"/>
        <v>#DIV/0!</v>
      </c>
      <c r="BA437" s="486">
        <f t="shared" si="397"/>
        <v>0</v>
      </c>
      <c r="BB437" s="494">
        <v>5155.41</v>
      </c>
      <c r="BC437" s="494">
        <v>2070.12</v>
      </c>
      <c r="BD437" s="494">
        <v>848.92</v>
      </c>
      <c r="BE437" s="494">
        <v>819.73</v>
      </c>
      <c r="BF437" s="494">
        <v>611.5</v>
      </c>
      <c r="BG437" s="494">
        <v>1080.04</v>
      </c>
      <c r="BH437" s="494">
        <v>2671800.0099999998</v>
      </c>
      <c r="BI437" s="494">
        <f t="shared" si="420"/>
        <v>4607.6000000000004</v>
      </c>
      <c r="BJ437" s="494">
        <v>14289.54</v>
      </c>
      <c r="BK437" s="494">
        <v>3389.61</v>
      </c>
      <c r="BL437" s="494">
        <v>5995.76</v>
      </c>
      <c r="BM437" s="494">
        <v>548.62</v>
      </c>
      <c r="BN437" s="495" t="e">
        <f t="shared" si="408"/>
        <v>#DIV/0!</v>
      </c>
      <c r="BO437" s="495" t="e">
        <f t="shared" si="409"/>
        <v>#DIV/0!</v>
      </c>
      <c r="BP437" s="495" t="e">
        <f t="shared" si="410"/>
        <v>#DIV/0!</v>
      </c>
      <c r="BQ437" s="495" t="e">
        <f t="shared" si="411"/>
        <v>#DIV/0!</v>
      </c>
      <c r="BR437" s="495" t="e">
        <f t="shared" si="412"/>
        <v>#DIV/0!</v>
      </c>
      <c r="BS437" s="495" t="e">
        <f t="shared" si="413"/>
        <v>#DIV/0!</v>
      </c>
      <c r="BT437" s="495" t="e">
        <f t="shared" si="414"/>
        <v>#DIV/0!</v>
      </c>
      <c r="BU437" s="495" t="str">
        <f t="shared" si="415"/>
        <v xml:space="preserve"> </v>
      </c>
      <c r="BV437" s="495" t="e">
        <f t="shared" si="416"/>
        <v>#DIV/0!</v>
      </c>
      <c r="BW437" s="495" t="e">
        <f t="shared" si="417"/>
        <v>#DIV/0!</v>
      </c>
      <c r="BX437" s="495" t="e">
        <f t="shared" si="418"/>
        <v>#DIV/0!</v>
      </c>
      <c r="BY437" s="495" t="str">
        <f t="shared" si="419"/>
        <v xml:space="preserve"> </v>
      </c>
    </row>
    <row r="438" spans="1:77" s="28" customFormat="1" ht="9" customHeight="1">
      <c r="A438" s="406">
        <v>78</v>
      </c>
      <c r="B438" s="206" t="s">
        <v>700</v>
      </c>
      <c r="C438" s="376">
        <v>3322.6</v>
      </c>
      <c r="D438" s="376"/>
      <c r="E438" s="413" t="s">
        <v>1005</v>
      </c>
      <c r="F438" s="413"/>
      <c r="G438" s="413"/>
      <c r="H438" s="211">
        <v>3123958</v>
      </c>
      <c r="I438" s="407">
        <f t="shared" si="421"/>
        <v>0</v>
      </c>
      <c r="J438" s="217">
        <v>0</v>
      </c>
      <c r="K438" s="469">
        <v>0</v>
      </c>
      <c r="L438" s="217">
        <v>0</v>
      </c>
      <c r="M438" s="469">
        <v>0</v>
      </c>
      <c r="N438" s="217">
        <v>0</v>
      </c>
      <c r="O438" s="249">
        <v>0</v>
      </c>
      <c r="P438" s="407">
        <v>0</v>
      </c>
      <c r="Q438" s="249">
        <v>0</v>
      </c>
      <c r="R438" s="407">
        <v>0</v>
      </c>
      <c r="S438" s="249">
        <v>0</v>
      </c>
      <c r="T438" s="407">
        <v>0</v>
      </c>
      <c r="U438" s="130">
        <v>0</v>
      </c>
      <c r="V438" s="407">
        <v>0</v>
      </c>
      <c r="W438" s="410">
        <v>937</v>
      </c>
      <c r="X438" s="407">
        <f t="shared" si="422"/>
        <v>2983379.89</v>
      </c>
      <c r="Y438" s="410">
        <v>0</v>
      </c>
      <c r="Z438" s="410">
        <v>0</v>
      </c>
      <c r="AA438" s="410">
        <v>0</v>
      </c>
      <c r="AB438" s="410">
        <v>0</v>
      </c>
      <c r="AC438" s="410">
        <v>0</v>
      </c>
      <c r="AD438" s="410">
        <v>0</v>
      </c>
      <c r="AE438" s="410">
        <v>0</v>
      </c>
      <c r="AF438" s="410">
        <v>0</v>
      </c>
      <c r="AG438" s="410">
        <v>0</v>
      </c>
      <c r="AH438" s="410">
        <v>0</v>
      </c>
      <c r="AI438" s="410">
        <v>0</v>
      </c>
      <c r="AJ438" s="410">
        <f t="shared" si="423"/>
        <v>93718.74</v>
      </c>
      <c r="AK438" s="410">
        <f t="shared" si="424"/>
        <v>46859.37</v>
      </c>
      <c r="AL438" s="410">
        <v>0</v>
      </c>
      <c r="AM438" s="446"/>
      <c r="AN438" s="446"/>
      <c r="AP438" s="486" t="e">
        <f t="shared" si="396"/>
        <v>#DIV/0!</v>
      </c>
      <c r="AQ438" s="486" t="e">
        <f t="shared" si="398"/>
        <v>#DIV/0!</v>
      </c>
      <c r="AR438" s="486" t="e">
        <f t="shared" si="399"/>
        <v>#DIV/0!</v>
      </c>
      <c r="AS438" s="486" t="e">
        <f t="shared" si="400"/>
        <v>#DIV/0!</v>
      </c>
      <c r="AT438" s="486" t="e">
        <f t="shared" si="401"/>
        <v>#DIV/0!</v>
      </c>
      <c r="AU438" s="486" t="e">
        <f t="shared" si="402"/>
        <v>#DIV/0!</v>
      </c>
      <c r="AV438" s="486" t="e">
        <f t="shared" si="403"/>
        <v>#DIV/0!</v>
      </c>
      <c r="AW438" s="486">
        <f t="shared" si="404"/>
        <v>3183.9700000000003</v>
      </c>
      <c r="AX438" s="486" t="e">
        <f t="shared" si="405"/>
        <v>#DIV/0!</v>
      </c>
      <c r="AY438" s="486" t="e">
        <f t="shared" si="406"/>
        <v>#DIV/0!</v>
      </c>
      <c r="AZ438" s="486" t="e">
        <f t="shared" si="407"/>
        <v>#DIV/0!</v>
      </c>
      <c r="BA438" s="486">
        <f t="shared" si="397"/>
        <v>0</v>
      </c>
      <c r="BB438" s="494">
        <v>5155.41</v>
      </c>
      <c r="BC438" s="494">
        <v>2070.12</v>
      </c>
      <c r="BD438" s="494">
        <v>848.92</v>
      </c>
      <c r="BE438" s="494">
        <v>819.73</v>
      </c>
      <c r="BF438" s="494">
        <v>611.5</v>
      </c>
      <c r="BG438" s="494">
        <v>1080.04</v>
      </c>
      <c r="BH438" s="494">
        <v>2671800.0099999998</v>
      </c>
      <c r="BI438" s="494">
        <f t="shared" si="420"/>
        <v>4607.6000000000004</v>
      </c>
      <c r="BJ438" s="494">
        <v>14289.54</v>
      </c>
      <c r="BK438" s="494">
        <v>3389.61</v>
      </c>
      <c r="BL438" s="494">
        <v>5995.76</v>
      </c>
      <c r="BM438" s="494">
        <v>548.62</v>
      </c>
      <c r="BN438" s="495" t="e">
        <f t="shared" si="408"/>
        <v>#DIV/0!</v>
      </c>
      <c r="BO438" s="495" t="e">
        <f t="shared" si="409"/>
        <v>#DIV/0!</v>
      </c>
      <c r="BP438" s="495" t="e">
        <f t="shared" si="410"/>
        <v>#DIV/0!</v>
      </c>
      <c r="BQ438" s="495" t="e">
        <f t="shared" si="411"/>
        <v>#DIV/0!</v>
      </c>
      <c r="BR438" s="495" t="e">
        <f t="shared" si="412"/>
        <v>#DIV/0!</v>
      </c>
      <c r="BS438" s="495" t="e">
        <f t="shared" si="413"/>
        <v>#DIV/0!</v>
      </c>
      <c r="BT438" s="495" t="e">
        <f t="shared" si="414"/>
        <v>#DIV/0!</v>
      </c>
      <c r="BU438" s="495" t="str">
        <f t="shared" si="415"/>
        <v xml:space="preserve"> </v>
      </c>
      <c r="BV438" s="495" t="e">
        <f t="shared" si="416"/>
        <v>#DIV/0!</v>
      </c>
      <c r="BW438" s="495" t="e">
        <f t="shared" si="417"/>
        <v>#DIV/0!</v>
      </c>
      <c r="BX438" s="495" t="e">
        <f t="shared" si="418"/>
        <v>#DIV/0!</v>
      </c>
      <c r="BY438" s="495" t="str">
        <f t="shared" si="419"/>
        <v xml:space="preserve"> </v>
      </c>
    </row>
    <row r="439" spans="1:77" s="28" customFormat="1" ht="9" customHeight="1">
      <c r="A439" s="406">
        <v>79</v>
      </c>
      <c r="B439" s="206" t="s">
        <v>701</v>
      </c>
      <c r="C439" s="376">
        <v>3259.1</v>
      </c>
      <c r="D439" s="376"/>
      <c r="E439" s="413" t="s">
        <v>1005</v>
      </c>
      <c r="F439" s="413"/>
      <c r="G439" s="413"/>
      <c r="H439" s="211">
        <v>3042608.4</v>
      </c>
      <c r="I439" s="407">
        <f t="shared" si="421"/>
        <v>0</v>
      </c>
      <c r="J439" s="217">
        <v>0</v>
      </c>
      <c r="K439" s="469">
        <v>0</v>
      </c>
      <c r="L439" s="217">
        <v>0</v>
      </c>
      <c r="M439" s="469">
        <v>0</v>
      </c>
      <c r="N439" s="217">
        <v>0</v>
      </c>
      <c r="O439" s="249">
        <v>0</v>
      </c>
      <c r="P439" s="407">
        <v>0</v>
      </c>
      <c r="Q439" s="249">
        <v>0</v>
      </c>
      <c r="R439" s="407">
        <v>0</v>
      </c>
      <c r="S439" s="249">
        <v>0</v>
      </c>
      <c r="T439" s="407">
        <v>0</v>
      </c>
      <c r="U439" s="130">
        <v>0</v>
      </c>
      <c r="V439" s="407">
        <v>0</v>
      </c>
      <c r="W439" s="410">
        <v>912.6</v>
      </c>
      <c r="X439" s="407">
        <f t="shared" si="422"/>
        <v>2905691.02</v>
      </c>
      <c r="Y439" s="410">
        <v>0</v>
      </c>
      <c r="Z439" s="410">
        <v>0</v>
      </c>
      <c r="AA439" s="410">
        <v>0</v>
      </c>
      <c r="AB439" s="410">
        <v>0</v>
      </c>
      <c r="AC439" s="410">
        <v>0</v>
      </c>
      <c r="AD439" s="410">
        <v>0</v>
      </c>
      <c r="AE439" s="410">
        <v>0</v>
      </c>
      <c r="AF439" s="410">
        <v>0</v>
      </c>
      <c r="AG439" s="410">
        <v>0</v>
      </c>
      <c r="AH439" s="410">
        <v>0</v>
      </c>
      <c r="AI439" s="410">
        <v>0</v>
      </c>
      <c r="AJ439" s="410">
        <f t="shared" si="423"/>
        <v>91278.25</v>
      </c>
      <c r="AK439" s="410">
        <f t="shared" si="424"/>
        <v>45639.13</v>
      </c>
      <c r="AL439" s="410">
        <v>0</v>
      </c>
      <c r="AM439" s="446"/>
      <c r="AN439" s="446"/>
      <c r="AP439" s="486" t="e">
        <f t="shared" si="396"/>
        <v>#DIV/0!</v>
      </c>
      <c r="AQ439" s="486" t="e">
        <f t="shared" si="398"/>
        <v>#DIV/0!</v>
      </c>
      <c r="AR439" s="486" t="e">
        <f t="shared" si="399"/>
        <v>#DIV/0!</v>
      </c>
      <c r="AS439" s="486" t="e">
        <f t="shared" si="400"/>
        <v>#DIV/0!</v>
      </c>
      <c r="AT439" s="486" t="e">
        <f t="shared" si="401"/>
        <v>#DIV/0!</v>
      </c>
      <c r="AU439" s="486" t="e">
        <f t="shared" si="402"/>
        <v>#DIV/0!</v>
      </c>
      <c r="AV439" s="486" t="e">
        <f t="shared" si="403"/>
        <v>#DIV/0!</v>
      </c>
      <c r="AW439" s="486">
        <f t="shared" si="404"/>
        <v>3183.9699978084591</v>
      </c>
      <c r="AX439" s="486" t="e">
        <f t="shared" si="405"/>
        <v>#DIV/0!</v>
      </c>
      <c r="AY439" s="486" t="e">
        <f t="shared" si="406"/>
        <v>#DIV/0!</v>
      </c>
      <c r="AZ439" s="486" t="e">
        <f t="shared" si="407"/>
        <v>#DIV/0!</v>
      </c>
      <c r="BA439" s="486">
        <f t="shared" si="397"/>
        <v>0</v>
      </c>
      <c r="BB439" s="494">
        <v>5155.41</v>
      </c>
      <c r="BC439" s="494">
        <v>2070.12</v>
      </c>
      <c r="BD439" s="494">
        <v>848.92</v>
      </c>
      <c r="BE439" s="494">
        <v>819.73</v>
      </c>
      <c r="BF439" s="494">
        <v>611.5</v>
      </c>
      <c r="BG439" s="494">
        <v>1080.04</v>
      </c>
      <c r="BH439" s="494">
        <v>2671800.0099999998</v>
      </c>
      <c r="BI439" s="494">
        <f t="shared" si="420"/>
        <v>4607.6000000000004</v>
      </c>
      <c r="BJ439" s="494">
        <v>14289.54</v>
      </c>
      <c r="BK439" s="494">
        <v>3389.61</v>
      </c>
      <c r="BL439" s="494">
        <v>5995.76</v>
      </c>
      <c r="BM439" s="494">
        <v>548.62</v>
      </c>
      <c r="BN439" s="495" t="e">
        <f t="shared" si="408"/>
        <v>#DIV/0!</v>
      </c>
      <c r="BO439" s="495" t="e">
        <f t="shared" si="409"/>
        <v>#DIV/0!</v>
      </c>
      <c r="BP439" s="495" t="e">
        <f t="shared" si="410"/>
        <v>#DIV/0!</v>
      </c>
      <c r="BQ439" s="495" t="e">
        <f t="shared" si="411"/>
        <v>#DIV/0!</v>
      </c>
      <c r="BR439" s="495" t="e">
        <f t="shared" si="412"/>
        <v>#DIV/0!</v>
      </c>
      <c r="BS439" s="495" t="e">
        <f t="shared" si="413"/>
        <v>#DIV/0!</v>
      </c>
      <c r="BT439" s="495" t="e">
        <f t="shared" si="414"/>
        <v>#DIV/0!</v>
      </c>
      <c r="BU439" s="495" t="str">
        <f t="shared" si="415"/>
        <v xml:space="preserve"> </v>
      </c>
      <c r="BV439" s="495" t="e">
        <f t="shared" si="416"/>
        <v>#DIV/0!</v>
      </c>
      <c r="BW439" s="495" t="e">
        <f t="shared" si="417"/>
        <v>#DIV/0!</v>
      </c>
      <c r="BX439" s="495" t="e">
        <f t="shared" si="418"/>
        <v>#DIV/0!</v>
      </c>
      <c r="BY439" s="495" t="str">
        <f t="shared" si="419"/>
        <v xml:space="preserve"> </v>
      </c>
    </row>
    <row r="440" spans="1:77" s="28" customFormat="1" ht="9" customHeight="1">
      <c r="A440" s="406">
        <v>80</v>
      </c>
      <c r="B440" s="206" t="s">
        <v>702</v>
      </c>
      <c r="C440" s="376">
        <v>3941.5</v>
      </c>
      <c r="D440" s="376"/>
      <c r="E440" s="413" t="s">
        <v>1005</v>
      </c>
      <c r="F440" s="413"/>
      <c r="G440" s="413"/>
      <c r="H440" s="211">
        <v>3640728</v>
      </c>
      <c r="I440" s="407">
        <f t="shared" si="421"/>
        <v>0</v>
      </c>
      <c r="J440" s="217">
        <v>0</v>
      </c>
      <c r="K440" s="469">
        <v>0</v>
      </c>
      <c r="L440" s="217">
        <v>0</v>
      </c>
      <c r="M440" s="469">
        <v>0</v>
      </c>
      <c r="N440" s="217">
        <v>0</v>
      </c>
      <c r="O440" s="249">
        <v>0</v>
      </c>
      <c r="P440" s="407">
        <v>0</v>
      </c>
      <c r="Q440" s="249">
        <v>0</v>
      </c>
      <c r="R440" s="407">
        <v>0</v>
      </c>
      <c r="S440" s="249">
        <v>0</v>
      </c>
      <c r="T440" s="407">
        <v>0</v>
      </c>
      <c r="U440" s="130">
        <v>0</v>
      </c>
      <c r="V440" s="407">
        <v>0</v>
      </c>
      <c r="W440" s="410">
        <v>1092</v>
      </c>
      <c r="X440" s="407">
        <f t="shared" si="422"/>
        <v>3476895.24</v>
      </c>
      <c r="Y440" s="410">
        <v>0</v>
      </c>
      <c r="Z440" s="410">
        <v>0</v>
      </c>
      <c r="AA440" s="410">
        <v>0</v>
      </c>
      <c r="AB440" s="410">
        <v>0</v>
      </c>
      <c r="AC440" s="410">
        <v>0</v>
      </c>
      <c r="AD440" s="410">
        <v>0</v>
      </c>
      <c r="AE440" s="410">
        <v>0</v>
      </c>
      <c r="AF440" s="410">
        <v>0</v>
      </c>
      <c r="AG440" s="410">
        <v>0</v>
      </c>
      <c r="AH440" s="410">
        <v>0</v>
      </c>
      <c r="AI440" s="410">
        <v>0</v>
      </c>
      <c r="AJ440" s="410">
        <f t="shared" si="423"/>
        <v>109221.84</v>
      </c>
      <c r="AK440" s="410">
        <f t="shared" si="424"/>
        <v>54610.92</v>
      </c>
      <c r="AL440" s="410">
        <v>0</v>
      </c>
      <c r="AM440" s="446"/>
      <c r="AN440" s="446"/>
      <c r="AP440" s="486" t="e">
        <f t="shared" si="396"/>
        <v>#DIV/0!</v>
      </c>
      <c r="AQ440" s="486" t="e">
        <f t="shared" si="398"/>
        <v>#DIV/0!</v>
      </c>
      <c r="AR440" s="486" t="e">
        <f t="shared" si="399"/>
        <v>#DIV/0!</v>
      </c>
      <c r="AS440" s="486" t="e">
        <f t="shared" si="400"/>
        <v>#DIV/0!</v>
      </c>
      <c r="AT440" s="486" t="e">
        <f t="shared" si="401"/>
        <v>#DIV/0!</v>
      </c>
      <c r="AU440" s="486" t="e">
        <f t="shared" si="402"/>
        <v>#DIV/0!</v>
      </c>
      <c r="AV440" s="486" t="e">
        <f t="shared" si="403"/>
        <v>#DIV/0!</v>
      </c>
      <c r="AW440" s="486">
        <f t="shared" si="404"/>
        <v>3183.9700000000003</v>
      </c>
      <c r="AX440" s="486" t="e">
        <f t="shared" si="405"/>
        <v>#DIV/0!</v>
      </c>
      <c r="AY440" s="486" t="e">
        <f t="shared" si="406"/>
        <v>#DIV/0!</v>
      </c>
      <c r="AZ440" s="486" t="e">
        <f t="shared" si="407"/>
        <v>#DIV/0!</v>
      </c>
      <c r="BA440" s="486">
        <f t="shared" si="397"/>
        <v>0</v>
      </c>
      <c r="BB440" s="494">
        <v>5155.41</v>
      </c>
      <c r="BC440" s="494">
        <v>2070.12</v>
      </c>
      <c r="BD440" s="494">
        <v>848.92</v>
      </c>
      <c r="BE440" s="494">
        <v>819.73</v>
      </c>
      <c r="BF440" s="494">
        <v>611.5</v>
      </c>
      <c r="BG440" s="494">
        <v>1080.04</v>
      </c>
      <c r="BH440" s="494">
        <v>2671800.0099999998</v>
      </c>
      <c r="BI440" s="494">
        <f t="shared" si="420"/>
        <v>4607.6000000000004</v>
      </c>
      <c r="BJ440" s="494">
        <v>14289.54</v>
      </c>
      <c r="BK440" s="494">
        <v>3389.61</v>
      </c>
      <c r="BL440" s="494">
        <v>5995.76</v>
      </c>
      <c r="BM440" s="494">
        <v>548.62</v>
      </c>
      <c r="BN440" s="495" t="e">
        <f t="shared" si="408"/>
        <v>#DIV/0!</v>
      </c>
      <c r="BO440" s="495" t="e">
        <f t="shared" si="409"/>
        <v>#DIV/0!</v>
      </c>
      <c r="BP440" s="495" t="e">
        <f t="shared" si="410"/>
        <v>#DIV/0!</v>
      </c>
      <c r="BQ440" s="495" t="e">
        <f t="shared" si="411"/>
        <v>#DIV/0!</v>
      </c>
      <c r="BR440" s="495" t="e">
        <f t="shared" si="412"/>
        <v>#DIV/0!</v>
      </c>
      <c r="BS440" s="495" t="e">
        <f t="shared" si="413"/>
        <v>#DIV/0!</v>
      </c>
      <c r="BT440" s="495" t="e">
        <f t="shared" si="414"/>
        <v>#DIV/0!</v>
      </c>
      <c r="BU440" s="495" t="str">
        <f t="shared" si="415"/>
        <v xml:space="preserve"> </v>
      </c>
      <c r="BV440" s="495" t="e">
        <f t="shared" si="416"/>
        <v>#DIV/0!</v>
      </c>
      <c r="BW440" s="495" t="e">
        <f t="shared" si="417"/>
        <v>#DIV/0!</v>
      </c>
      <c r="BX440" s="495" t="e">
        <f t="shared" si="418"/>
        <v>#DIV/0!</v>
      </c>
      <c r="BY440" s="495" t="str">
        <f t="shared" si="419"/>
        <v xml:space="preserve"> </v>
      </c>
    </row>
    <row r="441" spans="1:77" s="28" customFormat="1" ht="9" customHeight="1">
      <c r="A441" s="406">
        <v>81</v>
      </c>
      <c r="B441" s="206" t="s">
        <v>703</v>
      </c>
      <c r="C441" s="376">
        <v>4568.8999999999996</v>
      </c>
      <c r="D441" s="376"/>
      <c r="E441" s="413" t="s">
        <v>1005</v>
      </c>
      <c r="F441" s="413"/>
      <c r="G441" s="413"/>
      <c r="H441" s="211">
        <v>4209175</v>
      </c>
      <c r="I441" s="407">
        <f t="shared" si="421"/>
        <v>0</v>
      </c>
      <c r="J441" s="217">
        <v>0</v>
      </c>
      <c r="K441" s="469">
        <v>0</v>
      </c>
      <c r="L441" s="217">
        <v>0</v>
      </c>
      <c r="M441" s="469">
        <v>0</v>
      </c>
      <c r="N441" s="217">
        <v>0</v>
      </c>
      <c r="O441" s="249">
        <v>0</v>
      </c>
      <c r="P441" s="407">
        <v>0</v>
      </c>
      <c r="Q441" s="249">
        <v>0</v>
      </c>
      <c r="R441" s="407">
        <v>0</v>
      </c>
      <c r="S441" s="249">
        <v>0</v>
      </c>
      <c r="T441" s="407">
        <v>0</v>
      </c>
      <c r="U441" s="130">
        <v>0</v>
      </c>
      <c r="V441" s="407">
        <v>0</v>
      </c>
      <c r="W441" s="410">
        <v>1262.5</v>
      </c>
      <c r="X441" s="407">
        <f>ROUND(H441/100*95.5-0.01,2)</f>
        <v>4019762.12</v>
      </c>
      <c r="Y441" s="410">
        <v>0</v>
      </c>
      <c r="Z441" s="410">
        <v>0</v>
      </c>
      <c r="AA441" s="410">
        <v>0</v>
      </c>
      <c r="AB441" s="410">
        <v>0</v>
      </c>
      <c r="AC441" s="410">
        <v>0</v>
      </c>
      <c r="AD441" s="410">
        <v>0</v>
      </c>
      <c r="AE441" s="410">
        <v>0</v>
      </c>
      <c r="AF441" s="410">
        <v>0</v>
      </c>
      <c r="AG441" s="410">
        <v>0</v>
      </c>
      <c r="AH441" s="410">
        <v>0</v>
      </c>
      <c r="AI441" s="410">
        <v>0</v>
      </c>
      <c r="AJ441" s="410">
        <f t="shared" si="423"/>
        <v>126275.25</v>
      </c>
      <c r="AK441" s="410">
        <f t="shared" si="424"/>
        <v>63137.63</v>
      </c>
      <c r="AL441" s="410">
        <v>0</v>
      </c>
      <c r="AM441" s="446"/>
      <c r="AN441" s="446"/>
      <c r="AP441" s="486" t="e">
        <f t="shared" si="396"/>
        <v>#DIV/0!</v>
      </c>
      <c r="AQ441" s="486" t="e">
        <f t="shared" si="398"/>
        <v>#DIV/0!</v>
      </c>
      <c r="AR441" s="486" t="e">
        <f t="shared" si="399"/>
        <v>#DIV/0!</v>
      </c>
      <c r="AS441" s="486" t="e">
        <f t="shared" si="400"/>
        <v>#DIV/0!</v>
      </c>
      <c r="AT441" s="486" t="e">
        <f t="shared" si="401"/>
        <v>#DIV/0!</v>
      </c>
      <c r="AU441" s="486" t="e">
        <f t="shared" si="402"/>
        <v>#DIV/0!</v>
      </c>
      <c r="AV441" s="486" t="e">
        <f t="shared" si="403"/>
        <v>#DIV/0!</v>
      </c>
      <c r="AW441" s="486">
        <f t="shared" si="404"/>
        <v>3183.9699960396042</v>
      </c>
      <c r="AX441" s="486" t="e">
        <f t="shared" si="405"/>
        <v>#DIV/0!</v>
      </c>
      <c r="AY441" s="486" t="e">
        <f t="shared" si="406"/>
        <v>#DIV/0!</v>
      </c>
      <c r="AZ441" s="486" t="e">
        <f t="shared" si="407"/>
        <v>#DIV/0!</v>
      </c>
      <c r="BA441" s="486">
        <f t="shared" si="397"/>
        <v>0</v>
      </c>
      <c r="BB441" s="494">
        <v>5155.41</v>
      </c>
      <c r="BC441" s="494">
        <v>2070.12</v>
      </c>
      <c r="BD441" s="494">
        <v>848.92</v>
      </c>
      <c r="BE441" s="494">
        <v>819.73</v>
      </c>
      <c r="BF441" s="494">
        <v>611.5</v>
      </c>
      <c r="BG441" s="494">
        <v>1080.04</v>
      </c>
      <c r="BH441" s="494">
        <v>2671800.0099999998</v>
      </c>
      <c r="BI441" s="494">
        <f t="shared" si="420"/>
        <v>4607.6000000000004</v>
      </c>
      <c r="BJ441" s="494">
        <v>14289.54</v>
      </c>
      <c r="BK441" s="494">
        <v>3389.61</v>
      </c>
      <c r="BL441" s="494">
        <v>5995.76</v>
      </c>
      <c r="BM441" s="494">
        <v>548.62</v>
      </c>
      <c r="BN441" s="495" t="e">
        <f t="shared" si="408"/>
        <v>#DIV/0!</v>
      </c>
      <c r="BO441" s="495" t="e">
        <f t="shared" si="409"/>
        <v>#DIV/0!</v>
      </c>
      <c r="BP441" s="495" t="e">
        <f t="shared" si="410"/>
        <v>#DIV/0!</v>
      </c>
      <c r="BQ441" s="495" t="e">
        <f t="shared" si="411"/>
        <v>#DIV/0!</v>
      </c>
      <c r="BR441" s="495" t="e">
        <f t="shared" si="412"/>
        <v>#DIV/0!</v>
      </c>
      <c r="BS441" s="495" t="e">
        <f t="shared" si="413"/>
        <v>#DIV/0!</v>
      </c>
      <c r="BT441" s="495" t="e">
        <f t="shared" si="414"/>
        <v>#DIV/0!</v>
      </c>
      <c r="BU441" s="495" t="str">
        <f t="shared" si="415"/>
        <v xml:space="preserve"> </v>
      </c>
      <c r="BV441" s="495" t="e">
        <f t="shared" si="416"/>
        <v>#DIV/0!</v>
      </c>
      <c r="BW441" s="495" t="e">
        <f t="shared" si="417"/>
        <v>#DIV/0!</v>
      </c>
      <c r="BX441" s="495" t="e">
        <f t="shared" si="418"/>
        <v>#DIV/0!</v>
      </c>
      <c r="BY441" s="495" t="str">
        <f t="shared" si="419"/>
        <v xml:space="preserve"> </v>
      </c>
    </row>
    <row r="442" spans="1:77" s="28" customFormat="1" ht="9" customHeight="1">
      <c r="A442" s="406">
        <v>82</v>
      </c>
      <c r="B442" s="206" t="s">
        <v>704</v>
      </c>
      <c r="C442" s="376">
        <v>7601.2</v>
      </c>
      <c r="D442" s="376"/>
      <c r="E442" s="413" t="s">
        <v>1005</v>
      </c>
      <c r="F442" s="413"/>
      <c r="G442" s="413"/>
      <c r="H442" s="211">
        <v>3970794</v>
      </c>
      <c r="I442" s="407">
        <f t="shared" si="421"/>
        <v>0</v>
      </c>
      <c r="J442" s="217">
        <v>0</v>
      </c>
      <c r="K442" s="469">
        <v>0</v>
      </c>
      <c r="L442" s="217">
        <v>0</v>
      </c>
      <c r="M442" s="469">
        <v>0</v>
      </c>
      <c r="N442" s="217">
        <v>0</v>
      </c>
      <c r="O442" s="249">
        <v>0</v>
      </c>
      <c r="P442" s="407">
        <v>0</v>
      </c>
      <c r="Q442" s="249">
        <v>0</v>
      </c>
      <c r="R442" s="407">
        <v>0</v>
      </c>
      <c r="S442" s="249">
        <v>0</v>
      </c>
      <c r="T442" s="407">
        <v>0</v>
      </c>
      <c r="U442" s="130">
        <v>0</v>
      </c>
      <c r="V442" s="407">
        <v>0</v>
      </c>
      <c r="W442" s="410">
        <v>1191</v>
      </c>
      <c r="X442" s="407">
        <f t="shared" si="422"/>
        <v>3792108.27</v>
      </c>
      <c r="Y442" s="410">
        <v>0</v>
      </c>
      <c r="Z442" s="410">
        <v>0</v>
      </c>
      <c r="AA442" s="410">
        <v>0</v>
      </c>
      <c r="AB442" s="410">
        <v>0</v>
      </c>
      <c r="AC442" s="410">
        <v>0</v>
      </c>
      <c r="AD442" s="410">
        <v>0</v>
      </c>
      <c r="AE442" s="410">
        <v>0</v>
      </c>
      <c r="AF442" s="410">
        <v>0</v>
      </c>
      <c r="AG442" s="410">
        <v>0</v>
      </c>
      <c r="AH442" s="410">
        <v>0</v>
      </c>
      <c r="AI442" s="410">
        <v>0</v>
      </c>
      <c r="AJ442" s="410">
        <f t="shared" si="423"/>
        <v>119123.82</v>
      </c>
      <c r="AK442" s="410">
        <f t="shared" si="424"/>
        <v>59561.91</v>
      </c>
      <c r="AL442" s="410">
        <v>0</v>
      </c>
      <c r="AM442" s="446"/>
      <c r="AN442" s="446"/>
      <c r="AP442" s="486" t="e">
        <f t="shared" si="396"/>
        <v>#DIV/0!</v>
      </c>
      <c r="AQ442" s="486" t="e">
        <f t="shared" si="398"/>
        <v>#DIV/0!</v>
      </c>
      <c r="AR442" s="486" t="e">
        <f t="shared" si="399"/>
        <v>#DIV/0!</v>
      </c>
      <c r="AS442" s="486" t="e">
        <f t="shared" si="400"/>
        <v>#DIV/0!</v>
      </c>
      <c r="AT442" s="486" t="e">
        <f t="shared" si="401"/>
        <v>#DIV/0!</v>
      </c>
      <c r="AU442" s="486" t="e">
        <f t="shared" si="402"/>
        <v>#DIV/0!</v>
      </c>
      <c r="AV442" s="486" t="e">
        <f t="shared" si="403"/>
        <v>#DIV/0!</v>
      </c>
      <c r="AW442" s="486">
        <f t="shared" si="404"/>
        <v>3183.97</v>
      </c>
      <c r="AX442" s="486" t="e">
        <f t="shared" si="405"/>
        <v>#DIV/0!</v>
      </c>
      <c r="AY442" s="486" t="e">
        <f t="shared" si="406"/>
        <v>#DIV/0!</v>
      </c>
      <c r="AZ442" s="486" t="e">
        <f t="shared" si="407"/>
        <v>#DIV/0!</v>
      </c>
      <c r="BA442" s="486">
        <f t="shared" si="397"/>
        <v>0</v>
      </c>
      <c r="BB442" s="494">
        <v>5155.41</v>
      </c>
      <c r="BC442" s="494">
        <v>2070.12</v>
      </c>
      <c r="BD442" s="494">
        <v>848.92</v>
      </c>
      <c r="BE442" s="494">
        <v>819.73</v>
      </c>
      <c r="BF442" s="494">
        <v>611.5</v>
      </c>
      <c r="BG442" s="494">
        <v>1080.04</v>
      </c>
      <c r="BH442" s="494">
        <v>2671800.0099999998</v>
      </c>
      <c r="BI442" s="494">
        <f t="shared" si="420"/>
        <v>4607.6000000000004</v>
      </c>
      <c r="BJ442" s="494">
        <v>14289.54</v>
      </c>
      <c r="BK442" s="494">
        <v>3389.61</v>
      </c>
      <c r="BL442" s="494">
        <v>5995.76</v>
      </c>
      <c r="BM442" s="494">
        <v>548.62</v>
      </c>
      <c r="BN442" s="495" t="e">
        <f t="shared" si="408"/>
        <v>#DIV/0!</v>
      </c>
      <c r="BO442" s="495" t="e">
        <f t="shared" si="409"/>
        <v>#DIV/0!</v>
      </c>
      <c r="BP442" s="495" t="e">
        <f t="shared" si="410"/>
        <v>#DIV/0!</v>
      </c>
      <c r="BQ442" s="495" t="e">
        <f t="shared" si="411"/>
        <v>#DIV/0!</v>
      </c>
      <c r="BR442" s="495" t="e">
        <f t="shared" si="412"/>
        <v>#DIV/0!</v>
      </c>
      <c r="BS442" s="495" t="e">
        <f t="shared" si="413"/>
        <v>#DIV/0!</v>
      </c>
      <c r="BT442" s="495" t="e">
        <f t="shared" si="414"/>
        <v>#DIV/0!</v>
      </c>
      <c r="BU442" s="495" t="str">
        <f t="shared" si="415"/>
        <v xml:space="preserve"> </v>
      </c>
      <c r="BV442" s="495" t="e">
        <f t="shared" si="416"/>
        <v>#DIV/0!</v>
      </c>
      <c r="BW442" s="495" t="e">
        <f t="shared" si="417"/>
        <v>#DIV/0!</v>
      </c>
      <c r="BX442" s="495" t="e">
        <f t="shared" si="418"/>
        <v>#DIV/0!</v>
      </c>
      <c r="BY442" s="495" t="str">
        <f t="shared" si="419"/>
        <v xml:space="preserve"> </v>
      </c>
    </row>
    <row r="443" spans="1:77" s="28" customFormat="1" ht="9" customHeight="1">
      <c r="A443" s="406">
        <v>83</v>
      </c>
      <c r="B443" s="206" t="s">
        <v>705</v>
      </c>
      <c r="C443" s="376">
        <v>9599</v>
      </c>
      <c r="D443" s="376"/>
      <c r="E443" s="413" t="s">
        <v>1005</v>
      </c>
      <c r="F443" s="413"/>
      <c r="G443" s="413"/>
      <c r="H443" s="211">
        <v>5384410</v>
      </c>
      <c r="I443" s="407">
        <f t="shared" si="421"/>
        <v>0</v>
      </c>
      <c r="J443" s="217">
        <v>0</v>
      </c>
      <c r="K443" s="469">
        <v>0</v>
      </c>
      <c r="L443" s="217">
        <v>0</v>
      </c>
      <c r="M443" s="469">
        <v>0</v>
      </c>
      <c r="N443" s="217">
        <v>0</v>
      </c>
      <c r="O443" s="249">
        <v>0</v>
      </c>
      <c r="P443" s="407">
        <v>0</v>
      </c>
      <c r="Q443" s="249">
        <v>0</v>
      </c>
      <c r="R443" s="407">
        <v>0</v>
      </c>
      <c r="S443" s="249">
        <v>0</v>
      </c>
      <c r="T443" s="407">
        <v>0</v>
      </c>
      <c r="U443" s="130">
        <v>0</v>
      </c>
      <c r="V443" s="407">
        <v>0</v>
      </c>
      <c r="W443" s="410">
        <v>1615</v>
      </c>
      <c r="X443" s="407">
        <f t="shared" si="422"/>
        <v>5142111.55</v>
      </c>
      <c r="Y443" s="410">
        <v>0</v>
      </c>
      <c r="Z443" s="410">
        <v>0</v>
      </c>
      <c r="AA443" s="410">
        <v>0</v>
      </c>
      <c r="AB443" s="410">
        <v>0</v>
      </c>
      <c r="AC443" s="410">
        <v>0</v>
      </c>
      <c r="AD443" s="410">
        <v>0</v>
      </c>
      <c r="AE443" s="410">
        <v>0</v>
      </c>
      <c r="AF443" s="410">
        <v>0</v>
      </c>
      <c r="AG443" s="410">
        <v>0</v>
      </c>
      <c r="AH443" s="410">
        <v>0</v>
      </c>
      <c r="AI443" s="410">
        <v>0</v>
      </c>
      <c r="AJ443" s="410">
        <f t="shared" si="423"/>
        <v>161532.29999999999</v>
      </c>
      <c r="AK443" s="410">
        <f t="shared" si="424"/>
        <v>80766.149999999994</v>
      </c>
      <c r="AL443" s="410">
        <v>0</v>
      </c>
      <c r="AM443" s="446"/>
      <c r="AN443" s="446"/>
      <c r="AP443" s="486" t="e">
        <f t="shared" si="396"/>
        <v>#DIV/0!</v>
      </c>
      <c r="AQ443" s="486" t="e">
        <f t="shared" si="398"/>
        <v>#DIV/0!</v>
      </c>
      <c r="AR443" s="486" t="e">
        <f t="shared" si="399"/>
        <v>#DIV/0!</v>
      </c>
      <c r="AS443" s="486" t="e">
        <f t="shared" si="400"/>
        <v>#DIV/0!</v>
      </c>
      <c r="AT443" s="486" t="e">
        <f t="shared" si="401"/>
        <v>#DIV/0!</v>
      </c>
      <c r="AU443" s="486" t="e">
        <f t="shared" si="402"/>
        <v>#DIV/0!</v>
      </c>
      <c r="AV443" s="486" t="e">
        <f t="shared" si="403"/>
        <v>#DIV/0!</v>
      </c>
      <c r="AW443" s="486">
        <f t="shared" si="404"/>
        <v>3183.97</v>
      </c>
      <c r="AX443" s="486" t="e">
        <f t="shared" si="405"/>
        <v>#DIV/0!</v>
      </c>
      <c r="AY443" s="486" t="e">
        <f t="shared" si="406"/>
        <v>#DIV/0!</v>
      </c>
      <c r="AZ443" s="486" t="e">
        <f t="shared" si="407"/>
        <v>#DIV/0!</v>
      </c>
      <c r="BA443" s="486">
        <f t="shared" si="397"/>
        <v>0</v>
      </c>
      <c r="BB443" s="494">
        <v>5155.41</v>
      </c>
      <c r="BC443" s="494">
        <v>2070.12</v>
      </c>
      <c r="BD443" s="494">
        <v>848.92</v>
      </c>
      <c r="BE443" s="494">
        <v>819.73</v>
      </c>
      <c r="BF443" s="494">
        <v>611.5</v>
      </c>
      <c r="BG443" s="494">
        <v>1080.04</v>
      </c>
      <c r="BH443" s="494">
        <v>2671800.0099999998</v>
      </c>
      <c r="BI443" s="494">
        <f t="shared" si="420"/>
        <v>4607.6000000000004</v>
      </c>
      <c r="BJ443" s="494">
        <v>14289.54</v>
      </c>
      <c r="BK443" s="494">
        <v>3389.61</v>
      </c>
      <c r="BL443" s="494">
        <v>5995.76</v>
      </c>
      <c r="BM443" s="494">
        <v>548.62</v>
      </c>
      <c r="BN443" s="495" t="e">
        <f t="shared" si="408"/>
        <v>#DIV/0!</v>
      </c>
      <c r="BO443" s="495" t="e">
        <f t="shared" si="409"/>
        <v>#DIV/0!</v>
      </c>
      <c r="BP443" s="495" t="e">
        <f t="shared" si="410"/>
        <v>#DIV/0!</v>
      </c>
      <c r="BQ443" s="495" t="e">
        <f t="shared" si="411"/>
        <v>#DIV/0!</v>
      </c>
      <c r="BR443" s="495" t="e">
        <f t="shared" si="412"/>
        <v>#DIV/0!</v>
      </c>
      <c r="BS443" s="495" t="e">
        <f t="shared" si="413"/>
        <v>#DIV/0!</v>
      </c>
      <c r="BT443" s="495" t="e">
        <f t="shared" si="414"/>
        <v>#DIV/0!</v>
      </c>
      <c r="BU443" s="495" t="str">
        <f t="shared" si="415"/>
        <v xml:space="preserve"> </v>
      </c>
      <c r="BV443" s="495" t="e">
        <f t="shared" si="416"/>
        <v>#DIV/0!</v>
      </c>
      <c r="BW443" s="495" t="e">
        <f t="shared" si="417"/>
        <v>#DIV/0!</v>
      </c>
      <c r="BX443" s="495" t="e">
        <f t="shared" si="418"/>
        <v>#DIV/0!</v>
      </c>
      <c r="BY443" s="495" t="str">
        <f t="shared" si="419"/>
        <v xml:space="preserve"> </v>
      </c>
    </row>
    <row r="444" spans="1:77" s="28" customFormat="1" ht="9" customHeight="1">
      <c r="A444" s="406">
        <v>84</v>
      </c>
      <c r="B444" s="206" t="s">
        <v>706</v>
      </c>
      <c r="C444" s="376">
        <v>3316.2</v>
      </c>
      <c r="D444" s="376"/>
      <c r="E444" s="413" t="s">
        <v>1005</v>
      </c>
      <c r="F444" s="413"/>
      <c r="G444" s="413"/>
      <c r="H444" s="211">
        <v>2137094</v>
      </c>
      <c r="I444" s="407">
        <f t="shared" si="421"/>
        <v>0</v>
      </c>
      <c r="J444" s="217">
        <v>0</v>
      </c>
      <c r="K444" s="469">
        <v>0</v>
      </c>
      <c r="L444" s="217">
        <v>0</v>
      </c>
      <c r="M444" s="469">
        <v>0</v>
      </c>
      <c r="N444" s="217">
        <v>0</v>
      </c>
      <c r="O444" s="249">
        <v>0</v>
      </c>
      <c r="P444" s="407">
        <v>0</v>
      </c>
      <c r="Q444" s="249">
        <v>0</v>
      </c>
      <c r="R444" s="407">
        <v>0</v>
      </c>
      <c r="S444" s="249">
        <v>0</v>
      </c>
      <c r="T444" s="407">
        <v>0</v>
      </c>
      <c r="U444" s="130">
        <v>0</v>
      </c>
      <c r="V444" s="407">
        <v>0</v>
      </c>
      <c r="W444" s="410">
        <v>641</v>
      </c>
      <c r="X444" s="407">
        <f t="shared" si="422"/>
        <v>2040924.77</v>
      </c>
      <c r="Y444" s="410">
        <v>0</v>
      </c>
      <c r="Z444" s="410">
        <v>0</v>
      </c>
      <c r="AA444" s="410">
        <v>0</v>
      </c>
      <c r="AB444" s="410">
        <v>0</v>
      </c>
      <c r="AC444" s="410">
        <v>0</v>
      </c>
      <c r="AD444" s="410">
        <v>0</v>
      </c>
      <c r="AE444" s="410">
        <v>0</v>
      </c>
      <c r="AF444" s="410">
        <v>0</v>
      </c>
      <c r="AG444" s="410">
        <v>0</v>
      </c>
      <c r="AH444" s="410">
        <v>0</v>
      </c>
      <c r="AI444" s="410">
        <v>0</v>
      </c>
      <c r="AJ444" s="410">
        <f t="shared" si="423"/>
        <v>64112.82</v>
      </c>
      <c r="AK444" s="410">
        <f t="shared" si="424"/>
        <v>32056.41</v>
      </c>
      <c r="AL444" s="410">
        <v>0</v>
      </c>
      <c r="AM444" s="446"/>
      <c r="AN444" s="446"/>
      <c r="AP444" s="486" t="e">
        <f t="shared" si="396"/>
        <v>#DIV/0!</v>
      </c>
      <c r="AQ444" s="486" t="e">
        <f t="shared" si="398"/>
        <v>#DIV/0!</v>
      </c>
      <c r="AR444" s="486" t="e">
        <f t="shared" si="399"/>
        <v>#DIV/0!</v>
      </c>
      <c r="AS444" s="486" t="e">
        <f t="shared" si="400"/>
        <v>#DIV/0!</v>
      </c>
      <c r="AT444" s="486" t="e">
        <f t="shared" si="401"/>
        <v>#DIV/0!</v>
      </c>
      <c r="AU444" s="486" t="e">
        <f t="shared" si="402"/>
        <v>#DIV/0!</v>
      </c>
      <c r="AV444" s="486" t="e">
        <f t="shared" si="403"/>
        <v>#DIV/0!</v>
      </c>
      <c r="AW444" s="486">
        <f t="shared" si="404"/>
        <v>3183.9700000000003</v>
      </c>
      <c r="AX444" s="486" t="e">
        <f t="shared" si="405"/>
        <v>#DIV/0!</v>
      </c>
      <c r="AY444" s="486" t="e">
        <f t="shared" si="406"/>
        <v>#DIV/0!</v>
      </c>
      <c r="AZ444" s="486" t="e">
        <f t="shared" si="407"/>
        <v>#DIV/0!</v>
      </c>
      <c r="BA444" s="486">
        <f t="shared" si="397"/>
        <v>0</v>
      </c>
      <c r="BB444" s="494">
        <v>5155.41</v>
      </c>
      <c r="BC444" s="494">
        <v>2070.12</v>
      </c>
      <c r="BD444" s="494">
        <v>848.92</v>
      </c>
      <c r="BE444" s="494">
        <v>819.73</v>
      </c>
      <c r="BF444" s="494">
        <v>611.5</v>
      </c>
      <c r="BG444" s="494">
        <v>1080.04</v>
      </c>
      <c r="BH444" s="494">
        <v>2671800.0099999998</v>
      </c>
      <c r="BI444" s="494">
        <f t="shared" si="420"/>
        <v>4607.6000000000004</v>
      </c>
      <c r="BJ444" s="494">
        <v>14289.54</v>
      </c>
      <c r="BK444" s="494">
        <v>3389.61</v>
      </c>
      <c r="BL444" s="494">
        <v>5995.76</v>
      </c>
      <c r="BM444" s="494">
        <v>548.62</v>
      </c>
      <c r="BN444" s="495" t="e">
        <f t="shared" si="408"/>
        <v>#DIV/0!</v>
      </c>
      <c r="BO444" s="495" t="e">
        <f t="shared" si="409"/>
        <v>#DIV/0!</v>
      </c>
      <c r="BP444" s="495" t="e">
        <f t="shared" si="410"/>
        <v>#DIV/0!</v>
      </c>
      <c r="BQ444" s="495" t="e">
        <f t="shared" si="411"/>
        <v>#DIV/0!</v>
      </c>
      <c r="BR444" s="495" t="e">
        <f t="shared" si="412"/>
        <v>#DIV/0!</v>
      </c>
      <c r="BS444" s="495" t="e">
        <f t="shared" si="413"/>
        <v>#DIV/0!</v>
      </c>
      <c r="BT444" s="495" t="e">
        <f t="shared" si="414"/>
        <v>#DIV/0!</v>
      </c>
      <c r="BU444" s="495" t="str">
        <f t="shared" si="415"/>
        <v xml:space="preserve"> </v>
      </c>
      <c r="BV444" s="495" t="e">
        <f t="shared" si="416"/>
        <v>#DIV/0!</v>
      </c>
      <c r="BW444" s="495" t="e">
        <f t="shared" si="417"/>
        <v>#DIV/0!</v>
      </c>
      <c r="BX444" s="495" t="e">
        <f t="shared" si="418"/>
        <v>#DIV/0!</v>
      </c>
      <c r="BY444" s="495" t="str">
        <f t="shared" si="419"/>
        <v xml:space="preserve"> </v>
      </c>
    </row>
    <row r="445" spans="1:77" s="28" customFormat="1" ht="9" customHeight="1">
      <c r="A445" s="406">
        <v>85</v>
      </c>
      <c r="B445" s="206" t="s">
        <v>707</v>
      </c>
      <c r="C445" s="376">
        <v>15749.4</v>
      </c>
      <c r="D445" s="376"/>
      <c r="E445" s="413" t="s">
        <v>1005</v>
      </c>
      <c r="F445" s="413"/>
      <c r="G445" s="413"/>
      <c r="H445" s="211">
        <v>9250183</v>
      </c>
      <c r="I445" s="407">
        <f t="shared" si="421"/>
        <v>0</v>
      </c>
      <c r="J445" s="217">
        <v>0</v>
      </c>
      <c r="K445" s="469">
        <v>0</v>
      </c>
      <c r="L445" s="217">
        <v>0</v>
      </c>
      <c r="M445" s="469">
        <v>0</v>
      </c>
      <c r="N445" s="217">
        <v>0</v>
      </c>
      <c r="O445" s="249">
        <v>0</v>
      </c>
      <c r="P445" s="407">
        <v>0</v>
      </c>
      <c r="Q445" s="249">
        <v>0</v>
      </c>
      <c r="R445" s="407">
        <v>0</v>
      </c>
      <c r="S445" s="249">
        <v>0</v>
      </c>
      <c r="T445" s="407">
        <v>0</v>
      </c>
      <c r="U445" s="130">
        <v>0</v>
      </c>
      <c r="V445" s="407">
        <v>0</v>
      </c>
      <c r="W445" s="410">
        <v>2774.5</v>
      </c>
      <c r="X445" s="407">
        <f>ROUND(H445/100*95.5-0.01,2)</f>
        <v>8833924.7599999998</v>
      </c>
      <c r="Y445" s="410">
        <v>0</v>
      </c>
      <c r="Z445" s="410">
        <v>0</v>
      </c>
      <c r="AA445" s="410">
        <v>0</v>
      </c>
      <c r="AB445" s="410">
        <v>0</v>
      </c>
      <c r="AC445" s="410">
        <v>0</v>
      </c>
      <c r="AD445" s="410">
        <v>0</v>
      </c>
      <c r="AE445" s="410">
        <v>0</v>
      </c>
      <c r="AF445" s="410">
        <v>0</v>
      </c>
      <c r="AG445" s="410">
        <v>0</v>
      </c>
      <c r="AH445" s="410">
        <v>0</v>
      </c>
      <c r="AI445" s="410">
        <v>0</v>
      </c>
      <c r="AJ445" s="410">
        <f t="shared" si="423"/>
        <v>277505.49</v>
      </c>
      <c r="AK445" s="410">
        <f t="shared" si="424"/>
        <v>138752.75</v>
      </c>
      <c r="AL445" s="410">
        <v>0</v>
      </c>
      <c r="AM445" s="446"/>
      <c r="AN445" s="446"/>
      <c r="AP445" s="486" t="e">
        <f t="shared" si="396"/>
        <v>#DIV/0!</v>
      </c>
      <c r="AQ445" s="486" t="e">
        <f t="shared" si="398"/>
        <v>#DIV/0!</v>
      </c>
      <c r="AR445" s="486" t="e">
        <f t="shared" si="399"/>
        <v>#DIV/0!</v>
      </c>
      <c r="AS445" s="486" t="e">
        <f t="shared" si="400"/>
        <v>#DIV/0!</v>
      </c>
      <c r="AT445" s="486" t="e">
        <f t="shared" si="401"/>
        <v>#DIV/0!</v>
      </c>
      <c r="AU445" s="486" t="e">
        <f t="shared" si="402"/>
        <v>#DIV/0!</v>
      </c>
      <c r="AV445" s="486" t="e">
        <f t="shared" si="403"/>
        <v>#DIV/0!</v>
      </c>
      <c r="AW445" s="486">
        <f t="shared" si="404"/>
        <v>3183.9699981978733</v>
      </c>
      <c r="AX445" s="486" t="e">
        <f t="shared" si="405"/>
        <v>#DIV/0!</v>
      </c>
      <c r="AY445" s="486" t="e">
        <f t="shared" si="406"/>
        <v>#DIV/0!</v>
      </c>
      <c r="AZ445" s="486" t="e">
        <f t="shared" si="407"/>
        <v>#DIV/0!</v>
      </c>
      <c r="BA445" s="486">
        <f t="shared" si="397"/>
        <v>0</v>
      </c>
      <c r="BB445" s="494">
        <v>5155.41</v>
      </c>
      <c r="BC445" s="494">
        <v>2070.12</v>
      </c>
      <c r="BD445" s="494">
        <v>848.92</v>
      </c>
      <c r="BE445" s="494">
        <v>819.73</v>
      </c>
      <c r="BF445" s="494">
        <v>611.5</v>
      </c>
      <c r="BG445" s="494">
        <v>1080.04</v>
      </c>
      <c r="BH445" s="494">
        <v>2671800.0099999998</v>
      </c>
      <c r="BI445" s="494">
        <f t="shared" si="420"/>
        <v>4607.6000000000004</v>
      </c>
      <c r="BJ445" s="494">
        <v>14289.54</v>
      </c>
      <c r="BK445" s="494">
        <v>3389.61</v>
      </c>
      <c r="BL445" s="494">
        <v>5995.76</v>
      </c>
      <c r="BM445" s="494">
        <v>548.62</v>
      </c>
      <c r="BN445" s="495" t="e">
        <f t="shared" si="408"/>
        <v>#DIV/0!</v>
      </c>
      <c r="BO445" s="495" t="e">
        <f t="shared" si="409"/>
        <v>#DIV/0!</v>
      </c>
      <c r="BP445" s="495" t="e">
        <f t="shared" si="410"/>
        <v>#DIV/0!</v>
      </c>
      <c r="BQ445" s="495" t="e">
        <f t="shared" si="411"/>
        <v>#DIV/0!</v>
      </c>
      <c r="BR445" s="495" t="e">
        <f t="shared" si="412"/>
        <v>#DIV/0!</v>
      </c>
      <c r="BS445" s="495" t="e">
        <f t="shared" si="413"/>
        <v>#DIV/0!</v>
      </c>
      <c r="BT445" s="495" t="e">
        <f t="shared" si="414"/>
        <v>#DIV/0!</v>
      </c>
      <c r="BU445" s="495" t="str">
        <f t="shared" si="415"/>
        <v xml:space="preserve"> </v>
      </c>
      <c r="BV445" s="495" t="e">
        <f t="shared" si="416"/>
        <v>#DIV/0!</v>
      </c>
      <c r="BW445" s="495" t="e">
        <f t="shared" si="417"/>
        <v>#DIV/0!</v>
      </c>
      <c r="BX445" s="495" t="e">
        <f t="shared" si="418"/>
        <v>#DIV/0!</v>
      </c>
      <c r="BY445" s="495" t="str">
        <f t="shared" si="419"/>
        <v xml:space="preserve"> </v>
      </c>
    </row>
    <row r="446" spans="1:77" s="28" customFormat="1" ht="9" customHeight="1">
      <c r="A446" s="406">
        <v>86</v>
      </c>
      <c r="B446" s="206" t="s">
        <v>708</v>
      </c>
      <c r="C446" s="376">
        <v>10383.700000000001</v>
      </c>
      <c r="D446" s="376"/>
      <c r="E446" s="413" t="s">
        <v>1005</v>
      </c>
      <c r="F446" s="413"/>
      <c r="G446" s="413"/>
      <c r="H446" s="211">
        <v>6577982</v>
      </c>
      <c r="I446" s="407">
        <f t="shared" si="421"/>
        <v>0</v>
      </c>
      <c r="J446" s="217">
        <v>0</v>
      </c>
      <c r="K446" s="469">
        <v>0</v>
      </c>
      <c r="L446" s="217">
        <v>0</v>
      </c>
      <c r="M446" s="469">
        <v>0</v>
      </c>
      <c r="N446" s="217">
        <v>0</v>
      </c>
      <c r="O446" s="249">
        <v>0</v>
      </c>
      <c r="P446" s="407">
        <v>0</v>
      </c>
      <c r="Q446" s="249">
        <v>0</v>
      </c>
      <c r="R446" s="407">
        <v>0</v>
      </c>
      <c r="S446" s="249">
        <v>0</v>
      </c>
      <c r="T446" s="407">
        <v>0</v>
      </c>
      <c r="U446" s="130">
        <v>0</v>
      </c>
      <c r="V446" s="407">
        <v>0</v>
      </c>
      <c r="W446" s="410">
        <v>1973</v>
      </c>
      <c r="X446" s="407">
        <f t="shared" si="422"/>
        <v>6281972.8099999996</v>
      </c>
      <c r="Y446" s="410">
        <v>0</v>
      </c>
      <c r="Z446" s="410">
        <v>0</v>
      </c>
      <c r="AA446" s="410">
        <v>0</v>
      </c>
      <c r="AB446" s="410">
        <v>0</v>
      </c>
      <c r="AC446" s="410">
        <v>0</v>
      </c>
      <c r="AD446" s="410">
        <v>0</v>
      </c>
      <c r="AE446" s="410">
        <v>0</v>
      </c>
      <c r="AF446" s="410">
        <v>0</v>
      </c>
      <c r="AG446" s="410">
        <v>0</v>
      </c>
      <c r="AH446" s="410">
        <v>0</v>
      </c>
      <c r="AI446" s="410">
        <v>0</v>
      </c>
      <c r="AJ446" s="410">
        <f t="shared" si="423"/>
        <v>197339.46</v>
      </c>
      <c r="AK446" s="410">
        <f t="shared" si="424"/>
        <v>98669.73</v>
      </c>
      <c r="AL446" s="410">
        <v>0</v>
      </c>
      <c r="AM446" s="446"/>
      <c r="AN446" s="446"/>
      <c r="AP446" s="486" t="e">
        <f t="shared" si="396"/>
        <v>#DIV/0!</v>
      </c>
      <c r="AQ446" s="486" t="e">
        <f t="shared" si="398"/>
        <v>#DIV/0!</v>
      </c>
      <c r="AR446" s="486" t="e">
        <f t="shared" si="399"/>
        <v>#DIV/0!</v>
      </c>
      <c r="AS446" s="486" t="e">
        <f t="shared" si="400"/>
        <v>#DIV/0!</v>
      </c>
      <c r="AT446" s="486" t="e">
        <f t="shared" si="401"/>
        <v>#DIV/0!</v>
      </c>
      <c r="AU446" s="486" t="e">
        <f t="shared" si="402"/>
        <v>#DIV/0!</v>
      </c>
      <c r="AV446" s="486" t="e">
        <f t="shared" si="403"/>
        <v>#DIV/0!</v>
      </c>
      <c r="AW446" s="486">
        <f t="shared" si="404"/>
        <v>3183.97</v>
      </c>
      <c r="AX446" s="486" t="e">
        <f t="shared" si="405"/>
        <v>#DIV/0!</v>
      </c>
      <c r="AY446" s="486" t="e">
        <f t="shared" si="406"/>
        <v>#DIV/0!</v>
      </c>
      <c r="AZ446" s="486" t="e">
        <f t="shared" si="407"/>
        <v>#DIV/0!</v>
      </c>
      <c r="BA446" s="486">
        <f t="shared" si="397"/>
        <v>0</v>
      </c>
      <c r="BB446" s="494">
        <v>5155.41</v>
      </c>
      <c r="BC446" s="494">
        <v>2070.12</v>
      </c>
      <c r="BD446" s="494">
        <v>848.92</v>
      </c>
      <c r="BE446" s="494">
        <v>819.73</v>
      </c>
      <c r="BF446" s="494">
        <v>611.5</v>
      </c>
      <c r="BG446" s="494">
        <v>1080.04</v>
      </c>
      <c r="BH446" s="494">
        <v>2671800.0099999998</v>
      </c>
      <c r="BI446" s="494">
        <f t="shared" si="420"/>
        <v>4607.6000000000004</v>
      </c>
      <c r="BJ446" s="494">
        <v>14289.54</v>
      </c>
      <c r="BK446" s="494">
        <v>3389.61</v>
      </c>
      <c r="BL446" s="494">
        <v>5995.76</v>
      </c>
      <c r="BM446" s="494">
        <v>548.62</v>
      </c>
      <c r="BN446" s="495" t="e">
        <f t="shared" si="408"/>
        <v>#DIV/0!</v>
      </c>
      <c r="BO446" s="495" t="e">
        <f t="shared" si="409"/>
        <v>#DIV/0!</v>
      </c>
      <c r="BP446" s="495" t="e">
        <f t="shared" si="410"/>
        <v>#DIV/0!</v>
      </c>
      <c r="BQ446" s="495" t="e">
        <f t="shared" si="411"/>
        <v>#DIV/0!</v>
      </c>
      <c r="BR446" s="495" t="e">
        <f t="shared" si="412"/>
        <v>#DIV/0!</v>
      </c>
      <c r="BS446" s="495" t="e">
        <f t="shared" si="413"/>
        <v>#DIV/0!</v>
      </c>
      <c r="BT446" s="495" t="e">
        <f t="shared" si="414"/>
        <v>#DIV/0!</v>
      </c>
      <c r="BU446" s="495" t="str">
        <f t="shared" si="415"/>
        <v xml:space="preserve"> </v>
      </c>
      <c r="BV446" s="495" t="e">
        <f t="shared" si="416"/>
        <v>#DIV/0!</v>
      </c>
      <c r="BW446" s="495" t="e">
        <f t="shared" si="417"/>
        <v>#DIV/0!</v>
      </c>
      <c r="BX446" s="495" t="e">
        <f t="shared" si="418"/>
        <v>#DIV/0!</v>
      </c>
      <c r="BY446" s="495" t="str">
        <f t="shared" si="419"/>
        <v xml:space="preserve"> </v>
      </c>
    </row>
    <row r="447" spans="1:77" s="28" customFormat="1" ht="9" customHeight="1">
      <c r="A447" s="406">
        <v>87</v>
      </c>
      <c r="B447" s="206" t="s">
        <v>709</v>
      </c>
      <c r="C447" s="376">
        <v>7792.2</v>
      </c>
      <c r="D447" s="376"/>
      <c r="E447" s="413" t="s">
        <v>1005</v>
      </c>
      <c r="F447" s="413"/>
      <c r="G447" s="413"/>
      <c r="H447" s="211">
        <v>7208108</v>
      </c>
      <c r="I447" s="407">
        <f t="shared" si="421"/>
        <v>0</v>
      </c>
      <c r="J447" s="217">
        <v>0</v>
      </c>
      <c r="K447" s="469">
        <v>0</v>
      </c>
      <c r="L447" s="217">
        <v>0</v>
      </c>
      <c r="M447" s="469">
        <v>0</v>
      </c>
      <c r="N447" s="217">
        <v>0</v>
      </c>
      <c r="O447" s="249">
        <v>0</v>
      </c>
      <c r="P447" s="407">
        <v>0</v>
      </c>
      <c r="Q447" s="249">
        <v>0</v>
      </c>
      <c r="R447" s="407">
        <v>0</v>
      </c>
      <c r="S447" s="249">
        <v>0</v>
      </c>
      <c r="T447" s="407">
        <v>0</v>
      </c>
      <c r="U447" s="130">
        <v>0</v>
      </c>
      <c r="V447" s="407">
        <v>0</v>
      </c>
      <c r="W447" s="410">
        <v>2162</v>
      </c>
      <c r="X447" s="407">
        <f t="shared" si="422"/>
        <v>6883743.1399999997</v>
      </c>
      <c r="Y447" s="410">
        <v>0</v>
      </c>
      <c r="Z447" s="410">
        <v>0</v>
      </c>
      <c r="AA447" s="410">
        <v>0</v>
      </c>
      <c r="AB447" s="410">
        <v>0</v>
      </c>
      <c r="AC447" s="410">
        <v>0</v>
      </c>
      <c r="AD447" s="410">
        <v>0</v>
      </c>
      <c r="AE447" s="410">
        <v>0</v>
      </c>
      <c r="AF447" s="410">
        <v>0</v>
      </c>
      <c r="AG447" s="410">
        <v>0</v>
      </c>
      <c r="AH447" s="410">
        <v>0</v>
      </c>
      <c r="AI447" s="410">
        <v>0</v>
      </c>
      <c r="AJ447" s="410">
        <f t="shared" si="423"/>
        <v>216243.24</v>
      </c>
      <c r="AK447" s="410">
        <f t="shared" si="424"/>
        <v>108121.62</v>
      </c>
      <c r="AL447" s="410">
        <v>0</v>
      </c>
      <c r="AM447" s="446"/>
      <c r="AN447" s="446"/>
      <c r="AP447" s="486" t="e">
        <f t="shared" si="396"/>
        <v>#DIV/0!</v>
      </c>
      <c r="AQ447" s="486" t="e">
        <f t="shared" si="398"/>
        <v>#DIV/0!</v>
      </c>
      <c r="AR447" s="486" t="e">
        <f t="shared" si="399"/>
        <v>#DIV/0!</v>
      </c>
      <c r="AS447" s="486" t="e">
        <f t="shared" si="400"/>
        <v>#DIV/0!</v>
      </c>
      <c r="AT447" s="486" t="e">
        <f t="shared" si="401"/>
        <v>#DIV/0!</v>
      </c>
      <c r="AU447" s="486" t="e">
        <f t="shared" si="402"/>
        <v>#DIV/0!</v>
      </c>
      <c r="AV447" s="486" t="e">
        <f t="shared" si="403"/>
        <v>#DIV/0!</v>
      </c>
      <c r="AW447" s="486">
        <f t="shared" si="404"/>
        <v>3183.97</v>
      </c>
      <c r="AX447" s="486" t="e">
        <f t="shared" si="405"/>
        <v>#DIV/0!</v>
      </c>
      <c r="AY447" s="486" t="e">
        <f t="shared" si="406"/>
        <v>#DIV/0!</v>
      </c>
      <c r="AZ447" s="486" t="e">
        <f t="shared" si="407"/>
        <v>#DIV/0!</v>
      </c>
      <c r="BA447" s="486">
        <f t="shared" si="397"/>
        <v>0</v>
      </c>
      <c r="BB447" s="494">
        <v>5155.41</v>
      </c>
      <c r="BC447" s="494">
        <v>2070.12</v>
      </c>
      <c r="BD447" s="494">
        <v>848.92</v>
      </c>
      <c r="BE447" s="494">
        <v>819.73</v>
      </c>
      <c r="BF447" s="494">
        <v>611.5</v>
      </c>
      <c r="BG447" s="494">
        <v>1080.04</v>
      </c>
      <c r="BH447" s="494">
        <v>2671800.0099999998</v>
      </c>
      <c r="BI447" s="494">
        <f t="shared" si="420"/>
        <v>4607.6000000000004</v>
      </c>
      <c r="BJ447" s="494">
        <v>14289.54</v>
      </c>
      <c r="BK447" s="494">
        <v>3389.61</v>
      </c>
      <c r="BL447" s="494">
        <v>5995.76</v>
      </c>
      <c r="BM447" s="494">
        <v>548.62</v>
      </c>
      <c r="BN447" s="495" t="e">
        <f t="shared" si="408"/>
        <v>#DIV/0!</v>
      </c>
      <c r="BO447" s="495" t="e">
        <f t="shared" si="409"/>
        <v>#DIV/0!</v>
      </c>
      <c r="BP447" s="495" t="e">
        <f t="shared" si="410"/>
        <v>#DIV/0!</v>
      </c>
      <c r="BQ447" s="495" t="e">
        <f t="shared" si="411"/>
        <v>#DIV/0!</v>
      </c>
      <c r="BR447" s="495" t="e">
        <f t="shared" si="412"/>
        <v>#DIV/0!</v>
      </c>
      <c r="BS447" s="495" t="e">
        <f t="shared" si="413"/>
        <v>#DIV/0!</v>
      </c>
      <c r="BT447" s="495" t="e">
        <f t="shared" si="414"/>
        <v>#DIV/0!</v>
      </c>
      <c r="BU447" s="495" t="str">
        <f t="shared" si="415"/>
        <v xml:space="preserve"> </v>
      </c>
      <c r="BV447" s="495" t="e">
        <f t="shared" si="416"/>
        <v>#DIV/0!</v>
      </c>
      <c r="BW447" s="495" t="e">
        <f t="shared" si="417"/>
        <v>#DIV/0!</v>
      </c>
      <c r="BX447" s="495" t="e">
        <f t="shared" si="418"/>
        <v>#DIV/0!</v>
      </c>
      <c r="BY447" s="495" t="str">
        <f t="shared" si="419"/>
        <v xml:space="preserve"> </v>
      </c>
    </row>
    <row r="448" spans="1:77" s="28" customFormat="1" ht="9" customHeight="1">
      <c r="A448" s="406">
        <v>88</v>
      </c>
      <c r="B448" s="206" t="s">
        <v>710</v>
      </c>
      <c r="C448" s="376">
        <v>2127.6</v>
      </c>
      <c r="D448" s="376"/>
      <c r="E448" s="413" t="s">
        <v>1005</v>
      </c>
      <c r="F448" s="413"/>
      <c r="G448" s="413"/>
      <c r="H448" s="211">
        <v>1999399.8</v>
      </c>
      <c r="I448" s="407">
        <f t="shared" si="421"/>
        <v>0</v>
      </c>
      <c r="J448" s="217">
        <v>0</v>
      </c>
      <c r="K448" s="469">
        <v>0</v>
      </c>
      <c r="L448" s="217">
        <v>0</v>
      </c>
      <c r="M448" s="469">
        <v>0</v>
      </c>
      <c r="N448" s="217">
        <v>0</v>
      </c>
      <c r="O448" s="249">
        <v>0</v>
      </c>
      <c r="P448" s="407">
        <v>0</v>
      </c>
      <c r="Q448" s="249">
        <v>0</v>
      </c>
      <c r="R448" s="407">
        <v>0</v>
      </c>
      <c r="S448" s="249">
        <v>0</v>
      </c>
      <c r="T448" s="407">
        <v>0</v>
      </c>
      <c r="U448" s="130">
        <v>0</v>
      </c>
      <c r="V448" s="407">
        <v>0</v>
      </c>
      <c r="W448" s="410">
        <v>599.70000000000005</v>
      </c>
      <c r="X448" s="407">
        <f t="shared" si="422"/>
        <v>1909426.81</v>
      </c>
      <c r="Y448" s="410">
        <v>0</v>
      </c>
      <c r="Z448" s="410">
        <v>0</v>
      </c>
      <c r="AA448" s="410">
        <v>0</v>
      </c>
      <c r="AB448" s="410">
        <v>0</v>
      </c>
      <c r="AC448" s="410">
        <v>0</v>
      </c>
      <c r="AD448" s="410">
        <v>0</v>
      </c>
      <c r="AE448" s="410">
        <v>0</v>
      </c>
      <c r="AF448" s="410">
        <v>0</v>
      </c>
      <c r="AG448" s="410">
        <v>0</v>
      </c>
      <c r="AH448" s="410">
        <v>0</v>
      </c>
      <c r="AI448" s="410">
        <v>0</v>
      </c>
      <c r="AJ448" s="410">
        <f t="shared" si="423"/>
        <v>59981.99</v>
      </c>
      <c r="AK448" s="410">
        <f t="shared" si="424"/>
        <v>29991</v>
      </c>
      <c r="AL448" s="410">
        <v>0</v>
      </c>
      <c r="AM448" s="446"/>
      <c r="AN448" s="446"/>
      <c r="AP448" s="486" t="e">
        <f t="shared" si="396"/>
        <v>#DIV/0!</v>
      </c>
      <c r="AQ448" s="486" t="e">
        <f t="shared" si="398"/>
        <v>#DIV/0!</v>
      </c>
      <c r="AR448" s="486" t="e">
        <f t="shared" si="399"/>
        <v>#DIV/0!</v>
      </c>
      <c r="AS448" s="486" t="e">
        <f t="shared" si="400"/>
        <v>#DIV/0!</v>
      </c>
      <c r="AT448" s="486" t="e">
        <f t="shared" si="401"/>
        <v>#DIV/0!</v>
      </c>
      <c r="AU448" s="486" t="e">
        <f t="shared" si="402"/>
        <v>#DIV/0!</v>
      </c>
      <c r="AV448" s="486" t="e">
        <f t="shared" si="403"/>
        <v>#DIV/0!</v>
      </c>
      <c r="AW448" s="486">
        <f t="shared" si="404"/>
        <v>3183.9700016675001</v>
      </c>
      <c r="AX448" s="486" t="e">
        <f t="shared" si="405"/>
        <v>#DIV/0!</v>
      </c>
      <c r="AY448" s="486" t="e">
        <f t="shared" si="406"/>
        <v>#DIV/0!</v>
      </c>
      <c r="AZ448" s="486" t="e">
        <f t="shared" si="407"/>
        <v>#DIV/0!</v>
      </c>
      <c r="BA448" s="486">
        <f t="shared" si="397"/>
        <v>0</v>
      </c>
      <c r="BB448" s="494">
        <v>5155.41</v>
      </c>
      <c r="BC448" s="494">
        <v>2070.12</v>
      </c>
      <c r="BD448" s="494">
        <v>848.92</v>
      </c>
      <c r="BE448" s="494">
        <v>819.73</v>
      </c>
      <c r="BF448" s="494">
        <v>611.5</v>
      </c>
      <c r="BG448" s="494">
        <v>1080.04</v>
      </c>
      <c r="BH448" s="494">
        <v>2671800.0099999998</v>
      </c>
      <c r="BI448" s="494">
        <f t="shared" si="420"/>
        <v>4607.6000000000004</v>
      </c>
      <c r="BJ448" s="494">
        <v>14289.54</v>
      </c>
      <c r="BK448" s="494">
        <v>3389.61</v>
      </c>
      <c r="BL448" s="494">
        <v>5995.76</v>
      </c>
      <c r="BM448" s="494">
        <v>548.62</v>
      </c>
      <c r="BN448" s="495" t="e">
        <f t="shared" si="408"/>
        <v>#DIV/0!</v>
      </c>
      <c r="BO448" s="495" t="e">
        <f t="shared" si="409"/>
        <v>#DIV/0!</v>
      </c>
      <c r="BP448" s="495" t="e">
        <f t="shared" si="410"/>
        <v>#DIV/0!</v>
      </c>
      <c r="BQ448" s="495" t="e">
        <f t="shared" si="411"/>
        <v>#DIV/0!</v>
      </c>
      <c r="BR448" s="495" t="e">
        <f t="shared" si="412"/>
        <v>#DIV/0!</v>
      </c>
      <c r="BS448" s="495" t="e">
        <f t="shared" si="413"/>
        <v>#DIV/0!</v>
      </c>
      <c r="BT448" s="495" t="e">
        <f t="shared" si="414"/>
        <v>#DIV/0!</v>
      </c>
      <c r="BU448" s="495" t="str">
        <f t="shared" si="415"/>
        <v xml:space="preserve"> </v>
      </c>
      <c r="BV448" s="495" t="e">
        <f t="shared" si="416"/>
        <v>#DIV/0!</v>
      </c>
      <c r="BW448" s="495" t="e">
        <f t="shared" si="417"/>
        <v>#DIV/0!</v>
      </c>
      <c r="BX448" s="495" t="e">
        <f t="shared" si="418"/>
        <v>#DIV/0!</v>
      </c>
      <c r="BY448" s="495" t="str">
        <f t="shared" si="419"/>
        <v xml:space="preserve"> </v>
      </c>
    </row>
    <row r="449" spans="1:77" s="28" customFormat="1" ht="9" customHeight="1">
      <c r="A449" s="406">
        <v>89</v>
      </c>
      <c r="B449" s="206" t="s">
        <v>711</v>
      </c>
      <c r="C449" s="376">
        <v>3368.5</v>
      </c>
      <c r="D449" s="376"/>
      <c r="E449" s="413" t="s">
        <v>1005</v>
      </c>
      <c r="F449" s="413"/>
      <c r="G449" s="413"/>
      <c r="H449" s="211">
        <v>3837434</v>
      </c>
      <c r="I449" s="407">
        <f t="shared" si="421"/>
        <v>0</v>
      </c>
      <c r="J449" s="217">
        <v>0</v>
      </c>
      <c r="K449" s="469">
        <v>0</v>
      </c>
      <c r="L449" s="217">
        <v>0</v>
      </c>
      <c r="M449" s="469">
        <v>0</v>
      </c>
      <c r="N449" s="217">
        <v>0</v>
      </c>
      <c r="O449" s="249">
        <v>0</v>
      </c>
      <c r="P449" s="407">
        <v>0</v>
      </c>
      <c r="Q449" s="249">
        <v>0</v>
      </c>
      <c r="R449" s="407">
        <v>0</v>
      </c>
      <c r="S449" s="249">
        <v>0</v>
      </c>
      <c r="T449" s="407">
        <v>0</v>
      </c>
      <c r="U449" s="130">
        <v>0</v>
      </c>
      <c r="V449" s="407">
        <v>0</v>
      </c>
      <c r="W449" s="410">
        <v>1151</v>
      </c>
      <c r="X449" s="407">
        <f t="shared" si="422"/>
        <v>3664749.47</v>
      </c>
      <c r="Y449" s="410">
        <v>0</v>
      </c>
      <c r="Z449" s="410">
        <v>0</v>
      </c>
      <c r="AA449" s="410">
        <v>0</v>
      </c>
      <c r="AB449" s="410">
        <v>0</v>
      </c>
      <c r="AC449" s="410">
        <v>0</v>
      </c>
      <c r="AD449" s="410">
        <v>0</v>
      </c>
      <c r="AE449" s="410">
        <v>0</v>
      </c>
      <c r="AF449" s="410">
        <v>0</v>
      </c>
      <c r="AG449" s="410">
        <v>0</v>
      </c>
      <c r="AH449" s="410">
        <v>0</v>
      </c>
      <c r="AI449" s="410">
        <v>0</v>
      </c>
      <c r="AJ449" s="410">
        <f t="shared" si="423"/>
        <v>115123.02</v>
      </c>
      <c r="AK449" s="410">
        <f t="shared" si="424"/>
        <v>57561.51</v>
      </c>
      <c r="AL449" s="410">
        <v>0</v>
      </c>
      <c r="AM449" s="446"/>
      <c r="AN449" s="446"/>
      <c r="AP449" s="486" t="e">
        <f t="shared" si="396"/>
        <v>#DIV/0!</v>
      </c>
      <c r="AQ449" s="486" t="e">
        <f t="shared" si="398"/>
        <v>#DIV/0!</v>
      </c>
      <c r="AR449" s="486" t="e">
        <f t="shared" si="399"/>
        <v>#DIV/0!</v>
      </c>
      <c r="AS449" s="486" t="e">
        <f t="shared" si="400"/>
        <v>#DIV/0!</v>
      </c>
      <c r="AT449" s="486" t="e">
        <f t="shared" si="401"/>
        <v>#DIV/0!</v>
      </c>
      <c r="AU449" s="486" t="e">
        <f t="shared" si="402"/>
        <v>#DIV/0!</v>
      </c>
      <c r="AV449" s="486" t="e">
        <f t="shared" si="403"/>
        <v>#DIV/0!</v>
      </c>
      <c r="AW449" s="486">
        <f t="shared" si="404"/>
        <v>3183.9700000000003</v>
      </c>
      <c r="AX449" s="486" t="e">
        <f t="shared" si="405"/>
        <v>#DIV/0!</v>
      </c>
      <c r="AY449" s="486" t="e">
        <f t="shared" si="406"/>
        <v>#DIV/0!</v>
      </c>
      <c r="AZ449" s="486" t="e">
        <f t="shared" si="407"/>
        <v>#DIV/0!</v>
      </c>
      <c r="BA449" s="486">
        <f t="shared" si="397"/>
        <v>0</v>
      </c>
      <c r="BB449" s="494">
        <v>5155.41</v>
      </c>
      <c r="BC449" s="494">
        <v>2070.12</v>
      </c>
      <c r="BD449" s="494">
        <v>848.92</v>
      </c>
      <c r="BE449" s="494">
        <v>819.73</v>
      </c>
      <c r="BF449" s="494">
        <v>611.5</v>
      </c>
      <c r="BG449" s="494">
        <v>1080.04</v>
      </c>
      <c r="BH449" s="494">
        <v>2671800.0099999998</v>
      </c>
      <c r="BI449" s="494">
        <f t="shared" si="420"/>
        <v>4607.6000000000004</v>
      </c>
      <c r="BJ449" s="494">
        <v>14289.54</v>
      </c>
      <c r="BK449" s="494">
        <v>3389.61</v>
      </c>
      <c r="BL449" s="494">
        <v>5995.76</v>
      </c>
      <c r="BM449" s="494">
        <v>548.62</v>
      </c>
      <c r="BN449" s="495" t="e">
        <f t="shared" si="408"/>
        <v>#DIV/0!</v>
      </c>
      <c r="BO449" s="495" t="e">
        <f t="shared" si="409"/>
        <v>#DIV/0!</v>
      </c>
      <c r="BP449" s="495" t="e">
        <f t="shared" si="410"/>
        <v>#DIV/0!</v>
      </c>
      <c r="BQ449" s="495" t="e">
        <f t="shared" si="411"/>
        <v>#DIV/0!</v>
      </c>
      <c r="BR449" s="495" t="e">
        <f t="shared" si="412"/>
        <v>#DIV/0!</v>
      </c>
      <c r="BS449" s="495" t="e">
        <f t="shared" si="413"/>
        <v>#DIV/0!</v>
      </c>
      <c r="BT449" s="495" t="e">
        <f t="shared" si="414"/>
        <v>#DIV/0!</v>
      </c>
      <c r="BU449" s="495" t="str">
        <f t="shared" si="415"/>
        <v xml:space="preserve"> </v>
      </c>
      <c r="BV449" s="495" t="e">
        <f t="shared" si="416"/>
        <v>#DIV/0!</v>
      </c>
      <c r="BW449" s="495" t="e">
        <f t="shared" si="417"/>
        <v>#DIV/0!</v>
      </c>
      <c r="BX449" s="495" t="e">
        <f t="shared" si="418"/>
        <v>#DIV/0!</v>
      </c>
      <c r="BY449" s="495" t="str">
        <f t="shared" si="419"/>
        <v xml:space="preserve"> </v>
      </c>
    </row>
    <row r="450" spans="1:77" s="28" customFormat="1" ht="9" customHeight="1">
      <c r="A450" s="406">
        <v>90</v>
      </c>
      <c r="B450" s="206" t="s">
        <v>712</v>
      </c>
      <c r="C450" s="376">
        <v>1346.6</v>
      </c>
      <c r="D450" s="376"/>
      <c r="E450" s="413" t="s">
        <v>1006</v>
      </c>
      <c r="F450" s="413"/>
      <c r="G450" s="413"/>
      <c r="H450" s="211">
        <v>931392</v>
      </c>
      <c r="I450" s="407">
        <f t="shared" si="421"/>
        <v>0</v>
      </c>
      <c r="J450" s="217">
        <v>0</v>
      </c>
      <c r="K450" s="469">
        <v>0</v>
      </c>
      <c r="L450" s="217">
        <v>0</v>
      </c>
      <c r="M450" s="469">
        <v>0</v>
      </c>
      <c r="N450" s="217">
        <v>0</v>
      </c>
      <c r="O450" s="249">
        <v>0</v>
      </c>
      <c r="P450" s="407">
        <v>0</v>
      </c>
      <c r="Q450" s="249">
        <v>0</v>
      </c>
      <c r="R450" s="407">
        <v>0</v>
      </c>
      <c r="S450" s="249">
        <v>0</v>
      </c>
      <c r="T450" s="407">
        <v>0</v>
      </c>
      <c r="U450" s="130">
        <v>0</v>
      </c>
      <c r="V450" s="407">
        <v>0</v>
      </c>
      <c r="W450" s="410">
        <v>288</v>
      </c>
      <c r="X450" s="407">
        <f t="shared" si="422"/>
        <v>889479.36</v>
      </c>
      <c r="Y450" s="410">
        <v>0</v>
      </c>
      <c r="Z450" s="410">
        <v>0</v>
      </c>
      <c r="AA450" s="410">
        <v>0</v>
      </c>
      <c r="AB450" s="410">
        <v>0</v>
      </c>
      <c r="AC450" s="410">
        <v>0</v>
      </c>
      <c r="AD450" s="410">
        <v>0</v>
      </c>
      <c r="AE450" s="410">
        <v>0</v>
      </c>
      <c r="AF450" s="410">
        <v>0</v>
      </c>
      <c r="AG450" s="410">
        <v>0</v>
      </c>
      <c r="AH450" s="410">
        <v>0</v>
      </c>
      <c r="AI450" s="410">
        <v>0</v>
      </c>
      <c r="AJ450" s="410">
        <f t="shared" si="423"/>
        <v>27941.759999999998</v>
      </c>
      <c r="AK450" s="410">
        <f t="shared" si="424"/>
        <v>13970.88</v>
      </c>
      <c r="AL450" s="410">
        <v>0</v>
      </c>
      <c r="AM450" s="446"/>
      <c r="AN450" s="446"/>
      <c r="AP450" s="486" t="e">
        <f t="shared" si="396"/>
        <v>#DIV/0!</v>
      </c>
      <c r="AQ450" s="486" t="e">
        <f t="shared" si="398"/>
        <v>#DIV/0!</v>
      </c>
      <c r="AR450" s="486" t="e">
        <f t="shared" si="399"/>
        <v>#DIV/0!</v>
      </c>
      <c r="AS450" s="486" t="e">
        <f t="shared" si="400"/>
        <v>#DIV/0!</v>
      </c>
      <c r="AT450" s="486" t="e">
        <f t="shared" si="401"/>
        <v>#DIV/0!</v>
      </c>
      <c r="AU450" s="486" t="e">
        <f t="shared" si="402"/>
        <v>#DIV/0!</v>
      </c>
      <c r="AV450" s="486" t="e">
        <f t="shared" si="403"/>
        <v>#DIV/0!</v>
      </c>
      <c r="AW450" s="486">
        <f t="shared" si="404"/>
        <v>3088.47</v>
      </c>
      <c r="AX450" s="486" t="e">
        <f t="shared" si="405"/>
        <v>#DIV/0!</v>
      </c>
      <c r="AY450" s="486" t="e">
        <f t="shared" si="406"/>
        <v>#DIV/0!</v>
      </c>
      <c r="AZ450" s="486" t="e">
        <f t="shared" si="407"/>
        <v>#DIV/0!</v>
      </c>
      <c r="BA450" s="486">
        <f t="shared" si="397"/>
        <v>0</v>
      </c>
      <c r="BB450" s="494">
        <v>5155.41</v>
      </c>
      <c r="BC450" s="494">
        <v>2070.12</v>
      </c>
      <c r="BD450" s="494">
        <v>848.92</v>
      </c>
      <c r="BE450" s="494">
        <v>819.73</v>
      </c>
      <c r="BF450" s="494">
        <v>611.5</v>
      </c>
      <c r="BG450" s="494">
        <v>1080.04</v>
      </c>
      <c r="BH450" s="494">
        <v>2671800.0099999998</v>
      </c>
      <c r="BI450" s="494">
        <f t="shared" si="420"/>
        <v>4422.8500000000004</v>
      </c>
      <c r="BJ450" s="494">
        <v>14289.54</v>
      </c>
      <c r="BK450" s="494">
        <v>3389.61</v>
      </c>
      <c r="BL450" s="494">
        <v>5995.76</v>
      </c>
      <c r="BM450" s="494">
        <v>548.62</v>
      </c>
      <c r="BN450" s="495" t="e">
        <f t="shared" si="408"/>
        <v>#DIV/0!</v>
      </c>
      <c r="BO450" s="495" t="e">
        <f t="shared" si="409"/>
        <v>#DIV/0!</v>
      </c>
      <c r="BP450" s="495" t="e">
        <f t="shared" si="410"/>
        <v>#DIV/0!</v>
      </c>
      <c r="BQ450" s="495" t="e">
        <f t="shared" si="411"/>
        <v>#DIV/0!</v>
      </c>
      <c r="BR450" s="495" t="e">
        <f t="shared" si="412"/>
        <v>#DIV/0!</v>
      </c>
      <c r="BS450" s="495" t="e">
        <f t="shared" si="413"/>
        <v>#DIV/0!</v>
      </c>
      <c r="BT450" s="495" t="e">
        <f t="shared" si="414"/>
        <v>#DIV/0!</v>
      </c>
      <c r="BU450" s="495" t="str">
        <f t="shared" si="415"/>
        <v xml:space="preserve"> </v>
      </c>
      <c r="BV450" s="495" t="e">
        <f t="shared" si="416"/>
        <v>#DIV/0!</v>
      </c>
      <c r="BW450" s="495" t="e">
        <f t="shared" si="417"/>
        <v>#DIV/0!</v>
      </c>
      <c r="BX450" s="495" t="e">
        <f t="shared" si="418"/>
        <v>#DIV/0!</v>
      </c>
      <c r="BY450" s="495" t="str">
        <f t="shared" si="419"/>
        <v xml:space="preserve"> </v>
      </c>
    </row>
    <row r="451" spans="1:77" s="28" customFormat="1" ht="9" customHeight="1">
      <c r="A451" s="406">
        <v>91</v>
      </c>
      <c r="B451" s="206" t="s">
        <v>713</v>
      </c>
      <c r="C451" s="376">
        <v>5183.1000000000004</v>
      </c>
      <c r="D451" s="376"/>
      <c r="E451" s="413" t="s">
        <v>1005</v>
      </c>
      <c r="F451" s="413"/>
      <c r="G451" s="413"/>
      <c r="H451" s="211">
        <v>5001000</v>
      </c>
      <c r="I451" s="407">
        <f t="shared" si="421"/>
        <v>0</v>
      </c>
      <c r="J451" s="217">
        <v>0</v>
      </c>
      <c r="K451" s="469">
        <v>0</v>
      </c>
      <c r="L451" s="217">
        <v>0</v>
      </c>
      <c r="M451" s="469">
        <v>0</v>
      </c>
      <c r="N451" s="217">
        <v>0</v>
      </c>
      <c r="O451" s="249">
        <v>0</v>
      </c>
      <c r="P451" s="407">
        <v>0</v>
      </c>
      <c r="Q451" s="249">
        <v>0</v>
      </c>
      <c r="R451" s="407">
        <v>0</v>
      </c>
      <c r="S451" s="249">
        <v>0</v>
      </c>
      <c r="T451" s="407">
        <v>0</v>
      </c>
      <c r="U451" s="130">
        <v>0</v>
      </c>
      <c r="V451" s="407">
        <v>0</v>
      </c>
      <c r="W451" s="410">
        <v>1500</v>
      </c>
      <c r="X451" s="407">
        <f t="shared" si="422"/>
        <v>4775955</v>
      </c>
      <c r="Y451" s="410">
        <v>0</v>
      </c>
      <c r="Z451" s="410">
        <v>0</v>
      </c>
      <c r="AA451" s="410">
        <v>0</v>
      </c>
      <c r="AB451" s="410">
        <v>0</v>
      </c>
      <c r="AC451" s="410">
        <v>0</v>
      </c>
      <c r="AD451" s="410">
        <v>0</v>
      </c>
      <c r="AE451" s="410">
        <v>0</v>
      </c>
      <c r="AF451" s="410">
        <v>0</v>
      </c>
      <c r="AG451" s="410">
        <v>0</v>
      </c>
      <c r="AH451" s="410">
        <v>0</v>
      </c>
      <c r="AI451" s="410">
        <v>0</v>
      </c>
      <c r="AJ451" s="410">
        <f t="shared" si="423"/>
        <v>150030</v>
      </c>
      <c r="AK451" s="410">
        <f t="shared" si="424"/>
        <v>75015</v>
      </c>
      <c r="AL451" s="410">
        <v>0</v>
      </c>
      <c r="AM451" s="446"/>
      <c r="AN451" s="446"/>
      <c r="AP451" s="486" t="e">
        <f t="shared" si="396"/>
        <v>#DIV/0!</v>
      </c>
      <c r="AQ451" s="486" t="e">
        <f t="shared" si="398"/>
        <v>#DIV/0!</v>
      </c>
      <c r="AR451" s="486" t="e">
        <f t="shared" si="399"/>
        <v>#DIV/0!</v>
      </c>
      <c r="AS451" s="486" t="e">
        <f t="shared" si="400"/>
        <v>#DIV/0!</v>
      </c>
      <c r="AT451" s="486" t="e">
        <f t="shared" si="401"/>
        <v>#DIV/0!</v>
      </c>
      <c r="AU451" s="486" t="e">
        <f t="shared" si="402"/>
        <v>#DIV/0!</v>
      </c>
      <c r="AV451" s="486" t="e">
        <f t="shared" si="403"/>
        <v>#DIV/0!</v>
      </c>
      <c r="AW451" s="486">
        <f t="shared" si="404"/>
        <v>3183.97</v>
      </c>
      <c r="AX451" s="486" t="e">
        <f t="shared" si="405"/>
        <v>#DIV/0!</v>
      </c>
      <c r="AY451" s="486" t="e">
        <f t="shared" si="406"/>
        <v>#DIV/0!</v>
      </c>
      <c r="AZ451" s="486" t="e">
        <f t="shared" si="407"/>
        <v>#DIV/0!</v>
      </c>
      <c r="BA451" s="486">
        <f t="shared" si="397"/>
        <v>0</v>
      </c>
      <c r="BB451" s="494">
        <v>5155.41</v>
      </c>
      <c r="BC451" s="494">
        <v>2070.12</v>
      </c>
      <c r="BD451" s="494">
        <v>848.92</v>
      </c>
      <c r="BE451" s="494">
        <v>819.73</v>
      </c>
      <c r="BF451" s="494">
        <v>611.5</v>
      </c>
      <c r="BG451" s="494">
        <v>1080.04</v>
      </c>
      <c r="BH451" s="494">
        <v>2671800.0099999998</v>
      </c>
      <c r="BI451" s="494">
        <f t="shared" si="420"/>
        <v>4607.6000000000004</v>
      </c>
      <c r="BJ451" s="494">
        <v>14289.54</v>
      </c>
      <c r="BK451" s="494">
        <v>3389.61</v>
      </c>
      <c r="BL451" s="494">
        <v>5995.76</v>
      </c>
      <c r="BM451" s="494">
        <v>548.62</v>
      </c>
      <c r="BN451" s="495" t="e">
        <f t="shared" si="408"/>
        <v>#DIV/0!</v>
      </c>
      <c r="BO451" s="495" t="e">
        <f t="shared" si="409"/>
        <v>#DIV/0!</v>
      </c>
      <c r="BP451" s="495" t="e">
        <f t="shared" si="410"/>
        <v>#DIV/0!</v>
      </c>
      <c r="BQ451" s="495" t="e">
        <f t="shared" si="411"/>
        <v>#DIV/0!</v>
      </c>
      <c r="BR451" s="495" t="e">
        <f t="shared" si="412"/>
        <v>#DIV/0!</v>
      </c>
      <c r="BS451" s="495" t="e">
        <f t="shared" si="413"/>
        <v>#DIV/0!</v>
      </c>
      <c r="BT451" s="495" t="e">
        <f t="shared" si="414"/>
        <v>#DIV/0!</v>
      </c>
      <c r="BU451" s="495" t="str">
        <f t="shared" si="415"/>
        <v xml:space="preserve"> </v>
      </c>
      <c r="BV451" s="495" t="e">
        <f t="shared" si="416"/>
        <v>#DIV/0!</v>
      </c>
      <c r="BW451" s="495" t="e">
        <f t="shared" si="417"/>
        <v>#DIV/0!</v>
      </c>
      <c r="BX451" s="495" t="e">
        <f t="shared" si="418"/>
        <v>#DIV/0!</v>
      </c>
      <c r="BY451" s="495" t="str">
        <f t="shared" si="419"/>
        <v xml:space="preserve"> </v>
      </c>
    </row>
    <row r="452" spans="1:77" s="28" customFormat="1" ht="9" customHeight="1">
      <c r="A452" s="406">
        <v>92</v>
      </c>
      <c r="B452" s="206" t="s">
        <v>714</v>
      </c>
      <c r="C452" s="376">
        <v>2770.2</v>
      </c>
      <c r="D452" s="376"/>
      <c r="E452" s="413" t="s">
        <v>1005</v>
      </c>
      <c r="F452" s="413"/>
      <c r="G452" s="413"/>
      <c r="H452" s="211">
        <v>2633860</v>
      </c>
      <c r="I452" s="407">
        <f t="shared" si="421"/>
        <v>0</v>
      </c>
      <c r="J452" s="217">
        <v>0</v>
      </c>
      <c r="K452" s="469">
        <v>0</v>
      </c>
      <c r="L452" s="217">
        <v>0</v>
      </c>
      <c r="M452" s="469">
        <v>0</v>
      </c>
      <c r="N452" s="217">
        <v>0</v>
      </c>
      <c r="O452" s="249">
        <v>0</v>
      </c>
      <c r="P452" s="407">
        <v>0</v>
      </c>
      <c r="Q452" s="249">
        <v>0</v>
      </c>
      <c r="R452" s="407">
        <v>0</v>
      </c>
      <c r="S452" s="249">
        <v>0</v>
      </c>
      <c r="T452" s="407">
        <v>0</v>
      </c>
      <c r="U452" s="130">
        <v>0</v>
      </c>
      <c r="V452" s="407">
        <v>0</v>
      </c>
      <c r="W452" s="410">
        <v>790</v>
      </c>
      <c r="X452" s="407">
        <f t="shared" si="422"/>
        <v>2515336.2999999998</v>
      </c>
      <c r="Y452" s="410">
        <v>0</v>
      </c>
      <c r="Z452" s="410">
        <v>0</v>
      </c>
      <c r="AA452" s="410">
        <v>0</v>
      </c>
      <c r="AB452" s="410">
        <v>0</v>
      </c>
      <c r="AC452" s="410">
        <v>0</v>
      </c>
      <c r="AD452" s="410">
        <v>0</v>
      </c>
      <c r="AE452" s="410">
        <v>0</v>
      </c>
      <c r="AF452" s="410">
        <v>0</v>
      </c>
      <c r="AG452" s="410">
        <v>0</v>
      </c>
      <c r="AH452" s="410">
        <v>0</v>
      </c>
      <c r="AI452" s="410">
        <v>0</v>
      </c>
      <c r="AJ452" s="410">
        <f t="shared" si="423"/>
        <v>79015.8</v>
      </c>
      <c r="AK452" s="410">
        <f t="shared" si="424"/>
        <v>39507.9</v>
      </c>
      <c r="AL452" s="410">
        <v>0</v>
      </c>
      <c r="AM452" s="446"/>
      <c r="AN452" s="446"/>
      <c r="AP452" s="486" t="e">
        <f t="shared" si="396"/>
        <v>#DIV/0!</v>
      </c>
      <c r="AQ452" s="486" t="e">
        <f t="shared" si="398"/>
        <v>#DIV/0!</v>
      </c>
      <c r="AR452" s="486" t="e">
        <f t="shared" si="399"/>
        <v>#DIV/0!</v>
      </c>
      <c r="AS452" s="486" t="e">
        <f t="shared" si="400"/>
        <v>#DIV/0!</v>
      </c>
      <c r="AT452" s="486" t="e">
        <f t="shared" si="401"/>
        <v>#DIV/0!</v>
      </c>
      <c r="AU452" s="486" t="e">
        <f t="shared" si="402"/>
        <v>#DIV/0!</v>
      </c>
      <c r="AV452" s="486" t="e">
        <f t="shared" si="403"/>
        <v>#DIV/0!</v>
      </c>
      <c r="AW452" s="486">
        <f t="shared" si="404"/>
        <v>3183.97</v>
      </c>
      <c r="AX452" s="486" t="e">
        <f t="shared" si="405"/>
        <v>#DIV/0!</v>
      </c>
      <c r="AY452" s="486" t="e">
        <f t="shared" si="406"/>
        <v>#DIV/0!</v>
      </c>
      <c r="AZ452" s="486" t="e">
        <f t="shared" si="407"/>
        <v>#DIV/0!</v>
      </c>
      <c r="BA452" s="486">
        <f t="shared" si="397"/>
        <v>0</v>
      </c>
      <c r="BB452" s="494">
        <v>5155.41</v>
      </c>
      <c r="BC452" s="494">
        <v>2070.12</v>
      </c>
      <c r="BD452" s="494">
        <v>848.92</v>
      </c>
      <c r="BE452" s="494">
        <v>819.73</v>
      </c>
      <c r="BF452" s="494">
        <v>611.5</v>
      </c>
      <c r="BG452" s="494">
        <v>1080.04</v>
      </c>
      <c r="BH452" s="494">
        <v>2671800.0099999998</v>
      </c>
      <c r="BI452" s="494">
        <f t="shared" si="420"/>
        <v>4607.6000000000004</v>
      </c>
      <c r="BJ452" s="494">
        <v>14289.54</v>
      </c>
      <c r="BK452" s="494">
        <v>3389.61</v>
      </c>
      <c r="BL452" s="494">
        <v>5995.76</v>
      </c>
      <c r="BM452" s="494">
        <v>548.62</v>
      </c>
      <c r="BN452" s="495" t="e">
        <f t="shared" si="408"/>
        <v>#DIV/0!</v>
      </c>
      <c r="BO452" s="495" t="e">
        <f t="shared" si="409"/>
        <v>#DIV/0!</v>
      </c>
      <c r="BP452" s="495" t="e">
        <f t="shared" si="410"/>
        <v>#DIV/0!</v>
      </c>
      <c r="BQ452" s="495" t="e">
        <f t="shared" si="411"/>
        <v>#DIV/0!</v>
      </c>
      <c r="BR452" s="495" t="e">
        <f t="shared" si="412"/>
        <v>#DIV/0!</v>
      </c>
      <c r="BS452" s="495" t="e">
        <f t="shared" si="413"/>
        <v>#DIV/0!</v>
      </c>
      <c r="BT452" s="495" t="e">
        <f t="shared" si="414"/>
        <v>#DIV/0!</v>
      </c>
      <c r="BU452" s="495" t="str">
        <f t="shared" si="415"/>
        <v xml:space="preserve"> </v>
      </c>
      <c r="BV452" s="495" t="e">
        <f t="shared" si="416"/>
        <v>#DIV/0!</v>
      </c>
      <c r="BW452" s="495" t="e">
        <f t="shared" si="417"/>
        <v>#DIV/0!</v>
      </c>
      <c r="BX452" s="495" t="e">
        <f t="shared" si="418"/>
        <v>#DIV/0!</v>
      </c>
      <c r="BY452" s="495" t="str">
        <f t="shared" si="419"/>
        <v xml:space="preserve"> </v>
      </c>
    </row>
    <row r="453" spans="1:77" s="28" customFormat="1" ht="9" customHeight="1">
      <c r="A453" s="406">
        <v>93</v>
      </c>
      <c r="B453" s="206" t="s">
        <v>715</v>
      </c>
      <c r="C453" s="376">
        <v>1780.35</v>
      </c>
      <c r="D453" s="376"/>
      <c r="E453" s="413" t="s">
        <v>1006</v>
      </c>
      <c r="F453" s="413"/>
      <c r="G453" s="413"/>
      <c r="H453" s="211">
        <v>2800644</v>
      </c>
      <c r="I453" s="407">
        <f t="shared" si="421"/>
        <v>0</v>
      </c>
      <c r="J453" s="217">
        <v>0</v>
      </c>
      <c r="K453" s="469">
        <v>0</v>
      </c>
      <c r="L453" s="217">
        <v>0</v>
      </c>
      <c r="M453" s="469">
        <v>0</v>
      </c>
      <c r="N453" s="217">
        <v>0</v>
      </c>
      <c r="O453" s="249">
        <v>0</v>
      </c>
      <c r="P453" s="407">
        <v>0</v>
      </c>
      <c r="Q453" s="249">
        <v>0</v>
      </c>
      <c r="R453" s="407">
        <v>0</v>
      </c>
      <c r="S453" s="249">
        <v>0</v>
      </c>
      <c r="T453" s="407">
        <v>0</v>
      </c>
      <c r="U453" s="130">
        <v>0</v>
      </c>
      <c r="V453" s="407">
        <v>0</v>
      </c>
      <c r="W453" s="410">
        <v>866</v>
      </c>
      <c r="X453" s="407">
        <f t="shared" si="422"/>
        <v>2674615.02</v>
      </c>
      <c r="Y453" s="410">
        <v>0</v>
      </c>
      <c r="Z453" s="410">
        <v>0</v>
      </c>
      <c r="AA453" s="410">
        <v>0</v>
      </c>
      <c r="AB453" s="410">
        <v>0</v>
      </c>
      <c r="AC453" s="410">
        <v>0</v>
      </c>
      <c r="AD453" s="410">
        <v>0</v>
      </c>
      <c r="AE453" s="410">
        <v>0</v>
      </c>
      <c r="AF453" s="410">
        <v>0</v>
      </c>
      <c r="AG453" s="410">
        <v>0</v>
      </c>
      <c r="AH453" s="410">
        <v>0</v>
      </c>
      <c r="AI453" s="410">
        <v>0</v>
      </c>
      <c r="AJ453" s="410">
        <f t="shared" si="423"/>
        <v>84019.32</v>
      </c>
      <c r="AK453" s="410">
        <f t="shared" si="424"/>
        <v>42009.66</v>
      </c>
      <c r="AL453" s="410">
        <v>0</v>
      </c>
      <c r="AM453" s="446"/>
      <c r="AN453" s="446"/>
      <c r="AP453" s="486" t="e">
        <f t="shared" si="396"/>
        <v>#DIV/0!</v>
      </c>
      <c r="AQ453" s="486" t="e">
        <f t="shared" si="398"/>
        <v>#DIV/0!</v>
      </c>
      <c r="AR453" s="486" t="e">
        <f t="shared" si="399"/>
        <v>#DIV/0!</v>
      </c>
      <c r="AS453" s="486" t="e">
        <f t="shared" si="400"/>
        <v>#DIV/0!</v>
      </c>
      <c r="AT453" s="486" t="e">
        <f t="shared" si="401"/>
        <v>#DIV/0!</v>
      </c>
      <c r="AU453" s="486" t="e">
        <f t="shared" si="402"/>
        <v>#DIV/0!</v>
      </c>
      <c r="AV453" s="486" t="e">
        <f t="shared" si="403"/>
        <v>#DIV/0!</v>
      </c>
      <c r="AW453" s="486">
        <f t="shared" si="404"/>
        <v>3088.47</v>
      </c>
      <c r="AX453" s="486" t="e">
        <f t="shared" si="405"/>
        <v>#DIV/0!</v>
      </c>
      <c r="AY453" s="486" t="e">
        <f t="shared" si="406"/>
        <v>#DIV/0!</v>
      </c>
      <c r="AZ453" s="486" t="e">
        <f t="shared" si="407"/>
        <v>#DIV/0!</v>
      </c>
      <c r="BA453" s="486">
        <f t="shared" si="397"/>
        <v>0</v>
      </c>
      <c r="BB453" s="494">
        <v>5155.41</v>
      </c>
      <c r="BC453" s="494">
        <v>2070.12</v>
      </c>
      <c r="BD453" s="494">
        <v>848.92</v>
      </c>
      <c r="BE453" s="494">
        <v>819.73</v>
      </c>
      <c r="BF453" s="494">
        <v>611.5</v>
      </c>
      <c r="BG453" s="494">
        <v>1080.04</v>
      </c>
      <c r="BH453" s="494">
        <v>2671800.0099999998</v>
      </c>
      <c r="BI453" s="494">
        <f t="shared" si="420"/>
        <v>4422.8500000000004</v>
      </c>
      <c r="BJ453" s="494">
        <v>14289.54</v>
      </c>
      <c r="BK453" s="494">
        <v>3389.61</v>
      </c>
      <c r="BL453" s="494">
        <v>5995.76</v>
      </c>
      <c r="BM453" s="494">
        <v>548.62</v>
      </c>
      <c r="BN453" s="495" t="e">
        <f t="shared" si="408"/>
        <v>#DIV/0!</v>
      </c>
      <c r="BO453" s="495" t="e">
        <f t="shared" si="409"/>
        <v>#DIV/0!</v>
      </c>
      <c r="BP453" s="495" t="e">
        <f t="shared" si="410"/>
        <v>#DIV/0!</v>
      </c>
      <c r="BQ453" s="495" t="e">
        <f t="shared" si="411"/>
        <v>#DIV/0!</v>
      </c>
      <c r="BR453" s="495" t="e">
        <f t="shared" si="412"/>
        <v>#DIV/0!</v>
      </c>
      <c r="BS453" s="495" t="e">
        <f t="shared" si="413"/>
        <v>#DIV/0!</v>
      </c>
      <c r="BT453" s="495" t="e">
        <f t="shared" si="414"/>
        <v>#DIV/0!</v>
      </c>
      <c r="BU453" s="495" t="str">
        <f t="shared" si="415"/>
        <v xml:space="preserve"> </v>
      </c>
      <c r="BV453" s="495" t="e">
        <f t="shared" si="416"/>
        <v>#DIV/0!</v>
      </c>
      <c r="BW453" s="495" t="e">
        <f t="shared" si="417"/>
        <v>#DIV/0!</v>
      </c>
      <c r="BX453" s="495" t="e">
        <f t="shared" si="418"/>
        <v>#DIV/0!</v>
      </c>
      <c r="BY453" s="495" t="str">
        <f t="shared" si="419"/>
        <v xml:space="preserve"> </v>
      </c>
    </row>
    <row r="454" spans="1:77" s="28" customFormat="1" ht="9" customHeight="1">
      <c r="A454" s="406">
        <v>94</v>
      </c>
      <c r="B454" s="206" t="s">
        <v>716</v>
      </c>
      <c r="C454" s="376">
        <v>1437.33</v>
      </c>
      <c r="D454" s="376"/>
      <c r="E454" s="413" t="s">
        <v>1005</v>
      </c>
      <c r="F454" s="413"/>
      <c r="G454" s="413"/>
      <c r="H454" s="211">
        <v>1470294</v>
      </c>
      <c r="I454" s="407">
        <f t="shared" si="421"/>
        <v>0</v>
      </c>
      <c r="J454" s="217">
        <v>0</v>
      </c>
      <c r="K454" s="469">
        <v>0</v>
      </c>
      <c r="L454" s="217">
        <v>0</v>
      </c>
      <c r="M454" s="469">
        <v>0</v>
      </c>
      <c r="N454" s="217">
        <v>0</v>
      </c>
      <c r="O454" s="249">
        <v>0</v>
      </c>
      <c r="P454" s="407">
        <v>0</v>
      </c>
      <c r="Q454" s="249">
        <v>0</v>
      </c>
      <c r="R454" s="407">
        <v>0</v>
      </c>
      <c r="S454" s="249">
        <v>0</v>
      </c>
      <c r="T454" s="407">
        <v>0</v>
      </c>
      <c r="U454" s="130">
        <v>0</v>
      </c>
      <c r="V454" s="407">
        <v>0</v>
      </c>
      <c r="W454" s="410">
        <v>441</v>
      </c>
      <c r="X454" s="407">
        <f t="shared" si="422"/>
        <v>1404130.77</v>
      </c>
      <c r="Y454" s="410">
        <v>0</v>
      </c>
      <c r="Z454" s="410">
        <v>0</v>
      </c>
      <c r="AA454" s="410">
        <v>0</v>
      </c>
      <c r="AB454" s="410">
        <v>0</v>
      </c>
      <c r="AC454" s="410">
        <v>0</v>
      </c>
      <c r="AD454" s="410">
        <v>0</v>
      </c>
      <c r="AE454" s="410">
        <v>0</v>
      </c>
      <c r="AF454" s="410">
        <v>0</v>
      </c>
      <c r="AG454" s="410">
        <v>0</v>
      </c>
      <c r="AH454" s="410">
        <v>0</v>
      </c>
      <c r="AI454" s="410">
        <v>0</v>
      </c>
      <c r="AJ454" s="410">
        <f t="shared" si="423"/>
        <v>44108.82</v>
      </c>
      <c r="AK454" s="410">
        <f t="shared" si="424"/>
        <v>22054.41</v>
      </c>
      <c r="AL454" s="410">
        <v>0</v>
      </c>
      <c r="AM454" s="446"/>
      <c r="AN454" s="446"/>
      <c r="AP454" s="486" t="e">
        <f t="shared" si="396"/>
        <v>#DIV/0!</v>
      </c>
      <c r="AQ454" s="486" t="e">
        <f t="shared" si="398"/>
        <v>#DIV/0!</v>
      </c>
      <c r="AR454" s="486" t="e">
        <f t="shared" si="399"/>
        <v>#DIV/0!</v>
      </c>
      <c r="AS454" s="486" t="e">
        <f t="shared" si="400"/>
        <v>#DIV/0!</v>
      </c>
      <c r="AT454" s="486" t="e">
        <f t="shared" si="401"/>
        <v>#DIV/0!</v>
      </c>
      <c r="AU454" s="486" t="e">
        <f t="shared" si="402"/>
        <v>#DIV/0!</v>
      </c>
      <c r="AV454" s="486" t="e">
        <f t="shared" si="403"/>
        <v>#DIV/0!</v>
      </c>
      <c r="AW454" s="486">
        <f t="shared" si="404"/>
        <v>3183.9700000000003</v>
      </c>
      <c r="AX454" s="486" t="e">
        <f t="shared" si="405"/>
        <v>#DIV/0!</v>
      </c>
      <c r="AY454" s="486" t="e">
        <f t="shared" si="406"/>
        <v>#DIV/0!</v>
      </c>
      <c r="AZ454" s="486" t="e">
        <f t="shared" si="407"/>
        <v>#DIV/0!</v>
      </c>
      <c r="BA454" s="486">
        <f t="shared" si="397"/>
        <v>0</v>
      </c>
      <c r="BB454" s="494">
        <v>5155.41</v>
      </c>
      <c r="BC454" s="494">
        <v>2070.12</v>
      </c>
      <c r="BD454" s="494">
        <v>848.92</v>
      </c>
      <c r="BE454" s="494">
        <v>819.73</v>
      </c>
      <c r="BF454" s="494">
        <v>611.5</v>
      </c>
      <c r="BG454" s="494">
        <v>1080.04</v>
      </c>
      <c r="BH454" s="494">
        <v>2671800.0099999998</v>
      </c>
      <c r="BI454" s="494">
        <f t="shared" si="420"/>
        <v>4607.6000000000004</v>
      </c>
      <c r="BJ454" s="494">
        <v>14289.54</v>
      </c>
      <c r="BK454" s="494">
        <v>3389.61</v>
      </c>
      <c r="BL454" s="494">
        <v>5995.76</v>
      </c>
      <c r="BM454" s="494">
        <v>548.62</v>
      </c>
      <c r="BN454" s="495" t="e">
        <f t="shared" si="408"/>
        <v>#DIV/0!</v>
      </c>
      <c r="BO454" s="495" t="e">
        <f t="shared" si="409"/>
        <v>#DIV/0!</v>
      </c>
      <c r="BP454" s="495" t="e">
        <f t="shared" si="410"/>
        <v>#DIV/0!</v>
      </c>
      <c r="BQ454" s="495" t="e">
        <f t="shared" si="411"/>
        <v>#DIV/0!</v>
      </c>
      <c r="BR454" s="495" t="e">
        <f t="shared" si="412"/>
        <v>#DIV/0!</v>
      </c>
      <c r="BS454" s="495" t="e">
        <f t="shared" si="413"/>
        <v>#DIV/0!</v>
      </c>
      <c r="BT454" s="495" t="e">
        <f t="shared" si="414"/>
        <v>#DIV/0!</v>
      </c>
      <c r="BU454" s="495" t="str">
        <f t="shared" si="415"/>
        <v xml:space="preserve"> </v>
      </c>
      <c r="BV454" s="495" t="e">
        <f t="shared" si="416"/>
        <v>#DIV/0!</v>
      </c>
      <c r="BW454" s="495" t="e">
        <f t="shared" si="417"/>
        <v>#DIV/0!</v>
      </c>
      <c r="BX454" s="495" t="e">
        <f t="shared" si="418"/>
        <v>#DIV/0!</v>
      </c>
      <c r="BY454" s="495" t="str">
        <f t="shared" si="419"/>
        <v xml:space="preserve"> </v>
      </c>
    </row>
    <row r="455" spans="1:77" s="28" customFormat="1" ht="9" customHeight="1">
      <c r="A455" s="406">
        <v>95</v>
      </c>
      <c r="B455" s="206" t="s">
        <v>717</v>
      </c>
      <c r="C455" s="376">
        <v>3423.5</v>
      </c>
      <c r="D455" s="376"/>
      <c r="E455" s="413" t="s">
        <v>1005</v>
      </c>
      <c r="F455" s="413"/>
      <c r="G455" s="413"/>
      <c r="H455" s="211">
        <v>2973928</v>
      </c>
      <c r="I455" s="407">
        <f t="shared" si="421"/>
        <v>0</v>
      </c>
      <c r="J455" s="217">
        <v>0</v>
      </c>
      <c r="K455" s="469">
        <v>0</v>
      </c>
      <c r="L455" s="217">
        <v>0</v>
      </c>
      <c r="M455" s="469">
        <v>0</v>
      </c>
      <c r="N455" s="217">
        <v>0</v>
      </c>
      <c r="O455" s="249">
        <v>0</v>
      </c>
      <c r="P455" s="407">
        <v>0</v>
      </c>
      <c r="Q455" s="249">
        <v>0</v>
      </c>
      <c r="R455" s="407">
        <v>0</v>
      </c>
      <c r="S455" s="249">
        <v>0</v>
      </c>
      <c r="T455" s="407">
        <v>0</v>
      </c>
      <c r="U455" s="130">
        <v>0</v>
      </c>
      <c r="V455" s="407">
        <v>0</v>
      </c>
      <c r="W455" s="410">
        <v>892</v>
      </c>
      <c r="X455" s="407">
        <f t="shared" si="422"/>
        <v>2840101.24</v>
      </c>
      <c r="Y455" s="410">
        <v>0</v>
      </c>
      <c r="Z455" s="410">
        <v>0</v>
      </c>
      <c r="AA455" s="410">
        <v>0</v>
      </c>
      <c r="AB455" s="410">
        <v>0</v>
      </c>
      <c r="AC455" s="410">
        <v>0</v>
      </c>
      <c r="AD455" s="410">
        <v>0</v>
      </c>
      <c r="AE455" s="410">
        <v>0</v>
      </c>
      <c r="AF455" s="410">
        <v>0</v>
      </c>
      <c r="AG455" s="410">
        <v>0</v>
      </c>
      <c r="AH455" s="410">
        <v>0</v>
      </c>
      <c r="AI455" s="410">
        <v>0</v>
      </c>
      <c r="AJ455" s="410">
        <f t="shared" si="423"/>
        <v>89217.84</v>
      </c>
      <c r="AK455" s="410">
        <f t="shared" si="424"/>
        <v>44608.92</v>
      </c>
      <c r="AL455" s="410">
        <v>0</v>
      </c>
      <c r="AM455" s="446"/>
      <c r="AN455" s="446"/>
      <c r="AP455" s="486" t="e">
        <f t="shared" si="396"/>
        <v>#DIV/0!</v>
      </c>
      <c r="AQ455" s="486" t="e">
        <f t="shared" si="398"/>
        <v>#DIV/0!</v>
      </c>
      <c r="AR455" s="486" t="e">
        <f t="shared" si="399"/>
        <v>#DIV/0!</v>
      </c>
      <c r="AS455" s="486" t="e">
        <f t="shared" si="400"/>
        <v>#DIV/0!</v>
      </c>
      <c r="AT455" s="486" t="e">
        <f t="shared" si="401"/>
        <v>#DIV/0!</v>
      </c>
      <c r="AU455" s="486" t="e">
        <f t="shared" si="402"/>
        <v>#DIV/0!</v>
      </c>
      <c r="AV455" s="486" t="e">
        <f t="shared" si="403"/>
        <v>#DIV/0!</v>
      </c>
      <c r="AW455" s="486">
        <f t="shared" si="404"/>
        <v>3183.9700000000003</v>
      </c>
      <c r="AX455" s="486" t="e">
        <f t="shared" si="405"/>
        <v>#DIV/0!</v>
      </c>
      <c r="AY455" s="486" t="e">
        <f t="shared" si="406"/>
        <v>#DIV/0!</v>
      </c>
      <c r="AZ455" s="486" t="e">
        <f t="shared" si="407"/>
        <v>#DIV/0!</v>
      </c>
      <c r="BA455" s="486">
        <f t="shared" si="397"/>
        <v>0</v>
      </c>
      <c r="BB455" s="494">
        <v>5155.41</v>
      </c>
      <c r="BC455" s="494">
        <v>2070.12</v>
      </c>
      <c r="BD455" s="494">
        <v>848.92</v>
      </c>
      <c r="BE455" s="494">
        <v>819.73</v>
      </c>
      <c r="BF455" s="494">
        <v>611.5</v>
      </c>
      <c r="BG455" s="494">
        <v>1080.04</v>
      </c>
      <c r="BH455" s="494">
        <v>2671800.0099999998</v>
      </c>
      <c r="BI455" s="494">
        <f t="shared" si="420"/>
        <v>4607.6000000000004</v>
      </c>
      <c r="BJ455" s="494">
        <v>14289.54</v>
      </c>
      <c r="BK455" s="494">
        <v>3389.61</v>
      </c>
      <c r="BL455" s="494">
        <v>5995.76</v>
      </c>
      <c r="BM455" s="494">
        <v>548.62</v>
      </c>
      <c r="BN455" s="495" t="e">
        <f t="shared" si="408"/>
        <v>#DIV/0!</v>
      </c>
      <c r="BO455" s="495" t="e">
        <f t="shared" si="409"/>
        <v>#DIV/0!</v>
      </c>
      <c r="BP455" s="495" t="e">
        <f t="shared" si="410"/>
        <v>#DIV/0!</v>
      </c>
      <c r="BQ455" s="495" t="e">
        <f t="shared" si="411"/>
        <v>#DIV/0!</v>
      </c>
      <c r="BR455" s="495" t="e">
        <f t="shared" si="412"/>
        <v>#DIV/0!</v>
      </c>
      <c r="BS455" s="495" t="e">
        <f t="shared" si="413"/>
        <v>#DIV/0!</v>
      </c>
      <c r="BT455" s="495" t="e">
        <f t="shared" si="414"/>
        <v>#DIV/0!</v>
      </c>
      <c r="BU455" s="495" t="str">
        <f t="shared" si="415"/>
        <v xml:space="preserve"> </v>
      </c>
      <c r="BV455" s="495" t="e">
        <f t="shared" si="416"/>
        <v>#DIV/0!</v>
      </c>
      <c r="BW455" s="495" t="e">
        <f t="shared" si="417"/>
        <v>#DIV/0!</v>
      </c>
      <c r="BX455" s="495" t="e">
        <f t="shared" si="418"/>
        <v>#DIV/0!</v>
      </c>
      <c r="BY455" s="495" t="str">
        <f t="shared" si="419"/>
        <v xml:space="preserve"> </v>
      </c>
    </row>
    <row r="456" spans="1:77" s="28" customFormat="1" ht="9" customHeight="1">
      <c r="A456" s="406">
        <v>96</v>
      </c>
      <c r="B456" s="206" t="s">
        <v>718</v>
      </c>
      <c r="C456" s="376">
        <v>7634</v>
      </c>
      <c r="D456" s="376"/>
      <c r="E456" s="413" t="s">
        <v>1005</v>
      </c>
      <c r="F456" s="413"/>
      <c r="G456" s="413"/>
      <c r="H456" s="211">
        <v>6741348</v>
      </c>
      <c r="I456" s="407">
        <f t="shared" si="421"/>
        <v>0</v>
      </c>
      <c r="J456" s="217">
        <v>0</v>
      </c>
      <c r="K456" s="469">
        <v>0</v>
      </c>
      <c r="L456" s="217">
        <v>0</v>
      </c>
      <c r="M456" s="469">
        <v>0</v>
      </c>
      <c r="N456" s="217">
        <v>0</v>
      </c>
      <c r="O456" s="249">
        <v>0</v>
      </c>
      <c r="P456" s="407">
        <v>0</v>
      </c>
      <c r="Q456" s="249">
        <v>0</v>
      </c>
      <c r="R456" s="407">
        <v>0</v>
      </c>
      <c r="S456" s="249">
        <v>0</v>
      </c>
      <c r="T456" s="407">
        <v>0</v>
      </c>
      <c r="U456" s="130">
        <v>0</v>
      </c>
      <c r="V456" s="407">
        <v>0</v>
      </c>
      <c r="W456" s="410">
        <v>2022</v>
      </c>
      <c r="X456" s="407">
        <f t="shared" si="422"/>
        <v>6437987.3399999999</v>
      </c>
      <c r="Y456" s="410">
        <v>0</v>
      </c>
      <c r="Z456" s="410">
        <v>0</v>
      </c>
      <c r="AA456" s="410">
        <v>0</v>
      </c>
      <c r="AB456" s="410">
        <v>0</v>
      </c>
      <c r="AC456" s="410">
        <v>0</v>
      </c>
      <c r="AD456" s="410">
        <v>0</v>
      </c>
      <c r="AE456" s="410">
        <v>0</v>
      </c>
      <c r="AF456" s="410">
        <v>0</v>
      </c>
      <c r="AG456" s="410">
        <v>0</v>
      </c>
      <c r="AH456" s="410">
        <v>0</v>
      </c>
      <c r="AI456" s="410">
        <v>0</v>
      </c>
      <c r="AJ456" s="410">
        <f t="shared" si="423"/>
        <v>202240.44</v>
      </c>
      <c r="AK456" s="410">
        <f t="shared" si="424"/>
        <v>101120.22</v>
      </c>
      <c r="AL456" s="410">
        <v>0</v>
      </c>
      <c r="AM456" s="446"/>
      <c r="AN456" s="446"/>
      <c r="AP456" s="486" t="e">
        <f t="shared" si="396"/>
        <v>#DIV/0!</v>
      </c>
      <c r="AQ456" s="486" t="e">
        <f t="shared" si="398"/>
        <v>#DIV/0!</v>
      </c>
      <c r="AR456" s="486" t="e">
        <f t="shared" si="399"/>
        <v>#DIV/0!</v>
      </c>
      <c r="AS456" s="486" t="e">
        <f t="shared" si="400"/>
        <v>#DIV/0!</v>
      </c>
      <c r="AT456" s="486" t="e">
        <f t="shared" si="401"/>
        <v>#DIV/0!</v>
      </c>
      <c r="AU456" s="486" t="e">
        <f t="shared" si="402"/>
        <v>#DIV/0!</v>
      </c>
      <c r="AV456" s="486" t="e">
        <f t="shared" si="403"/>
        <v>#DIV/0!</v>
      </c>
      <c r="AW456" s="486">
        <f t="shared" si="404"/>
        <v>3183.97</v>
      </c>
      <c r="AX456" s="486" t="e">
        <f t="shared" si="405"/>
        <v>#DIV/0!</v>
      </c>
      <c r="AY456" s="486" t="e">
        <f t="shared" si="406"/>
        <v>#DIV/0!</v>
      </c>
      <c r="AZ456" s="486" t="e">
        <f t="shared" si="407"/>
        <v>#DIV/0!</v>
      </c>
      <c r="BA456" s="486">
        <f t="shared" si="397"/>
        <v>0</v>
      </c>
      <c r="BB456" s="494">
        <v>5155.41</v>
      </c>
      <c r="BC456" s="494">
        <v>2070.12</v>
      </c>
      <c r="BD456" s="494">
        <v>848.92</v>
      </c>
      <c r="BE456" s="494">
        <v>819.73</v>
      </c>
      <c r="BF456" s="494">
        <v>611.5</v>
      </c>
      <c r="BG456" s="494">
        <v>1080.04</v>
      </c>
      <c r="BH456" s="494">
        <v>2671800.0099999998</v>
      </c>
      <c r="BI456" s="494">
        <f t="shared" si="420"/>
        <v>4607.6000000000004</v>
      </c>
      <c r="BJ456" s="494">
        <v>14289.54</v>
      </c>
      <c r="BK456" s="494">
        <v>3389.61</v>
      </c>
      <c r="BL456" s="494">
        <v>5995.76</v>
      </c>
      <c r="BM456" s="494">
        <v>548.62</v>
      </c>
      <c r="BN456" s="495" t="e">
        <f t="shared" si="408"/>
        <v>#DIV/0!</v>
      </c>
      <c r="BO456" s="495" t="e">
        <f t="shared" si="409"/>
        <v>#DIV/0!</v>
      </c>
      <c r="BP456" s="495" t="e">
        <f t="shared" si="410"/>
        <v>#DIV/0!</v>
      </c>
      <c r="BQ456" s="495" t="e">
        <f t="shared" si="411"/>
        <v>#DIV/0!</v>
      </c>
      <c r="BR456" s="495" t="e">
        <f t="shared" si="412"/>
        <v>#DIV/0!</v>
      </c>
      <c r="BS456" s="495" t="e">
        <f t="shared" si="413"/>
        <v>#DIV/0!</v>
      </c>
      <c r="BT456" s="495" t="e">
        <f t="shared" si="414"/>
        <v>#DIV/0!</v>
      </c>
      <c r="BU456" s="495" t="str">
        <f t="shared" si="415"/>
        <v xml:space="preserve"> </v>
      </c>
      <c r="BV456" s="495" t="e">
        <f t="shared" si="416"/>
        <v>#DIV/0!</v>
      </c>
      <c r="BW456" s="495" t="e">
        <f t="shared" si="417"/>
        <v>#DIV/0!</v>
      </c>
      <c r="BX456" s="495" t="e">
        <f t="shared" si="418"/>
        <v>#DIV/0!</v>
      </c>
      <c r="BY456" s="495" t="str">
        <f t="shared" si="419"/>
        <v xml:space="preserve"> </v>
      </c>
    </row>
    <row r="457" spans="1:77" s="28" customFormat="1" ht="9" customHeight="1">
      <c r="A457" s="406">
        <v>97</v>
      </c>
      <c r="B457" s="206" t="s">
        <v>719</v>
      </c>
      <c r="C457" s="376">
        <v>3843</v>
      </c>
      <c r="D457" s="376"/>
      <c r="E457" s="413" t="s">
        <v>1005</v>
      </c>
      <c r="F457" s="413"/>
      <c r="G457" s="413"/>
      <c r="H457" s="211">
        <v>3230646</v>
      </c>
      <c r="I457" s="407">
        <f t="shared" si="421"/>
        <v>0</v>
      </c>
      <c r="J457" s="217">
        <v>0</v>
      </c>
      <c r="K457" s="469">
        <v>0</v>
      </c>
      <c r="L457" s="217">
        <v>0</v>
      </c>
      <c r="M457" s="469">
        <v>0</v>
      </c>
      <c r="N457" s="217">
        <v>0</v>
      </c>
      <c r="O457" s="249">
        <v>0</v>
      </c>
      <c r="P457" s="407">
        <v>0</v>
      </c>
      <c r="Q457" s="249">
        <v>0</v>
      </c>
      <c r="R457" s="407">
        <v>0</v>
      </c>
      <c r="S457" s="249">
        <v>0</v>
      </c>
      <c r="T457" s="407">
        <v>0</v>
      </c>
      <c r="U457" s="130">
        <v>0</v>
      </c>
      <c r="V457" s="407">
        <v>0</v>
      </c>
      <c r="W457" s="410">
        <v>969</v>
      </c>
      <c r="X457" s="407">
        <f t="shared" si="422"/>
        <v>3085266.93</v>
      </c>
      <c r="Y457" s="410">
        <v>0</v>
      </c>
      <c r="Z457" s="410">
        <v>0</v>
      </c>
      <c r="AA457" s="410">
        <v>0</v>
      </c>
      <c r="AB457" s="410">
        <v>0</v>
      </c>
      <c r="AC457" s="410">
        <v>0</v>
      </c>
      <c r="AD457" s="410">
        <v>0</v>
      </c>
      <c r="AE457" s="410">
        <v>0</v>
      </c>
      <c r="AF457" s="410">
        <v>0</v>
      </c>
      <c r="AG457" s="410">
        <v>0</v>
      </c>
      <c r="AH457" s="410">
        <v>0</v>
      </c>
      <c r="AI457" s="410">
        <v>0</v>
      </c>
      <c r="AJ457" s="410">
        <f t="shared" si="423"/>
        <v>96919.38</v>
      </c>
      <c r="AK457" s="410">
        <f t="shared" si="424"/>
        <v>48459.69</v>
      </c>
      <c r="AL457" s="410">
        <v>0</v>
      </c>
      <c r="AM457" s="446"/>
      <c r="AN457" s="446"/>
      <c r="AP457" s="486" t="e">
        <f t="shared" si="396"/>
        <v>#DIV/0!</v>
      </c>
      <c r="AQ457" s="486" t="e">
        <f t="shared" si="398"/>
        <v>#DIV/0!</v>
      </c>
      <c r="AR457" s="486" t="e">
        <f t="shared" si="399"/>
        <v>#DIV/0!</v>
      </c>
      <c r="AS457" s="486" t="e">
        <f t="shared" si="400"/>
        <v>#DIV/0!</v>
      </c>
      <c r="AT457" s="486" t="e">
        <f t="shared" si="401"/>
        <v>#DIV/0!</v>
      </c>
      <c r="AU457" s="486" t="e">
        <f t="shared" si="402"/>
        <v>#DIV/0!</v>
      </c>
      <c r="AV457" s="486" t="e">
        <f t="shared" si="403"/>
        <v>#DIV/0!</v>
      </c>
      <c r="AW457" s="486">
        <f t="shared" si="404"/>
        <v>3183.9700000000003</v>
      </c>
      <c r="AX457" s="486" t="e">
        <f t="shared" si="405"/>
        <v>#DIV/0!</v>
      </c>
      <c r="AY457" s="486" t="e">
        <f t="shared" si="406"/>
        <v>#DIV/0!</v>
      </c>
      <c r="AZ457" s="486" t="e">
        <f t="shared" si="407"/>
        <v>#DIV/0!</v>
      </c>
      <c r="BA457" s="486">
        <f t="shared" si="397"/>
        <v>0</v>
      </c>
      <c r="BB457" s="494">
        <v>5155.41</v>
      </c>
      <c r="BC457" s="494">
        <v>2070.12</v>
      </c>
      <c r="BD457" s="494">
        <v>848.92</v>
      </c>
      <c r="BE457" s="494">
        <v>819.73</v>
      </c>
      <c r="BF457" s="494">
        <v>611.5</v>
      </c>
      <c r="BG457" s="494">
        <v>1080.04</v>
      </c>
      <c r="BH457" s="494">
        <v>2671800.0099999998</v>
      </c>
      <c r="BI457" s="494">
        <f t="shared" si="420"/>
        <v>4607.6000000000004</v>
      </c>
      <c r="BJ457" s="494">
        <v>14289.54</v>
      </c>
      <c r="BK457" s="494">
        <v>3389.61</v>
      </c>
      <c r="BL457" s="494">
        <v>5995.76</v>
      </c>
      <c r="BM457" s="494">
        <v>548.62</v>
      </c>
      <c r="BN457" s="495" t="e">
        <f t="shared" si="408"/>
        <v>#DIV/0!</v>
      </c>
      <c r="BO457" s="495" t="e">
        <f t="shared" si="409"/>
        <v>#DIV/0!</v>
      </c>
      <c r="BP457" s="495" t="e">
        <f t="shared" si="410"/>
        <v>#DIV/0!</v>
      </c>
      <c r="BQ457" s="495" t="e">
        <f t="shared" si="411"/>
        <v>#DIV/0!</v>
      </c>
      <c r="BR457" s="495" t="e">
        <f t="shared" si="412"/>
        <v>#DIV/0!</v>
      </c>
      <c r="BS457" s="495" t="e">
        <f t="shared" si="413"/>
        <v>#DIV/0!</v>
      </c>
      <c r="BT457" s="495" t="e">
        <f t="shared" si="414"/>
        <v>#DIV/0!</v>
      </c>
      <c r="BU457" s="495" t="str">
        <f t="shared" si="415"/>
        <v xml:space="preserve"> </v>
      </c>
      <c r="BV457" s="495" t="e">
        <f t="shared" si="416"/>
        <v>#DIV/0!</v>
      </c>
      <c r="BW457" s="495" t="e">
        <f t="shared" si="417"/>
        <v>#DIV/0!</v>
      </c>
      <c r="BX457" s="495" t="e">
        <f t="shared" si="418"/>
        <v>#DIV/0!</v>
      </c>
      <c r="BY457" s="495" t="str">
        <f t="shared" si="419"/>
        <v xml:space="preserve"> </v>
      </c>
    </row>
    <row r="458" spans="1:77" s="28" customFormat="1" ht="9" customHeight="1">
      <c r="A458" s="406">
        <v>98</v>
      </c>
      <c r="B458" s="206" t="s">
        <v>720</v>
      </c>
      <c r="C458" s="376">
        <v>2689</v>
      </c>
      <c r="D458" s="376"/>
      <c r="E458" s="413" t="s">
        <v>1006</v>
      </c>
      <c r="F458" s="413"/>
      <c r="G458" s="413"/>
      <c r="H458" s="211">
        <v>4851000</v>
      </c>
      <c r="I458" s="407">
        <f t="shared" si="421"/>
        <v>0</v>
      </c>
      <c r="J458" s="217">
        <v>0</v>
      </c>
      <c r="K458" s="469">
        <v>0</v>
      </c>
      <c r="L458" s="217">
        <v>0</v>
      </c>
      <c r="M458" s="469">
        <v>0</v>
      </c>
      <c r="N458" s="217">
        <v>0</v>
      </c>
      <c r="O458" s="249">
        <v>0</v>
      </c>
      <c r="P458" s="407">
        <v>0</v>
      </c>
      <c r="Q458" s="249">
        <v>0</v>
      </c>
      <c r="R458" s="407">
        <v>0</v>
      </c>
      <c r="S458" s="249">
        <v>0</v>
      </c>
      <c r="T458" s="407">
        <v>0</v>
      </c>
      <c r="U458" s="130">
        <v>0</v>
      </c>
      <c r="V458" s="407">
        <v>0</v>
      </c>
      <c r="W458" s="410">
        <v>1500</v>
      </c>
      <c r="X458" s="407">
        <f t="shared" si="422"/>
        <v>4632705</v>
      </c>
      <c r="Y458" s="410">
        <v>0</v>
      </c>
      <c r="Z458" s="410">
        <v>0</v>
      </c>
      <c r="AA458" s="410">
        <v>0</v>
      </c>
      <c r="AB458" s="410">
        <v>0</v>
      </c>
      <c r="AC458" s="410">
        <v>0</v>
      </c>
      <c r="AD458" s="410">
        <v>0</v>
      </c>
      <c r="AE458" s="410">
        <v>0</v>
      </c>
      <c r="AF458" s="410">
        <v>0</v>
      </c>
      <c r="AG458" s="410">
        <v>0</v>
      </c>
      <c r="AH458" s="410">
        <v>0</v>
      </c>
      <c r="AI458" s="410">
        <v>0</v>
      </c>
      <c r="AJ458" s="410">
        <f t="shared" si="423"/>
        <v>145530</v>
      </c>
      <c r="AK458" s="410">
        <f t="shared" si="424"/>
        <v>72765</v>
      </c>
      <c r="AL458" s="410">
        <v>0</v>
      </c>
      <c r="AM458" s="446"/>
      <c r="AN458" s="446"/>
      <c r="AP458" s="486" t="e">
        <f t="shared" si="396"/>
        <v>#DIV/0!</v>
      </c>
      <c r="AQ458" s="486" t="e">
        <f t="shared" si="398"/>
        <v>#DIV/0!</v>
      </c>
      <c r="AR458" s="486" t="e">
        <f t="shared" si="399"/>
        <v>#DIV/0!</v>
      </c>
      <c r="AS458" s="486" t="e">
        <f t="shared" si="400"/>
        <v>#DIV/0!</v>
      </c>
      <c r="AT458" s="486" t="e">
        <f t="shared" si="401"/>
        <v>#DIV/0!</v>
      </c>
      <c r="AU458" s="486" t="e">
        <f t="shared" si="402"/>
        <v>#DIV/0!</v>
      </c>
      <c r="AV458" s="486" t="e">
        <f t="shared" si="403"/>
        <v>#DIV/0!</v>
      </c>
      <c r="AW458" s="486">
        <f t="shared" si="404"/>
        <v>3088.47</v>
      </c>
      <c r="AX458" s="486" t="e">
        <f t="shared" si="405"/>
        <v>#DIV/0!</v>
      </c>
      <c r="AY458" s="486" t="e">
        <f t="shared" si="406"/>
        <v>#DIV/0!</v>
      </c>
      <c r="AZ458" s="486" t="e">
        <f t="shared" si="407"/>
        <v>#DIV/0!</v>
      </c>
      <c r="BA458" s="486">
        <f t="shared" si="397"/>
        <v>0</v>
      </c>
      <c r="BB458" s="494">
        <v>5155.41</v>
      </c>
      <c r="BC458" s="494">
        <v>2070.12</v>
      </c>
      <c r="BD458" s="494">
        <v>848.92</v>
      </c>
      <c r="BE458" s="494">
        <v>819.73</v>
      </c>
      <c r="BF458" s="494">
        <v>611.5</v>
      </c>
      <c r="BG458" s="494">
        <v>1080.04</v>
      </c>
      <c r="BH458" s="494">
        <v>2671800.0099999998</v>
      </c>
      <c r="BI458" s="494">
        <f t="shared" si="420"/>
        <v>4422.8500000000004</v>
      </c>
      <c r="BJ458" s="494">
        <v>14289.54</v>
      </c>
      <c r="BK458" s="494">
        <v>3389.61</v>
      </c>
      <c r="BL458" s="494">
        <v>5995.76</v>
      </c>
      <c r="BM458" s="494">
        <v>548.62</v>
      </c>
      <c r="BN458" s="495" t="e">
        <f t="shared" si="408"/>
        <v>#DIV/0!</v>
      </c>
      <c r="BO458" s="495" t="e">
        <f t="shared" si="409"/>
        <v>#DIV/0!</v>
      </c>
      <c r="BP458" s="495" t="e">
        <f t="shared" si="410"/>
        <v>#DIV/0!</v>
      </c>
      <c r="BQ458" s="495" t="e">
        <f t="shared" si="411"/>
        <v>#DIV/0!</v>
      </c>
      <c r="BR458" s="495" t="e">
        <f t="shared" si="412"/>
        <v>#DIV/0!</v>
      </c>
      <c r="BS458" s="495" t="e">
        <f t="shared" si="413"/>
        <v>#DIV/0!</v>
      </c>
      <c r="BT458" s="495" t="e">
        <f t="shared" si="414"/>
        <v>#DIV/0!</v>
      </c>
      <c r="BU458" s="495" t="str">
        <f t="shared" si="415"/>
        <v xml:space="preserve"> </v>
      </c>
      <c r="BV458" s="495" t="e">
        <f t="shared" si="416"/>
        <v>#DIV/0!</v>
      </c>
      <c r="BW458" s="495" t="e">
        <f t="shared" si="417"/>
        <v>#DIV/0!</v>
      </c>
      <c r="BX458" s="495" t="e">
        <f t="shared" si="418"/>
        <v>#DIV/0!</v>
      </c>
      <c r="BY458" s="495" t="str">
        <f t="shared" si="419"/>
        <v xml:space="preserve"> </v>
      </c>
    </row>
    <row r="459" spans="1:77" s="28" customFormat="1" ht="9" customHeight="1">
      <c r="A459" s="406">
        <v>99</v>
      </c>
      <c r="B459" s="206" t="s">
        <v>721</v>
      </c>
      <c r="C459" s="376">
        <v>3564.9</v>
      </c>
      <c r="D459" s="376"/>
      <c r="E459" s="413" t="s">
        <v>1006</v>
      </c>
      <c r="F459" s="413"/>
      <c r="G459" s="413"/>
      <c r="H459" s="211">
        <v>5840604</v>
      </c>
      <c r="I459" s="407">
        <f t="shared" si="421"/>
        <v>0</v>
      </c>
      <c r="J459" s="217">
        <v>0</v>
      </c>
      <c r="K459" s="469">
        <v>0</v>
      </c>
      <c r="L459" s="217">
        <v>0</v>
      </c>
      <c r="M459" s="469">
        <v>0</v>
      </c>
      <c r="N459" s="217">
        <v>0</v>
      </c>
      <c r="O459" s="249">
        <v>0</v>
      </c>
      <c r="P459" s="407">
        <v>0</v>
      </c>
      <c r="Q459" s="249">
        <v>0</v>
      </c>
      <c r="R459" s="407">
        <v>0</v>
      </c>
      <c r="S459" s="249">
        <v>0</v>
      </c>
      <c r="T459" s="407">
        <v>0</v>
      </c>
      <c r="U459" s="130">
        <v>0</v>
      </c>
      <c r="V459" s="407">
        <v>0</v>
      </c>
      <c r="W459" s="410">
        <v>1806</v>
      </c>
      <c r="X459" s="407">
        <f t="shared" si="422"/>
        <v>5577776.8200000003</v>
      </c>
      <c r="Y459" s="410">
        <v>0</v>
      </c>
      <c r="Z459" s="410">
        <v>0</v>
      </c>
      <c r="AA459" s="410">
        <v>0</v>
      </c>
      <c r="AB459" s="410">
        <v>0</v>
      </c>
      <c r="AC459" s="410">
        <v>0</v>
      </c>
      <c r="AD459" s="410">
        <v>0</v>
      </c>
      <c r="AE459" s="410">
        <v>0</v>
      </c>
      <c r="AF459" s="410">
        <v>0</v>
      </c>
      <c r="AG459" s="410">
        <v>0</v>
      </c>
      <c r="AH459" s="410">
        <v>0</v>
      </c>
      <c r="AI459" s="410">
        <v>0</v>
      </c>
      <c r="AJ459" s="410">
        <f t="shared" si="423"/>
        <v>175218.12</v>
      </c>
      <c r="AK459" s="410">
        <f t="shared" si="424"/>
        <v>87609.06</v>
      </c>
      <c r="AL459" s="410">
        <v>0</v>
      </c>
      <c r="AM459" s="446"/>
      <c r="AN459" s="446"/>
      <c r="AP459" s="486" t="e">
        <f t="shared" si="396"/>
        <v>#DIV/0!</v>
      </c>
      <c r="AQ459" s="486" t="e">
        <f t="shared" si="398"/>
        <v>#DIV/0!</v>
      </c>
      <c r="AR459" s="486" t="e">
        <f t="shared" si="399"/>
        <v>#DIV/0!</v>
      </c>
      <c r="AS459" s="486" t="e">
        <f t="shared" si="400"/>
        <v>#DIV/0!</v>
      </c>
      <c r="AT459" s="486" t="e">
        <f t="shared" si="401"/>
        <v>#DIV/0!</v>
      </c>
      <c r="AU459" s="486" t="e">
        <f t="shared" si="402"/>
        <v>#DIV/0!</v>
      </c>
      <c r="AV459" s="486" t="e">
        <f t="shared" si="403"/>
        <v>#DIV/0!</v>
      </c>
      <c r="AW459" s="486">
        <f t="shared" si="404"/>
        <v>3088.4700000000003</v>
      </c>
      <c r="AX459" s="486" t="e">
        <f t="shared" si="405"/>
        <v>#DIV/0!</v>
      </c>
      <c r="AY459" s="486" t="e">
        <f t="shared" si="406"/>
        <v>#DIV/0!</v>
      </c>
      <c r="AZ459" s="486" t="e">
        <f t="shared" si="407"/>
        <v>#DIV/0!</v>
      </c>
      <c r="BA459" s="486">
        <f t="shared" si="397"/>
        <v>0</v>
      </c>
      <c r="BB459" s="494">
        <v>5155.41</v>
      </c>
      <c r="BC459" s="494">
        <v>2070.12</v>
      </c>
      <c r="BD459" s="494">
        <v>848.92</v>
      </c>
      <c r="BE459" s="494">
        <v>819.73</v>
      </c>
      <c r="BF459" s="494">
        <v>611.5</v>
      </c>
      <c r="BG459" s="494">
        <v>1080.04</v>
      </c>
      <c r="BH459" s="494">
        <v>2671800.0099999998</v>
      </c>
      <c r="BI459" s="494">
        <f t="shared" si="420"/>
        <v>4422.8500000000004</v>
      </c>
      <c r="BJ459" s="494">
        <v>14289.54</v>
      </c>
      <c r="BK459" s="494">
        <v>3389.61</v>
      </c>
      <c r="BL459" s="494">
        <v>5995.76</v>
      </c>
      <c r="BM459" s="494">
        <v>548.62</v>
      </c>
      <c r="BN459" s="495" t="e">
        <f t="shared" si="408"/>
        <v>#DIV/0!</v>
      </c>
      <c r="BO459" s="495" t="e">
        <f t="shared" si="409"/>
        <v>#DIV/0!</v>
      </c>
      <c r="BP459" s="495" t="e">
        <f t="shared" si="410"/>
        <v>#DIV/0!</v>
      </c>
      <c r="BQ459" s="495" t="e">
        <f t="shared" si="411"/>
        <v>#DIV/0!</v>
      </c>
      <c r="BR459" s="495" t="e">
        <f t="shared" si="412"/>
        <v>#DIV/0!</v>
      </c>
      <c r="BS459" s="495" t="e">
        <f t="shared" si="413"/>
        <v>#DIV/0!</v>
      </c>
      <c r="BT459" s="495" t="e">
        <f t="shared" si="414"/>
        <v>#DIV/0!</v>
      </c>
      <c r="BU459" s="495" t="str">
        <f t="shared" si="415"/>
        <v xml:space="preserve"> </v>
      </c>
      <c r="BV459" s="495" t="e">
        <f t="shared" si="416"/>
        <v>#DIV/0!</v>
      </c>
      <c r="BW459" s="495" t="e">
        <f t="shared" si="417"/>
        <v>#DIV/0!</v>
      </c>
      <c r="BX459" s="495" t="e">
        <f t="shared" si="418"/>
        <v>#DIV/0!</v>
      </c>
      <c r="BY459" s="495" t="str">
        <f t="shared" si="419"/>
        <v xml:space="preserve"> </v>
      </c>
    </row>
    <row r="460" spans="1:77" s="28" customFormat="1" ht="9" customHeight="1">
      <c r="A460" s="406">
        <v>100</v>
      </c>
      <c r="B460" s="206" t="s">
        <v>722</v>
      </c>
      <c r="C460" s="376">
        <v>5372.1</v>
      </c>
      <c r="D460" s="376"/>
      <c r="E460" s="413" t="s">
        <v>1005</v>
      </c>
      <c r="F460" s="413"/>
      <c r="G460" s="413"/>
      <c r="H460" s="211">
        <v>4664266</v>
      </c>
      <c r="I460" s="407">
        <f t="shared" si="421"/>
        <v>0</v>
      </c>
      <c r="J460" s="217">
        <v>0</v>
      </c>
      <c r="K460" s="469">
        <v>0</v>
      </c>
      <c r="L460" s="217">
        <v>0</v>
      </c>
      <c r="M460" s="469">
        <v>0</v>
      </c>
      <c r="N460" s="217">
        <v>0</v>
      </c>
      <c r="O460" s="249">
        <v>0</v>
      </c>
      <c r="P460" s="407">
        <v>0</v>
      </c>
      <c r="Q460" s="249">
        <v>0</v>
      </c>
      <c r="R460" s="407">
        <v>0</v>
      </c>
      <c r="S460" s="249">
        <v>0</v>
      </c>
      <c r="T460" s="407">
        <v>0</v>
      </c>
      <c r="U460" s="130">
        <v>0</v>
      </c>
      <c r="V460" s="407">
        <v>0</v>
      </c>
      <c r="W460" s="410">
        <v>1399</v>
      </c>
      <c r="X460" s="407">
        <f t="shared" si="422"/>
        <v>4454374.03</v>
      </c>
      <c r="Y460" s="410">
        <v>0</v>
      </c>
      <c r="Z460" s="410">
        <v>0</v>
      </c>
      <c r="AA460" s="410">
        <v>0</v>
      </c>
      <c r="AB460" s="410">
        <v>0</v>
      </c>
      <c r="AC460" s="410">
        <v>0</v>
      </c>
      <c r="AD460" s="410">
        <v>0</v>
      </c>
      <c r="AE460" s="410">
        <v>0</v>
      </c>
      <c r="AF460" s="410">
        <v>0</v>
      </c>
      <c r="AG460" s="410">
        <v>0</v>
      </c>
      <c r="AH460" s="410">
        <v>0</v>
      </c>
      <c r="AI460" s="410">
        <v>0</v>
      </c>
      <c r="AJ460" s="410">
        <f t="shared" si="423"/>
        <v>139927.98000000001</v>
      </c>
      <c r="AK460" s="410">
        <f t="shared" si="424"/>
        <v>69963.990000000005</v>
      </c>
      <c r="AL460" s="410">
        <v>0</v>
      </c>
      <c r="AM460" s="446"/>
      <c r="AN460" s="446"/>
      <c r="AP460" s="486" t="e">
        <f t="shared" si="396"/>
        <v>#DIV/0!</v>
      </c>
      <c r="AQ460" s="486" t="e">
        <f t="shared" si="398"/>
        <v>#DIV/0!</v>
      </c>
      <c r="AR460" s="486" t="e">
        <f t="shared" si="399"/>
        <v>#DIV/0!</v>
      </c>
      <c r="AS460" s="486" t="e">
        <f t="shared" si="400"/>
        <v>#DIV/0!</v>
      </c>
      <c r="AT460" s="486" t="e">
        <f t="shared" si="401"/>
        <v>#DIV/0!</v>
      </c>
      <c r="AU460" s="486" t="e">
        <f t="shared" si="402"/>
        <v>#DIV/0!</v>
      </c>
      <c r="AV460" s="486" t="e">
        <f t="shared" si="403"/>
        <v>#DIV/0!</v>
      </c>
      <c r="AW460" s="486">
        <f t="shared" si="404"/>
        <v>3183.9700000000003</v>
      </c>
      <c r="AX460" s="486" t="e">
        <f t="shared" si="405"/>
        <v>#DIV/0!</v>
      </c>
      <c r="AY460" s="486" t="e">
        <f t="shared" si="406"/>
        <v>#DIV/0!</v>
      </c>
      <c r="AZ460" s="486" t="e">
        <f t="shared" si="407"/>
        <v>#DIV/0!</v>
      </c>
      <c r="BA460" s="486">
        <f t="shared" si="397"/>
        <v>0</v>
      </c>
      <c r="BB460" s="494">
        <v>5155.41</v>
      </c>
      <c r="BC460" s="494">
        <v>2070.12</v>
      </c>
      <c r="BD460" s="494">
        <v>848.92</v>
      </c>
      <c r="BE460" s="494">
        <v>819.73</v>
      </c>
      <c r="BF460" s="494">
        <v>611.5</v>
      </c>
      <c r="BG460" s="494">
        <v>1080.04</v>
      </c>
      <c r="BH460" s="494">
        <v>2671800.0099999998</v>
      </c>
      <c r="BI460" s="494">
        <f t="shared" si="420"/>
        <v>4607.6000000000004</v>
      </c>
      <c r="BJ460" s="494">
        <v>14289.54</v>
      </c>
      <c r="BK460" s="494">
        <v>3389.61</v>
      </c>
      <c r="BL460" s="494">
        <v>5995.76</v>
      </c>
      <c r="BM460" s="494">
        <v>548.62</v>
      </c>
      <c r="BN460" s="495" t="e">
        <f t="shared" si="408"/>
        <v>#DIV/0!</v>
      </c>
      <c r="BO460" s="495" t="e">
        <f t="shared" si="409"/>
        <v>#DIV/0!</v>
      </c>
      <c r="BP460" s="495" t="e">
        <f t="shared" si="410"/>
        <v>#DIV/0!</v>
      </c>
      <c r="BQ460" s="495" t="e">
        <f t="shared" si="411"/>
        <v>#DIV/0!</v>
      </c>
      <c r="BR460" s="495" t="e">
        <f t="shared" si="412"/>
        <v>#DIV/0!</v>
      </c>
      <c r="BS460" s="495" t="e">
        <f t="shared" si="413"/>
        <v>#DIV/0!</v>
      </c>
      <c r="BT460" s="495" t="e">
        <f t="shared" si="414"/>
        <v>#DIV/0!</v>
      </c>
      <c r="BU460" s="495" t="str">
        <f t="shared" si="415"/>
        <v xml:space="preserve"> </v>
      </c>
      <c r="BV460" s="495" t="e">
        <f t="shared" si="416"/>
        <v>#DIV/0!</v>
      </c>
      <c r="BW460" s="495" t="e">
        <f t="shared" si="417"/>
        <v>#DIV/0!</v>
      </c>
      <c r="BX460" s="495" t="e">
        <f t="shared" si="418"/>
        <v>#DIV/0!</v>
      </c>
      <c r="BY460" s="495" t="str">
        <f t="shared" si="419"/>
        <v xml:space="preserve"> </v>
      </c>
    </row>
    <row r="461" spans="1:77" s="28" customFormat="1" ht="9" customHeight="1">
      <c r="A461" s="406">
        <v>101</v>
      </c>
      <c r="B461" s="206" t="s">
        <v>723</v>
      </c>
      <c r="C461" s="376">
        <v>5492.3</v>
      </c>
      <c r="D461" s="376"/>
      <c r="E461" s="413" t="s">
        <v>1005</v>
      </c>
      <c r="F461" s="413"/>
      <c r="G461" s="413"/>
      <c r="H461" s="211">
        <v>4634260</v>
      </c>
      <c r="I461" s="407">
        <f t="shared" si="421"/>
        <v>0</v>
      </c>
      <c r="J461" s="217">
        <v>0</v>
      </c>
      <c r="K461" s="469">
        <v>0</v>
      </c>
      <c r="L461" s="217">
        <v>0</v>
      </c>
      <c r="M461" s="469">
        <v>0</v>
      </c>
      <c r="N461" s="217">
        <v>0</v>
      </c>
      <c r="O461" s="249">
        <v>0</v>
      </c>
      <c r="P461" s="407">
        <v>0</v>
      </c>
      <c r="Q461" s="249">
        <v>0</v>
      </c>
      <c r="R461" s="407">
        <v>0</v>
      </c>
      <c r="S461" s="249">
        <v>0</v>
      </c>
      <c r="T461" s="407">
        <v>0</v>
      </c>
      <c r="U461" s="130">
        <v>0</v>
      </c>
      <c r="V461" s="407">
        <v>0</v>
      </c>
      <c r="W461" s="410">
        <v>1390</v>
      </c>
      <c r="X461" s="407">
        <f t="shared" si="422"/>
        <v>4425718.3</v>
      </c>
      <c r="Y461" s="410">
        <v>0</v>
      </c>
      <c r="Z461" s="410">
        <v>0</v>
      </c>
      <c r="AA461" s="410">
        <v>0</v>
      </c>
      <c r="AB461" s="410">
        <v>0</v>
      </c>
      <c r="AC461" s="410">
        <v>0</v>
      </c>
      <c r="AD461" s="410">
        <v>0</v>
      </c>
      <c r="AE461" s="410">
        <v>0</v>
      </c>
      <c r="AF461" s="410">
        <v>0</v>
      </c>
      <c r="AG461" s="410">
        <v>0</v>
      </c>
      <c r="AH461" s="410">
        <v>0</v>
      </c>
      <c r="AI461" s="410">
        <v>0</v>
      </c>
      <c r="AJ461" s="410">
        <f t="shared" si="423"/>
        <v>139027.79999999999</v>
      </c>
      <c r="AK461" s="410">
        <f t="shared" si="424"/>
        <v>69513.899999999994</v>
      </c>
      <c r="AL461" s="410">
        <v>0</v>
      </c>
      <c r="AM461" s="446"/>
      <c r="AN461" s="446"/>
      <c r="AP461" s="486" t="e">
        <f t="shared" si="396"/>
        <v>#DIV/0!</v>
      </c>
      <c r="AQ461" s="486" t="e">
        <f t="shared" si="398"/>
        <v>#DIV/0!</v>
      </c>
      <c r="AR461" s="486" t="e">
        <f t="shared" si="399"/>
        <v>#DIV/0!</v>
      </c>
      <c r="AS461" s="486" t="e">
        <f t="shared" si="400"/>
        <v>#DIV/0!</v>
      </c>
      <c r="AT461" s="486" t="e">
        <f t="shared" si="401"/>
        <v>#DIV/0!</v>
      </c>
      <c r="AU461" s="486" t="e">
        <f t="shared" si="402"/>
        <v>#DIV/0!</v>
      </c>
      <c r="AV461" s="486" t="e">
        <f t="shared" si="403"/>
        <v>#DIV/0!</v>
      </c>
      <c r="AW461" s="486">
        <f t="shared" si="404"/>
        <v>3183.97</v>
      </c>
      <c r="AX461" s="486" t="e">
        <f t="shared" si="405"/>
        <v>#DIV/0!</v>
      </c>
      <c r="AY461" s="486" t="e">
        <f t="shared" si="406"/>
        <v>#DIV/0!</v>
      </c>
      <c r="AZ461" s="486" t="e">
        <f t="shared" si="407"/>
        <v>#DIV/0!</v>
      </c>
      <c r="BA461" s="486">
        <f t="shared" si="397"/>
        <v>0</v>
      </c>
      <c r="BB461" s="494">
        <v>5155.41</v>
      </c>
      <c r="BC461" s="494">
        <v>2070.12</v>
      </c>
      <c r="BD461" s="494">
        <v>848.92</v>
      </c>
      <c r="BE461" s="494">
        <v>819.73</v>
      </c>
      <c r="BF461" s="494">
        <v>611.5</v>
      </c>
      <c r="BG461" s="494">
        <v>1080.04</v>
      </c>
      <c r="BH461" s="494">
        <v>2671800.0099999998</v>
      </c>
      <c r="BI461" s="494">
        <f t="shared" si="420"/>
        <v>4607.6000000000004</v>
      </c>
      <c r="BJ461" s="494">
        <v>14289.54</v>
      </c>
      <c r="BK461" s="494">
        <v>3389.61</v>
      </c>
      <c r="BL461" s="494">
        <v>5995.76</v>
      </c>
      <c r="BM461" s="494">
        <v>548.62</v>
      </c>
      <c r="BN461" s="495" t="e">
        <f t="shared" si="408"/>
        <v>#DIV/0!</v>
      </c>
      <c r="BO461" s="495" t="e">
        <f t="shared" si="409"/>
        <v>#DIV/0!</v>
      </c>
      <c r="BP461" s="495" t="e">
        <f t="shared" si="410"/>
        <v>#DIV/0!</v>
      </c>
      <c r="BQ461" s="495" t="e">
        <f t="shared" si="411"/>
        <v>#DIV/0!</v>
      </c>
      <c r="BR461" s="495" t="e">
        <f t="shared" si="412"/>
        <v>#DIV/0!</v>
      </c>
      <c r="BS461" s="495" t="e">
        <f t="shared" si="413"/>
        <v>#DIV/0!</v>
      </c>
      <c r="BT461" s="495" t="e">
        <f t="shared" si="414"/>
        <v>#DIV/0!</v>
      </c>
      <c r="BU461" s="495" t="str">
        <f t="shared" si="415"/>
        <v xml:space="preserve"> </v>
      </c>
      <c r="BV461" s="495" t="e">
        <f t="shared" si="416"/>
        <v>#DIV/0!</v>
      </c>
      <c r="BW461" s="495" t="e">
        <f t="shared" si="417"/>
        <v>#DIV/0!</v>
      </c>
      <c r="BX461" s="495" t="e">
        <f t="shared" si="418"/>
        <v>#DIV/0!</v>
      </c>
      <c r="BY461" s="495" t="str">
        <f t="shared" si="419"/>
        <v xml:space="preserve"> </v>
      </c>
    </row>
    <row r="462" spans="1:77" s="28" customFormat="1" ht="9" customHeight="1">
      <c r="A462" s="406">
        <v>102</v>
      </c>
      <c r="B462" s="206" t="s">
        <v>724</v>
      </c>
      <c r="C462" s="376">
        <v>4166.3</v>
      </c>
      <c r="D462" s="376"/>
      <c r="E462" s="413" t="s">
        <v>1005</v>
      </c>
      <c r="F462" s="413"/>
      <c r="G462" s="413"/>
      <c r="H462" s="211">
        <v>4577582</v>
      </c>
      <c r="I462" s="407">
        <f t="shared" si="421"/>
        <v>0</v>
      </c>
      <c r="J462" s="217">
        <v>0</v>
      </c>
      <c r="K462" s="469">
        <v>0</v>
      </c>
      <c r="L462" s="217">
        <v>0</v>
      </c>
      <c r="M462" s="469">
        <v>0</v>
      </c>
      <c r="N462" s="217">
        <v>0</v>
      </c>
      <c r="O462" s="249">
        <v>0</v>
      </c>
      <c r="P462" s="407">
        <v>0</v>
      </c>
      <c r="Q462" s="249">
        <v>0</v>
      </c>
      <c r="R462" s="407">
        <v>0</v>
      </c>
      <c r="S462" s="249">
        <v>0</v>
      </c>
      <c r="T462" s="407">
        <v>0</v>
      </c>
      <c r="U462" s="130">
        <v>0</v>
      </c>
      <c r="V462" s="407">
        <v>0</v>
      </c>
      <c r="W462" s="410">
        <v>1373</v>
      </c>
      <c r="X462" s="407">
        <f t="shared" si="422"/>
        <v>4371590.8099999996</v>
      </c>
      <c r="Y462" s="410">
        <v>0</v>
      </c>
      <c r="Z462" s="410">
        <v>0</v>
      </c>
      <c r="AA462" s="410">
        <v>0</v>
      </c>
      <c r="AB462" s="410">
        <v>0</v>
      </c>
      <c r="AC462" s="410">
        <v>0</v>
      </c>
      <c r="AD462" s="410">
        <v>0</v>
      </c>
      <c r="AE462" s="410">
        <v>0</v>
      </c>
      <c r="AF462" s="410">
        <v>0</v>
      </c>
      <c r="AG462" s="410">
        <v>0</v>
      </c>
      <c r="AH462" s="410">
        <v>0</v>
      </c>
      <c r="AI462" s="410">
        <v>0</v>
      </c>
      <c r="AJ462" s="410">
        <f t="shared" si="423"/>
        <v>137327.46</v>
      </c>
      <c r="AK462" s="410">
        <f t="shared" si="424"/>
        <v>68663.73</v>
      </c>
      <c r="AL462" s="410">
        <v>0</v>
      </c>
      <c r="AM462" s="446"/>
      <c r="AN462" s="446"/>
      <c r="AP462" s="486" t="e">
        <f t="shared" si="396"/>
        <v>#DIV/0!</v>
      </c>
      <c r="AQ462" s="486" t="e">
        <f t="shared" si="398"/>
        <v>#DIV/0!</v>
      </c>
      <c r="AR462" s="486" t="e">
        <f t="shared" si="399"/>
        <v>#DIV/0!</v>
      </c>
      <c r="AS462" s="486" t="e">
        <f t="shared" si="400"/>
        <v>#DIV/0!</v>
      </c>
      <c r="AT462" s="486" t="e">
        <f t="shared" si="401"/>
        <v>#DIV/0!</v>
      </c>
      <c r="AU462" s="486" t="e">
        <f t="shared" si="402"/>
        <v>#DIV/0!</v>
      </c>
      <c r="AV462" s="486" t="e">
        <f t="shared" si="403"/>
        <v>#DIV/0!</v>
      </c>
      <c r="AW462" s="486">
        <f t="shared" si="404"/>
        <v>3183.97</v>
      </c>
      <c r="AX462" s="486" t="e">
        <f t="shared" si="405"/>
        <v>#DIV/0!</v>
      </c>
      <c r="AY462" s="486" t="e">
        <f t="shared" si="406"/>
        <v>#DIV/0!</v>
      </c>
      <c r="AZ462" s="486" t="e">
        <f t="shared" si="407"/>
        <v>#DIV/0!</v>
      </c>
      <c r="BA462" s="486">
        <f t="shared" si="397"/>
        <v>0</v>
      </c>
      <c r="BB462" s="494">
        <v>5155.41</v>
      </c>
      <c r="BC462" s="494">
        <v>2070.12</v>
      </c>
      <c r="BD462" s="494">
        <v>848.92</v>
      </c>
      <c r="BE462" s="494">
        <v>819.73</v>
      </c>
      <c r="BF462" s="494">
        <v>611.5</v>
      </c>
      <c r="BG462" s="494">
        <v>1080.04</v>
      </c>
      <c r="BH462" s="494">
        <v>2671800.0099999998</v>
      </c>
      <c r="BI462" s="494">
        <f t="shared" si="420"/>
        <v>4607.6000000000004</v>
      </c>
      <c r="BJ462" s="494">
        <v>14289.54</v>
      </c>
      <c r="BK462" s="494">
        <v>3389.61</v>
      </c>
      <c r="BL462" s="494">
        <v>5995.76</v>
      </c>
      <c r="BM462" s="494">
        <v>548.62</v>
      </c>
      <c r="BN462" s="495" t="e">
        <f t="shared" si="408"/>
        <v>#DIV/0!</v>
      </c>
      <c r="BO462" s="495" t="e">
        <f t="shared" si="409"/>
        <v>#DIV/0!</v>
      </c>
      <c r="BP462" s="495" t="e">
        <f t="shared" si="410"/>
        <v>#DIV/0!</v>
      </c>
      <c r="BQ462" s="495" t="e">
        <f t="shared" si="411"/>
        <v>#DIV/0!</v>
      </c>
      <c r="BR462" s="495" t="e">
        <f t="shared" si="412"/>
        <v>#DIV/0!</v>
      </c>
      <c r="BS462" s="495" t="e">
        <f t="shared" si="413"/>
        <v>#DIV/0!</v>
      </c>
      <c r="BT462" s="495" t="e">
        <f t="shared" si="414"/>
        <v>#DIV/0!</v>
      </c>
      <c r="BU462" s="495" t="str">
        <f t="shared" si="415"/>
        <v xml:space="preserve"> </v>
      </c>
      <c r="BV462" s="495" t="e">
        <f t="shared" si="416"/>
        <v>#DIV/0!</v>
      </c>
      <c r="BW462" s="495" t="e">
        <f t="shared" si="417"/>
        <v>#DIV/0!</v>
      </c>
      <c r="BX462" s="495" t="e">
        <f t="shared" si="418"/>
        <v>#DIV/0!</v>
      </c>
      <c r="BY462" s="495" t="str">
        <f t="shared" si="419"/>
        <v xml:space="preserve"> </v>
      </c>
    </row>
    <row r="463" spans="1:77" s="28" customFormat="1" ht="9" customHeight="1">
      <c r="A463" s="406">
        <v>103</v>
      </c>
      <c r="B463" s="206" t="s">
        <v>725</v>
      </c>
      <c r="C463" s="376">
        <v>3181.1</v>
      </c>
      <c r="D463" s="376"/>
      <c r="E463" s="413" t="s">
        <v>1005</v>
      </c>
      <c r="F463" s="413"/>
      <c r="G463" s="413"/>
      <c r="H463" s="211">
        <v>3200640</v>
      </c>
      <c r="I463" s="407">
        <f t="shared" si="421"/>
        <v>0</v>
      </c>
      <c r="J463" s="217">
        <v>0</v>
      </c>
      <c r="K463" s="469">
        <v>0</v>
      </c>
      <c r="L463" s="217">
        <v>0</v>
      </c>
      <c r="M463" s="469">
        <v>0</v>
      </c>
      <c r="N463" s="217">
        <v>0</v>
      </c>
      <c r="O463" s="249">
        <v>0</v>
      </c>
      <c r="P463" s="407">
        <v>0</v>
      </c>
      <c r="Q463" s="249">
        <v>0</v>
      </c>
      <c r="R463" s="407">
        <v>0</v>
      </c>
      <c r="S463" s="249">
        <v>0</v>
      </c>
      <c r="T463" s="407">
        <v>0</v>
      </c>
      <c r="U463" s="130">
        <v>0</v>
      </c>
      <c r="V463" s="407">
        <v>0</v>
      </c>
      <c r="W463" s="410">
        <v>960</v>
      </c>
      <c r="X463" s="407">
        <f t="shared" si="422"/>
        <v>3056611.2</v>
      </c>
      <c r="Y463" s="410">
        <v>0</v>
      </c>
      <c r="Z463" s="410">
        <v>0</v>
      </c>
      <c r="AA463" s="410">
        <v>0</v>
      </c>
      <c r="AB463" s="410">
        <v>0</v>
      </c>
      <c r="AC463" s="410">
        <v>0</v>
      </c>
      <c r="AD463" s="410">
        <v>0</v>
      </c>
      <c r="AE463" s="410">
        <v>0</v>
      </c>
      <c r="AF463" s="410">
        <v>0</v>
      </c>
      <c r="AG463" s="410">
        <v>0</v>
      </c>
      <c r="AH463" s="410">
        <v>0</v>
      </c>
      <c r="AI463" s="410">
        <v>0</v>
      </c>
      <c r="AJ463" s="410">
        <f t="shared" si="423"/>
        <v>96019.199999999997</v>
      </c>
      <c r="AK463" s="410">
        <f t="shared" si="424"/>
        <v>48009.599999999999</v>
      </c>
      <c r="AL463" s="410">
        <v>0</v>
      </c>
      <c r="AM463" s="446"/>
      <c r="AN463" s="446"/>
      <c r="AP463" s="486" t="e">
        <f t="shared" si="396"/>
        <v>#DIV/0!</v>
      </c>
      <c r="AQ463" s="486" t="e">
        <f t="shared" si="398"/>
        <v>#DIV/0!</v>
      </c>
      <c r="AR463" s="486" t="e">
        <f t="shared" si="399"/>
        <v>#DIV/0!</v>
      </c>
      <c r="AS463" s="486" t="e">
        <f t="shared" si="400"/>
        <v>#DIV/0!</v>
      </c>
      <c r="AT463" s="486" t="e">
        <f t="shared" si="401"/>
        <v>#DIV/0!</v>
      </c>
      <c r="AU463" s="486" t="e">
        <f t="shared" si="402"/>
        <v>#DIV/0!</v>
      </c>
      <c r="AV463" s="486" t="e">
        <f t="shared" si="403"/>
        <v>#DIV/0!</v>
      </c>
      <c r="AW463" s="486">
        <f t="shared" si="404"/>
        <v>3183.9700000000003</v>
      </c>
      <c r="AX463" s="486" t="e">
        <f t="shared" si="405"/>
        <v>#DIV/0!</v>
      </c>
      <c r="AY463" s="486" t="e">
        <f t="shared" si="406"/>
        <v>#DIV/0!</v>
      </c>
      <c r="AZ463" s="486" t="e">
        <f t="shared" si="407"/>
        <v>#DIV/0!</v>
      </c>
      <c r="BA463" s="486">
        <f t="shared" si="397"/>
        <v>0</v>
      </c>
      <c r="BB463" s="494">
        <v>5155.41</v>
      </c>
      <c r="BC463" s="494">
        <v>2070.12</v>
      </c>
      <c r="BD463" s="494">
        <v>848.92</v>
      </c>
      <c r="BE463" s="494">
        <v>819.73</v>
      </c>
      <c r="BF463" s="494">
        <v>611.5</v>
      </c>
      <c r="BG463" s="494">
        <v>1080.04</v>
      </c>
      <c r="BH463" s="494">
        <v>2671800.0099999998</v>
      </c>
      <c r="BI463" s="494">
        <f t="shared" si="420"/>
        <v>4607.6000000000004</v>
      </c>
      <c r="BJ463" s="494">
        <v>14289.54</v>
      </c>
      <c r="BK463" s="494">
        <v>3389.61</v>
      </c>
      <c r="BL463" s="494">
        <v>5995.76</v>
      </c>
      <c r="BM463" s="494">
        <v>548.62</v>
      </c>
      <c r="BN463" s="495" t="e">
        <f t="shared" si="408"/>
        <v>#DIV/0!</v>
      </c>
      <c r="BO463" s="495" t="e">
        <f t="shared" si="409"/>
        <v>#DIV/0!</v>
      </c>
      <c r="BP463" s="495" t="e">
        <f t="shared" si="410"/>
        <v>#DIV/0!</v>
      </c>
      <c r="BQ463" s="495" t="e">
        <f t="shared" si="411"/>
        <v>#DIV/0!</v>
      </c>
      <c r="BR463" s="495" t="e">
        <f t="shared" si="412"/>
        <v>#DIV/0!</v>
      </c>
      <c r="BS463" s="495" t="e">
        <f t="shared" si="413"/>
        <v>#DIV/0!</v>
      </c>
      <c r="BT463" s="495" t="e">
        <f t="shared" si="414"/>
        <v>#DIV/0!</v>
      </c>
      <c r="BU463" s="495" t="str">
        <f t="shared" si="415"/>
        <v xml:space="preserve"> </v>
      </c>
      <c r="BV463" s="495" t="e">
        <f t="shared" si="416"/>
        <v>#DIV/0!</v>
      </c>
      <c r="BW463" s="495" t="e">
        <f t="shared" si="417"/>
        <v>#DIV/0!</v>
      </c>
      <c r="BX463" s="495" t="e">
        <f t="shared" si="418"/>
        <v>#DIV/0!</v>
      </c>
      <c r="BY463" s="495" t="str">
        <f t="shared" si="419"/>
        <v xml:space="preserve"> </v>
      </c>
    </row>
    <row r="464" spans="1:77" s="28" customFormat="1" ht="9" customHeight="1">
      <c r="A464" s="406">
        <v>104</v>
      </c>
      <c r="B464" s="206" t="s">
        <v>726</v>
      </c>
      <c r="C464" s="376">
        <v>1800.8</v>
      </c>
      <c r="D464" s="376"/>
      <c r="E464" s="413" t="s">
        <v>1005</v>
      </c>
      <c r="F464" s="413"/>
      <c r="G464" s="413"/>
      <c r="H464" s="211">
        <v>1690338</v>
      </c>
      <c r="I464" s="407">
        <f t="shared" si="421"/>
        <v>0</v>
      </c>
      <c r="J464" s="217">
        <v>0</v>
      </c>
      <c r="K464" s="469">
        <v>0</v>
      </c>
      <c r="L464" s="217">
        <v>0</v>
      </c>
      <c r="M464" s="469">
        <v>0</v>
      </c>
      <c r="N464" s="217">
        <v>0</v>
      </c>
      <c r="O464" s="249">
        <v>0</v>
      </c>
      <c r="P464" s="407">
        <v>0</v>
      </c>
      <c r="Q464" s="249">
        <v>0</v>
      </c>
      <c r="R464" s="407">
        <v>0</v>
      </c>
      <c r="S464" s="249">
        <v>0</v>
      </c>
      <c r="T464" s="407">
        <v>0</v>
      </c>
      <c r="U464" s="130">
        <v>0</v>
      </c>
      <c r="V464" s="407">
        <v>0</v>
      </c>
      <c r="W464" s="410">
        <v>507</v>
      </c>
      <c r="X464" s="407">
        <f t="shared" si="422"/>
        <v>1614272.79</v>
      </c>
      <c r="Y464" s="410">
        <v>0</v>
      </c>
      <c r="Z464" s="410">
        <v>0</v>
      </c>
      <c r="AA464" s="410">
        <v>0</v>
      </c>
      <c r="AB464" s="410">
        <v>0</v>
      </c>
      <c r="AC464" s="410">
        <v>0</v>
      </c>
      <c r="AD464" s="410">
        <v>0</v>
      </c>
      <c r="AE464" s="410">
        <v>0</v>
      </c>
      <c r="AF464" s="410">
        <v>0</v>
      </c>
      <c r="AG464" s="410">
        <v>0</v>
      </c>
      <c r="AH464" s="410">
        <v>0</v>
      </c>
      <c r="AI464" s="410">
        <v>0</v>
      </c>
      <c r="AJ464" s="410">
        <f t="shared" si="423"/>
        <v>50710.14</v>
      </c>
      <c r="AK464" s="410">
        <f t="shared" si="424"/>
        <v>25355.07</v>
      </c>
      <c r="AL464" s="410">
        <v>0</v>
      </c>
      <c r="AM464" s="446"/>
      <c r="AN464" s="446"/>
      <c r="AP464" s="486" t="e">
        <f t="shared" si="396"/>
        <v>#DIV/0!</v>
      </c>
      <c r="AQ464" s="486" t="e">
        <f t="shared" si="398"/>
        <v>#DIV/0!</v>
      </c>
      <c r="AR464" s="486" t="e">
        <f t="shared" si="399"/>
        <v>#DIV/0!</v>
      </c>
      <c r="AS464" s="486" t="e">
        <f t="shared" si="400"/>
        <v>#DIV/0!</v>
      </c>
      <c r="AT464" s="486" t="e">
        <f t="shared" si="401"/>
        <v>#DIV/0!</v>
      </c>
      <c r="AU464" s="486" t="e">
        <f t="shared" si="402"/>
        <v>#DIV/0!</v>
      </c>
      <c r="AV464" s="486" t="e">
        <f t="shared" si="403"/>
        <v>#DIV/0!</v>
      </c>
      <c r="AW464" s="486">
        <f t="shared" si="404"/>
        <v>3183.9700000000003</v>
      </c>
      <c r="AX464" s="486" t="e">
        <f t="shared" si="405"/>
        <v>#DIV/0!</v>
      </c>
      <c r="AY464" s="486" t="e">
        <f t="shared" si="406"/>
        <v>#DIV/0!</v>
      </c>
      <c r="AZ464" s="486" t="e">
        <f t="shared" si="407"/>
        <v>#DIV/0!</v>
      </c>
      <c r="BA464" s="486">
        <f t="shared" si="397"/>
        <v>0</v>
      </c>
      <c r="BB464" s="494">
        <v>5155.41</v>
      </c>
      <c r="BC464" s="494">
        <v>2070.12</v>
      </c>
      <c r="BD464" s="494">
        <v>848.92</v>
      </c>
      <c r="BE464" s="494">
        <v>819.73</v>
      </c>
      <c r="BF464" s="494">
        <v>611.5</v>
      </c>
      <c r="BG464" s="494">
        <v>1080.04</v>
      </c>
      <c r="BH464" s="494">
        <v>2671800.0099999998</v>
      </c>
      <c r="BI464" s="494">
        <f t="shared" si="420"/>
        <v>4607.6000000000004</v>
      </c>
      <c r="BJ464" s="494">
        <v>14289.54</v>
      </c>
      <c r="BK464" s="494">
        <v>3389.61</v>
      </c>
      <c r="BL464" s="494">
        <v>5995.76</v>
      </c>
      <c r="BM464" s="494">
        <v>548.62</v>
      </c>
      <c r="BN464" s="495" t="e">
        <f t="shared" si="408"/>
        <v>#DIV/0!</v>
      </c>
      <c r="BO464" s="495" t="e">
        <f t="shared" si="409"/>
        <v>#DIV/0!</v>
      </c>
      <c r="BP464" s="495" t="e">
        <f t="shared" si="410"/>
        <v>#DIV/0!</v>
      </c>
      <c r="BQ464" s="495" t="e">
        <f t="shared" si="411"/>
        <v>#DIV/0!</v>
      </c>
      <c r="BR464" s="495" t="e">
        <f t="shared" si="412"/>
        <v>#DIV/0!</v>
      </c>
      <c r="BS464" s="495" t="e">
        <f t="shared" si="413"/>
        <v>#DIV/0!</v>
      </c>
      <c r="BT464" s="495" t="e">
        <f t="shared" si="414"/>
        <v>#DIV/0!</v>
      </c>
      <c r="BU464" s="495" t="str">
        <f t="shared" si="415"/>
        <v xml:space="preserve"> </v>
      </c>
      <c r="BV464" s="495" t="e">
        <f t="shared" si="416"/>
        <v>#DIV/0!</v>
      </c>
      <c r="BW464" s="495" t="e">
        <f t="shared" si="417"/>
        <v>#DIV/0!</v>
      </c>
      <c r="BX464" s="495" t="e">
        <f t="shared" si="418"/>
        <v>#DIV/0!</v>
      </c>
      <c r="BY464" s="495" t="str">
        <f t="shared" si="419"/>
        <v xml:space="preserve"> </v>
      </c>
    </row>
    <row r="465" spans="1:77" s="28" customFormat="1" ht="9" customHeight="1">
      <c r="A465" s="406">
        <v>105</v>
      </c>
      <c r="B465" s="206" t="s">
        <v>727</v>
      </c>
      <c r="C465" s="376">
        <v>1875.4</v>
      </c>
      <c r="D465" s="376"/>
      <c r="E465" s="413" t="s">
        <v>1006</v>
      </c>
      <c r="F465" s="413"/>
      <c r="G465" s="413"/>
      <c r="H465" s="211">
        <v>2952642</v>
      </c>
      <c r="I465" s="407">
        <f t="shared" si="421"/>
        <v>0</v>
      </c>
      <c r="J465" s="217">
        <v>0</v>
      </c>
      <c r="K465" s="469">
        <v>0</v>
      </c>
      <c r="L465" s="217">
        <v>0</v>
      </c>
      <c r="M465" s="469">
        <v>0</v>
      </c>
      <c r="N465" s="217">
        <v>0</v>
      </c>
      <c r="O465" s="249">
        <v>0</v>
      </c>
      <c r="P465" s="407">
        <v>0</v>
      </c>
      <c r="Q465" s="249">
        <v>0</v>
      </c>
      <c r="R465" s="407">
        <v>0</v>
      </c>
      <c r="S465" s="249">
        <v>0</v>
      </c>
      <c r="T465" s="407">
        <v>0</v>
      </c>
      <c r="U465" s="130">
        <v>0</v>
      </c>
      <c r="V465" s="407">
        <v>0</v>
      </c>
      <c r="W465" s="410">
        <v>913</v>
      </c>
      <c r="X465" s="407">
        <f t="shared" si="422"/>
        <v>2819773.11</v>
      </c>
      <c r="Y465" s="410">
        <v>0</v>
      </c>
      <c r="Z465" s="410">
        <v>0</v>
      </c>
      <c r="AA465" s="410">
        <v>0</v>
      </c>
      <c r="AB465" s="410">
        <v>0</v>
      </c>
      <c r="AC465" s="410">
        <v>0</v>
      </c>
      <c r="AD465" s="410">
        <v>0</v>
      </c>
      <c r="AE465" s="410">
        <v>0</v>
      </c>
      <c r="AF465" s="410">
        <v>0</v>
      </c>
      <c r="AG465" s="410">
        <v>0</v>
      </c>
      <c r="AH465" s="410">
        <v>0</v>
      </c>
      <c r="AI465" s="410">
        <v>0</v>
      </c>
      <c r="AJ465" s="410">
        <f t="shared" si="423"/>
        <v>88579.26</v>
      </c>
      <c r="AK465" s="410">
        <f t="shared" si="424"/>
        <v>44289.63</v>
      </c>
      <c r="AL465" s="410">
        <v>0</v>
      </c>
      <c r="AM465" s="446"/>
      <c r="AN465" s="446"/>
      <c r="AP465" s="486" t="e">
        <f t="shared" ref="AP465:AP528" si="425">J465/D465</f>
        <v>#DIV/0!</v>
      </c>
      <c r="AQ465" s="486" t="e">
        <f t="shared" si="398"/>
        <v>#DIV/0!</v>
      </c>
      <c r="AR465" s="486" t="e">
        <f t="shared" si="399"/>
        <v>#DIV/0!</v>
      </c>
      <c r="AS465" s="486" t="e">
        <f t="shared" si="400"/>
        <v>#DIV/0!</v>
      </c>
      <c r="AT465" s="486" t="e">
        <f t="shared" si="401"/>
        <v>#DIV/0!</v>
      </c>
      <c r="AU465" s="486" t="e">
        <f t="shared" si="402"/>
        <v>#DIV/0!</v>
      </c>
      <c r="AV465" s="486" t="e">
        <f t="shared" si="403"/>
        <v>#DIV/0!</v>
      </c>
      <c r="AW465" s="486">
        <f t="shared" si="404"/>
        <v>3088.47</v>
      </c>
      <c r="AX465" s="486" t="e">
        <f t="shared" si="405"/>
        <v>#DIV/0!</v>
      </c>
      <c r="AY465" s="486" t="e">
        <f t="shared" si="406"/>
        <v>#DIV/0!</v>
      </c>
      <c r="AZ465" s="486" t="e">
        <f t="shared" si="407"/>
        <v>#DIV/0!</v>
      </c>
      <c r="BA465" s="486">
        <f t="shared" ref="BA465:BA528" si="426">AI465/C465</f>
        <v>0</v>
      </c>
      <c r="BB465" s="494">
        <v>5155.41</v>
      </c>
      <c r="BC465" s="494">
        <v>2070.12</v>
      </c>
      <c r="BD465" s="494">
        <v>848.92</v>
      </c>
      <c r="BE465" s="494">
        <v>819.73</v>
      </c>
      <c r="BF465" s="494">
        <v>611.5</v>
      </c>
      <c r="BG465" s="494">
        <v>1080.04</v>
      </c>
      <c r="BH465" s="494">
        <v>2671800.0099999998</v>
      </c>
      <c r="BI465" s="494">
        <f t="shared" si="420"/>
        <v>4422.8500000000004</v>
      </c>
      <c r="BJ465" s="494">
        <v>14289.54</v>
      </c>
      <c r="BK465" s="494">
        <v>3389.61</v>
      </c>
      <c r="BL465" s="494">
        <v>5995.76</v>
      </c>
      <c r="BM465" s="494">
        <v>548.62</v>
      </c>
      <c r="BN465" s="495" t="e">
        <f t="shared" si="408"/>
        <v>#DIV/0!</v>
      </c>
      <c r="BO465" s="495" t="e">
        <f t="shared" si="409"/>
        <v>#DIV/0!</v>
      </c>
      <c r="BP465" s="495" t="e">
        <f t="shared" si="410"/>
        <v>#DIV/0!</v>
      </c>
      <c r="BQ465" s="495" t="e">
        <f t="shared" si="411"/>
        <v>#DIV/0!</v>
      </c>
      <c r="BR465" s="495" t="e">
        <f t="shared" si="412"/>
        <v>#DIV/0!</v>
      </c>
      <c r="BS465" s="495" t="e">
        <f t="shared" si="413"/>
        <v>#DIV/0!</v>
      </c>
      <c r="BT465" s="495" t="e">
        <f t="shared" si="414"/>
        <v>#DIV/0!</v>
      </c>
      <c r="BU465" s="495" t="str">
        <f t="shared" si="415"/>
        <v xml:space="preserve"> </v>
      </c>
      <c r="BV465" s="495" t="e">
        <f t="shared" si="416"/>
        <v>#DIV/0!</v>
      </c>
      <c r="BW465" s="495" t="e">
        <f t="shared" si="417"/>
        <v>#DIV/0!</v>
      </c>
      <c r="BX465" s="495" t="e">
        <f t="shared" si="418"/>
        <v>#DIV/0!</v>
      </c>
      <c r="BY465" s="495" t="str">
        <f t="shared" si="419"/>
        <v xml:space="preserve"> </v>
      </c>
    </row>
    <row r="466" spans="1:77" s="28" customFormat="1" ht="9" customHeight="1">
      <c r="A466" s="406">
        <v>106</v>
      </c>
      <c r="B466" s="206" t="s">
        <v>728</v>
      </c>
      <c r="C466" s="376">
        <v>5519.9</v>
      </c>
      <c r="D466" s="376"/>
      <c r="E466" s="413" t="s">
        <v>1005</v>
      </c>
      <c r="F466" s="413"/>
      <c r="G466" s="413"/>
      <c r="H466" s="211">
        <v>5197706</v>
      </c>
      <c r="I466" s="407">
        <f t="shared" si="421"/>
        <v>0</v>
      </c>
      <c r="J466" s="217">
        <v>0</v>
      </c>
      <c r="K466" s="469">
        <v>0</v>
      </c>
      <c r="L466" s="217">
        <v>0</v>
      </c>
      <c r="M466" s="469">
        <v>0</v>
      </c>
      <c r="N466" s="217">
        <v>0</v>
      </c>
      <c r="O466" s="249">
        <v>0</v>
      </c>
      <c r="P466" s="407">
        <v>0</v>
      </c>
      <c r="Q466" s="249">
        <v>0</v>
      </c>
      <c r="R466" s="407">
        <v>0</v>
      </c>
      <c r="S466" s="249">
        <v>0</v>
      </c>
      <c r="T466" s="407">
        <v>0</v>
      </c>
      <c r="U466" s="130">
        <v>0</v>
      </c>
      <c r="V466" s="407">
        <v>0</v>
      </c>
      <c r="W466" s="410">
        <v>1559</v>
      </c>
      <c r="X466" s="407">
        <f t="shared" si="422"/>
        <v>4963809.2300000004</v>
      </c>
      <c r="Y466" s="410">
        <v>0</v>
      </c>
      <c r="Z466" s="410">
        <v>0</v>
      </c>
      <c r="AA466" s="410">
        <v>0</v>
      </c>
      <c r="AB466" s="410">
        <v>0</v>
      </c>
      <c r="AC466" s="410">
        <v>0</v>
      </c>
      <c r="AD466" s="410">
        <v>0</v>
      </c>
      <c r="AE466" s="410">
        <v>0</v>
      </c>
      <c r="AF466" s="410">
        <v>0</v>
      </c>
      <c r="AG466" s="410">
        <v>0</v>
      </c>
      <c r="AH466" s="410">
        <v>0</v>
      </c>
      <c r="AI466" s="410">
        <v>0</v>
      </c>
      <c r="AJ466" s="410">
        <f t="shared" si="423"/>
        <v>155931.18</v>
      </c>
      <c r="AK466" s="410">
        <f t="shared" si="424"/>
        <v>77965.59</v>
      </c>
      <c r="AL466" s="410">
        <v>0</v>
      </c>
      <c r="AM466" s="446"/>
      <c r="AN466" s="446"/>
      <c r="AP466" s="486" t="e">
        <f t="shared" si="425"/>
        <v>#DIV/0!</v>
      </c>
      <c r="AQ466" s="486" t="e">
        <f t="shared" ref="AQ466:AQ529" si="427">L466/K466</f>
        <v>#DIV/0!</v>
      </c>
      <c r="AR466" s="486" t="e">
        <f t="shared" ref="AR466:AR529" si="428">N466/M466</f>
        <v>#DIV/0!</v>
      </c>
      <c r="AS466" s="486" t="e">
        <f t="shared" ref="AS466:AS529" si="429">P466/O466</f>
        <v>#DIV/0!</v>
      </c>
      <c r="AT466" s="486" t="e">
        <f t="shared" ref="AT466:AT529" si="430">R466/Q466</f>
        <v>#DIV/0!</v>
      </c>
      <c r="AU466" s="486" t="e">
        <f t="shared" ref="AU466:AU529" si="431">T466/S466</f>
        <v>#DIV/0!</v>
      </c>
      <c r="AV466" s="486" t="e">
        <f t="shared" ref="AV466:AV529" si="432">V466/U466</f>
        <v>#DIV/0!</v>
      </c>
      <c r="AW466" s="486">
        <f t="shared" ref="AW466:AW529" si="433">X466/W466</f>
        <v>3183.9700000000003</v>
      </c>
      <c r="AX466" s="486" t="e">
        <f t="shared" ref="AX466:AX529" si="434">Z466/Y466</f>
        <v>#DIV/0!</v>
      </c>
      <c r="AY466" s="486" t="e">
        <f t="shared" ref="AY466:AY529" si="435">AB466/AA466</f>
        <v>#DIV/0!</v>
      </c>
      <c r="AZ466" s="486" t="e">
        <f t="shared" ref="AZ466:AZ529" si="436">AH466/AG466</f>
        <v>#DIV/0!</v>
      </c>
      <c r="BA466" s="486">
        <f t="shared" si="426"/>
        <v>0</v>
      </c>
      <c r="BB466" s="494">
        <v>5155.41</v>
      </c>
      <c r="BC466" s="494">
        <v>2070.12</v>
      </c>
      <c r="BD466" s="494">
        <v>848.92</v>
      </c>
      <c r="BE466" s="494">
        <v>819.73</v>
      </c>
      <c r="BF466" s="494">
        <v>611.5</v>
      </c>
      <c r="BG466" s="494">
        <v>1080.04</v>
      </c>
      <c r="BH466" s="494">
        <v>2671800.0099999998</v>
      </c>
      <c r="BI466" s="494">
        <f t="shared" si="420"/>
        <v>4607.6000000000004</v>
      </c>
      <c r="BJ466" s="494">
        <v>14289.54</v>
      </c>
      <c r="BK466" s="494">
        <v>3389.61</v>
      </c>
      <c r="BL466" s="494">
        <v>5995.76</v>
      </c>
      <c r="BM466" s="494">
        <v>548.62</v>
      </c>
      <c r="BN466" s="495" t="e">
        <f t="shared" ref="BN466:BN529" si="437">IF(AP466&gt;BB466, "+", " ")</f>
        <v>#DIV/0!</v>
      </c>
      <c r="BO466" s="495" t="e">
        <f t="shared" ref="BO466:BO529" si="438">IF(AQ466&gt;BC466, "+", " ")</f>
        <v>#DIV/0!</v>
      </c>
      <c r="BP466" s="495" t="e">
        <f t="shared" ref="BP466:BP529" si="439">IF(AR466&gt;BD466, "+", " ")</f>
        <v>#DIV/0!</v>
      </c>
      <c r="BQ466" s="495" t="e">
        <f t="shared" ref="BQ466:BQ529" si="440">IF(AS466&gt;BE466, "+", " ")</f>
        <v>#DIV/0!</v>
      </c>
      <c r="BR466" s="495" t="e">
        <f t="shared" ref="BR466:BR529" si="441">IF(AT466&gt;BF466, "+", " ")</f>
        <v>#DIV/0!</v>
      </c>
      <c r="BS466" s="495" t="e">
        <f t="shared" ref="BS466:BS529" si="442">IF(AU466&gt;BG466, "+", " ")</f>
        <v>#DIV/0!</v>
      </c>
      <c r="BT466" s="495" t="e">
        <f t="shared" ref="BT466:BT529" si="443">IF(AV466&gt;BH466, "+", " ")</f>
        <v>#DIV/0!</v>
      </c>
      <c r="BU466" s="495" t="str">
        <f t="shared" ref="BU466:BU529" si="444">IF(AW466&gt;BI466, "+", " ")</f>
        <v xml:space="preserve"> </v>
      </c>
      <c r="BV466" s="495" t="e">
        <f t="shared" ref="BV466:BV529" si="445">IF(AX466&gt;BJ466, "+", " ")</f>
        <v>#DIV/0!</v>
      </c>
      <c r="BW466" s="495" t="e">
        <f t="shared" ref="BW466:BW529" si="446">IF(AY466&gt;BK466, "+", " ")</f>
        <v>#DIV/0!</v>
      </c>
      <c r="BX466" s="495" t="e">
        <f t="shared" ref="BX466:BX529" si="447">IF(AZ466&gt;BL466, "+", " ")</f>
        <v>#DIV/0!</v>
      </c>
      <c r="BY466" s="495" t="str">
        <f t="shared" ref="BY466:BY529" si="448">IF(BA466&gt;BM466, "+", " ")</f>
        <v xml:space="preserve"> </v>
      </c>
    </row>
    <row r="467" spans="1:77" s="28" customFormat="1" ht="9" customHeight="1">
      <c r="A467" s="406">
        <v>107</v>
      </c>
      <c r="B467" s="206" t="s">
        <v>729</v>
      </c>
      <c r="C467" s="376">
        <v>1292.4000000000001</v>
      </c>
      <c r="D467" s="376"/>
      <c r="E467" s="413" t="s">
        <v>1006</v>
      </c>
      <c r="F467" s="413"/>
      <c r="G467" s="413"/>
      <c r="H467" s="211">
        <v>1911294</v>
      </c>
      <c r="I467" s="407">
        <f t="shared" si="421"/>
        <v>0</v>
      </c>
      <c r="J467" s="217">
        <v>0</v>
      </c>
      <c r="K467" s="469">
        <v>0</v>
      </c>
      <c r="L467" s="217">
        <v>0</v>
      </c>
      <c r="M467" s="469">
        <v>0</v>
      </c>
      <c r="N467" s="217">
        <v>0</v>
      </c>
      <c r="O467" s="249">
        <v>0</v>
      </c>
      <c r="P467" s="407">
        <v>0</v>
      </c>
      <c r="Q467" s="249">
        <v>0</v>
      </c>
      <c r="R467" s="407">
        <v>0</v>
      </c>
      <c r="S467" s="249">
        <v>0</v>
      </c>
      <c r="T467" s="407">
        <v>0</v>
      </c>
      <c r="U467" s="130">
        <v>0</v>
      </c>
      <c r="V467" s="407">
        <v>0</v>
      </c>
      <c r="W467" s="410">
        <v>591</v>
      </c>
      <c r="X467" s="407">
        <f t="shared" si="422"/>
        <v>1825285.77</v>
      </c>
      <c r="Y467" s="410">
        <v>0</v>
      </c>
      <c r="Z467" s="410">
        <v>0</v>
      </c>
      <c r="AA467" s="410">
        <v>0</v>
      </c>
      <c r="AB467" s="410">
        <v>0</v>
      </c>
      <c r="AC467" s="410">
        <v>0</v>
      </c>
      <c r="AD467" s="410">
        <v>0</v>
      </c>
      <c r="AE467" s="410">
        <v>0</v>
      </c>
      <c r="AF467" s="410">
        <v>0</v>
      </c>
      <c r="AG467" s="410">
        <v>0</v>
      </c>
      <c r="AH467" s="410">
        <v>0</v>
      </c>
      <c r="AI467" s="410">
        <v>0</v>
      </c>
      <c r="AJ467" s="410">
        <f t="shared" si="423"/>
        <v>57338.82</v>
      </c>
      <c r="AK467" s="410">
        <f t="shared" si="424"/>
        <v>28669.41</v>
      </c>
      <c r="AL467" s="410">
        <v>0</v>
      </c>
      <c r="AM467" s="446"/>
      <c r="AN467" s="446"/>
      <c r="AP467" s="486" t="e">
        <f t="shared" si="425"/>
        <v>#DIV/0!</v>
      </c>
      <c r="AQ467" s="486" t="e">
        <f t="shared" si="427"/>
        <v>#DIV/0!</v>
      </c>
      <c r="AR467" s="486" t="e">
        <f t="shared" si="428"/>
        <v>#DIV/0!</v>
      </c>
      <c r="AS467" s="486" t="e">
        <f t="shared" si="429"/>
        <v>#DIV/0!</v>
      </c>
      <c r="AT467" s="486" t="e">
        <f t="shared" si="430"/>
        <v>#DIV/0!</v>
      </c>
      <c r="AU467" s="486" t="e">
        <f t="shared" si="431"/>
        <v>#DIV/0!</v>
      </c>
      <c r="AV467" s="486" t="e">
        <f t="shared" si="432"/>
        <v>#DIV/0!</v>
      </c>
      <c r="AW467" s="486">
        <f t="shared" si="433"/>
        <v>3088.4700000000003</v>
      </c>
      <c r="AX467" s="486" t="e">
        <f t="shared" si="434"/>
        <v>#DIV/0!</v>
      </c>
      <c r="AY467" s="486" t="e">
        <f t="shared" si="435"/>
        <v>#DIV/0!</v>
      </c>
      <c r="AZ467" s="486" t="e">
        <f t="shared" si="436"/>
        <v>#DIV/0!</v>
      </c>
      <c r="BA467" s="486">
        <f t="shared" si="426"/>
        <v>0</v>
      </c>
      <c r="BB467" s="494">
        <v>5155.41</v>
      </c>
      <c r="BC467" s="494">
        <v>2070.12</v>
      </c>
      <c r="BD467" s="494">
        <v>848.92</v>
      </c>
      <c r="BE467" s="494">
        <v>819.73</v>
      </c>
      <c r="BF467" s="494">
        <v>611.5</v>
      </c>
      <c r="BG467" s="494">
        <v>1080.04</v>
      </c>
      <c r="BH467" s="494">
        <v>2671800.0099999998</v>
      </c>
      <c r="BI467" s="494">
        <f t="shared" si="420"/>
        <v>4422.8500000000004</v>
      </c>
      <c r="BJ467" s="494">
        <v>14289.54</v>
      </c>
      <c r="BK467" s="494">
        <v>3389.61</v>
      </c>
      <c r="BL467" s="494">
        <v>5995.76</v>
      </c>
      <c r="BM467" s="494">
        <v>548.62</v>
      </c>
      <c r="BN467" s="495" t="e">
        <f t="shared" si="437"/>
        <v>#DIV/0!</v>
      </c>
      <c r="BO467" s="495" t="e">
        <f t="shared" si="438"/>
        <v>#DIV/0!</v>
      </c>
      <c r="BP467" s="495" t="e">
        <f t="shared" si="439"/>
        <v>#DIV/0!</v>
      </c>
      <c r="BQ467" s="495" t="e">
        <f t="shared" si="440"/>
        <v>#DIV/0!</v>
      </c>
      <c r="BR467" s="495" t="e">
        <f t="shared" si="441"/>
        <v>#DIV/0!</v>
      </c>
      <c r="BS467" s="495" t="e">
        <f t="shared" si="442"/>
        <v>#DIV/0!</v>
      </c>
      <c r="BT467" s="495" t="e">
        <f t="shared" si="443"/>
        <v>#DIV/0!</v>
      </c>
      <c r="BU467" s="495" t="str">
        <f t="shared" si="444"/>
        <v xml:space="preserve"> </v>
      </c>
      <c r="BV467" s="495" t="e">
        <f t="shared" si="445"/>
        <v>#DIV/0!</v>
      </c>
      <c r="BW467" s="495" t="e">
        <f t="shared" si="446"/>
        <v>#DIV/0!</v>
      </c>
      <c r="BX467" s="495" t="e">
        <f t="shared" si="447"/>
        <v>#DIV/0!</v>
      </c>
      <c r="BY467" s="495" t="str">
        <f t="shared" si="448"/>
        <v xml:space="preserve"> </v>
      </c>
    </row>
    <row r="468" spans="1:77" s="28" customFormat="1" ht="9" customHeight="1">
      <c r="A468" s="406">
        <v>108</v>
      </c>
      <c r="B468" s="206" t="s">
        <v>730</v>
      </c>
      <c r="C468" s="376">
        <v>1312.2</v>
      </c>
      <c r="D468" s="376"/>
      <c r="E468" s="413" t="s">
        <v>1006</v>
      </c>
      <c r="F468" s="413"/>
      <c r="G468" s="413"/>
      <c r="H468" s="211">
        <v>1875720</v>
      </c>
      <c r="I468" s="407">
        <f t="shared" si="421"/>
        <v>0</v>
      </c>
      <c r="J468" s="217">
        <v>0</v>
      </c>
      <c r="K468" s="469">
        <v>0</v>
      </c>
      <c r="L468" s="217">
        <v>0</v>
      </c>
      <c r="M468" s="469">
        <v>0</v>
      </c>
      <c r="N468" s="217">
        <v>0</v>
      </c>
      <c r="O468" s="249">
        <v>0</v>
      </c>
      <c r="P468" s="407">
        <v>0</v>
      </c>
      <c r="Q468" s="249">
        <v>0</v>
      </c>
      <c r="R468" s="407">
        <v>0</v>
      </c>
      <c r="S468" s="249">
        <v>0</v>
      </c>
      <c r="T468" s="407">
        <v>0</v>
      </c>
      <c r="U468" s="130">
        <v>0</v>
      </c>
      <c r="V468" s="407">
        <v>0</v>
      </c>
      <c r="W468" s="410">
        <v>580</v>
      </c>
      <c r="X468" s="407">
        <f t="shared" si="422"/>
        <v>1791312.6</v>
      </c>
      <c r="Y468" s="410">
        <v>0</v>
      </c>
      <c r="Z468" s="410">
        <v>0</v>
      </c>
      <c r="AA468" s="410">
        <v>0</v>
      </c>
      <c r="AB468" s="410">
        <v>0</v>
      </c>
      <c r="AC468" s="410">
        <v>0</v>
      </c>
      <c r="AD468" s="410">
        <v>0</v>
      </c>
      <c r="AE468" s="410">
        <v>0</v>
      </c>
      <c r="AF468" s="410">
        <v>0</v>
      </c>
      <c r="AG468" s="410">
        <v>0</v>
      </c>
      <c r="AH468" s="410">
        <v>0</v>
      </c>
      <c r="AI468" s="410">
        <v>0</v>
      </c>
      <c r="AJ468" s="410">
        <f t="shared" si="423"/>
        <v>56271.6</v>
      </c>
      <c r="AK468" s="410">
        <f t="shared" si="424"/>
        <v>28135.8</v>
      </c>
      <c r="AL468" s="410">
        <v>0</v>
      </c>
      <c r="AM468" s="446"/>
      <c r="AN468" s="446"/>
      <c r="AP468" s="486" t="e">
        <f t="shared" si="425"/>
        <v>#DIV/0!</v>
      </c>
      <c r="AQ468" s="486" t="e">
        <f t="shared" si="427"/>
        <v>#DIV/0!</v>
      </c>
      <c r="AR468" s="486" t="e">
        <f t="shared" si="428"/>
        <v>#DIV/0!</v>
      </c>
      <c r="AS468" s="486" t="e">
        <f t="shared" si="429"/>
        <v>#DIV/0!</v>
      </c>
      <c r="AT468" s="486" t="e">
        <f t="shared" si="430"/>
        <v>#DIV/0!</v>
      </c>
      <c r="AU468" s="486" t="e">
        <f t="shared" si="431"/>
        <v>#DIV/0!</v>
      </c>
      <c r="AV468" s="486" t="e">
        <f t="shared" si="432"/>
        <v>#DIV/0!</v>
      </c>
      <c r="AW468" s="486">
        <f t="shared" si="433"/>
        <v>3088.4700000000003</v>
      </c>
      <c r="AX468" s="486" t="e">
        <f t="shared" si="434"/>
        <v>#DIV/0!</v>
      </c>
      <c r="AY468" s="486" t="e">
        <f t="shared" si="435"/>
        <v>#DIV/0!</v>
      </c>
      <c r="AZ468" s="486" t="e">
        <f t="shared" si="436"/>
        <v>#DIV/0!</v>
      </c>
      <c r="BA468" s="486">
        <f t="shared" si="426"/>
        <v>0</v>
      </c>
      <c r="BB468" s="494">
        <v>5155.41</v>
      </c>
      <c r="BC468" s="494">
        <v>2070.12</v>
      </c>
      <c r="BD468" s="494">
        <v>848.92</v>
      </c>
      <c r="BE468" s="494">
        <v>819.73</v>
      </c>
      <c r="BF468" s="494">
        <v>611.5</v>
      </c>
      <c r="BG468" s="494">
        <v>1080.04</v>
      </c>
      <c r="BH468" s="494">
        <v>2671800.0099999998</v>
      </c>
      <c r="BI468" s="494">
        <f t="shared" si="420"/>
        <v>4422.8500000000004</v>
      </c>
      <c r="BJ468" s="494">
        <v>14289.54</v>
      </c>
      <c r="BK468" s="494">
        <v>3389.61</v>
      </c>
      <c r="BL468" s="494">
        <v>5995.76</v>
      </c>
      <c r="BM468" s="494">
        <v>548.62</v>
      </c>
      <c r="BN468" s="495" t="e">
        <f t="shared" si="437"/>
        <v>#DIV/0!</v>
      </c>
      <c r="BO468" s="495" t="e">
        <f t="shared" si="438"/>
        <v>#DIV/0!</v>
      </c>
      <c r="BP468" s="495" t="e">
        <f t="shared" si="439"/>
        <v>#DIV/0!</v>
      </c>
      <c r="BQ468" s="495" t="e">
        <f t="shared" si="440"/>
        <v>#DIV/0!</v>
      </c>
      <c r="BR468" s="495" t="e">
        <f t="shared" si="441"/>
        <v>#DIV/0!</v>
      </c>
      <c r="BS468" s="495" t="e">
        <f t="shared" si="442"/>
        <v>#DIV/0!</v>
      </c>
      <c r="BT468" s="495" t="e">
        <f t="shared" si="443"/>
        <v>#DIV/0!</v>
      </c>
      <c r="BU468" s="495" t="str">
        <f t="shared" si="444"/>
        <v xml:space="preserve"> </v>
      </c>
      <c r="BV468" s="495" t="e">
        <f t="shared" si="445"/>
        <v>#DIV/0!</v>
      </c>
      <c r="BW468" s="495" t="e">
        <f t="shared" si="446"/>
        <v>#DIV/0!</v>
      </c>
      <c r="BX468" s="495" t="e">
        <f t="shared" si="447"/>
        <v>#DIV/0!</v>
      </c>
      <c r="BY468" s="495" t="str">
        <f t="shared" si="448"/>
        <v xml:space="preserve"> </v>
      </c>
    </row>
    <row r="469" spans="1:77" s="28" customFormat="1" ht="9" customHeight="1">
      <c r="A469" s="406">
        <v>109</v>
      </c>
      <c r="B469" s="206" t="s">
        <v>731</v>
      </c>
      <c r="C469" s="376">
        <v>2222.3000000000002</v>
      </c>
      <c r="D469" s="376"/>
      <c r="E469" s="413" t="s">
        <v>1005</v>
      </c>
      <c r="F469" s="413"/>
      <c r="G469" s="413"/>
      <c r="H469" s="211">
        <v>3394012</v>
      </c>
      <c r="I469" s="407">
        <f t="shared" si="421"/>
        <v>0</v>
      </c>
      <c r="J469" s="217">
        <v>0</v>
      </c>
      <c r="K469" s="469">
        <v>0</v>
      </c>
      <c r="L469" s="217">
        <v>0</v>
      </c>
      <c r="M469" s="469">
        <v>0</v>
      </c>
      <c r="N469" s="217">
        <v>0</v>
      </c>
      <c r="O469" s="249">
        <v>0</v>
      </c>
      <c r="P469" s="407">
        <v>0</v>
      </c>
      <c r="Q469" s="249">
        <v>0</v>
      </c>
      <c r="R469" s="407">
        <v>0</v>
      </c>
      <c r="S469" s="249">
        <v>0</v>
      </c>
      <c r="T469" s="407">
        <v>0</v>
      </c>
      <c r="U469" s="130">
        <v>0</v>
      </c>
      <c r="V469" s="407">
        <v>0</v>
      </c>
      <c r="W469" s="410">
        <v>1018</v>
      </c>
      <c r="X469" s="407">
        <f t="shared" si="422"/>
        <v>3241281.46</v>
      </c>
      <c r="Y469" s="410">
        <v>0</v>
      </c>
      <c r="Z469" s="410">
        <v>0</v>
      </c>
      <c r="AA469" s="410">
        <v>0</v>
      </c>
      <c r="AB469" s="410">
        <v>0</v>
      </c>
      <c r="AC469" s="410">
        <v>0</v>
      </c>
      <c r="AD469" s="410">
        <v>0</v>
      </c>
      <c r="AE469" s="410">
        <v>0</v>
      </c>
      <c r="AF469" s="410">
        <v>0</v>
      </c>
      <c r="AG469" s="410">
        <v>0</v>
      </c>
      <c r="AH469" s="410">
        <v>0</v>
      </c>
      <c r="AI469" s="410">
        <v>0</v>
      </c>
      <c r="AJ469" s="410">
        <f t="shared" si="423"/>
        <v>101820.36</v>
      </c>
      <c r="AK469" s="410">
        <f t="shared" si="424"/>
        <v>50910.18</v>
      </c>
      <c r="AL469" s="410">
        <v>0</v>
      </c>
      <c r="AM469" s="446"/>
      <c r="AN469" s="446"/>
      <c r="AP469" s="486" t="e">
        <f t="shared" si="425"/>
        <v>#DIV/0!</v>
      </c>
      <c r="AQ469" s="486" t="e">
        <f t="shared" si="427"/>
        <v>#DIV/0!</v>
      </c>
      <c r="AR469" s="486" t="e">
        <f t="shared" si="428"/>
        <v>#DIV/0!</v>
      </c>
      <c r="AS469" s="486" t="e">
        <f t="shared" si="429"/>
        <v>#DIV/0!</v>
      </c>
      <c r="AT469" s="486" t="e">
        <f t="shared" si="430"/>
        <v>#DIV/0!</v>
      </c>
      <c r="AU469" s="486" t="e">
        <f t="shared" si="431"/>
        <v>#DIV/0!</v>
      </c>
      <c r="AV469" s="486" t="e">
        <f t="shared" si="432"/>
        <v>#DIV/0!</v>
      </c>
      <c r="AW469" s="486">
        <f t="shared" si="433"/>
        <v>3183.97</v>
      </c>
      <c r="AX469" s="486" t="e">
        <f t="shared" si="434"/>
        <v>#DIV/0!</v>
      </c>
      <c r="AY469" s="486" t="e">
        <f t="shared" si="435"/>
        <v>#DIV/0!</v>
      </c>
      <c r="AZ469" s="486" t="e">
        <f t="shared" si="436"/>
        <v>#DIV/0!</v>
      </c>
      <c r="BA469" s="486">
        <f t="shared" si="426"/>
        <v>0</v>
      </c>
      <c r="BB469" s="494">
        <v>5155.41</v>
      </c>
      <c r="BC469" s="494">
        <v>2070.12</v>
      </c>
      <c r="BD469" s="494">
        <v>848.92</v>
      </c>
      <c r="BE469" s="494">
        <v>819.73</v>
      </c>
      <c r="BF469" s="494">
        <v>611.5</v>
      </c>
      <c r="BG469" s="494">
        <v>1080.04</v>
      </c>
      <c r="BH469" s="494">
        <v>2671800.0099999998</v>
      </c>
      <c r="BI469" s="494">
        <f t="shared" si="420"/>
        <v>4607.6000000000004</v>
      </c>
      <c r="BJ469" s="494">
        <v>14289.54</v>
      </c>
      <c r="BK469" s="494">
        <v>3389.61</v>
      </c>
      <c r="BL469" s="494">
        <v>5995.76</v>
      </c>
      <c r="BM469" s="494">
        <v>548.62</v>
      </c>
      <c r="BN469" s="495" t="e">
        <f t="shared" si="437"/>
        <v>#DIV/0!</v>
      </c>
      <c r="BO469" s="495" t="e">
        <f t="shared" si="438"/>
        <v>#DIV/0!</v>
      </c>
      <c r="BP469" s="495" t="e">
        <f t="shared" si="439"/>
        <v>#DIV/0!</v>
      </c>
      <c r="BQ469" s="495" t="e">
        <f t="shared" si="440"/>
        <v>#DIV/0!</v>
      </c>
      <c r="BR469" s="495" t="e">
        <f t="shared" si="441"/>
        <v>#DIV/0!</v>
      </c>
      <c r="BS469" s="495" t="e">
        <f t="shared" si="442"/>
        <v>#DIV/0!</v>
      </c>
      <c r="BT469" s="495" t="e">
        <f t="shared" si="443"/>
        <v>#DIV/0!</v>
      </c>
      <c r="BU469" s="495" t="str">
        <f t="shared" si="444"/>
        <v xml:space="preserve"> </v>
      </c>
      <c r="BV469" s="495" t="e">
        <f t="shared" si="445"/>
        <v>#DIV/0!</v>
      </c>
      <c r="BW469" s="495" t="e">
        <f t="shared" si="446"/>
        <v>#DIV/0!</v>
      </c>
      <c r="BX469" s="495" t="e">
        <f t="shared" si="447"/>
        <v>#DIV/0!</v>
      </c>
      <c r="BY469" s="495" t="str">
        <f t="shared" si="448"/>
        <v xml:space="preserve"> </v>
      </c>
    </row>
    <row r="470" spans="1:77" s="28" customFormat="1" ht="9" customHeight="1">
      <c r="A470" s="406">
        <v>110</v>
      </c>
      <c r="B470" s="206" t="s">
        <v>732</v>
      </c>
      <c r="C470" s="376">
        <v>3787.2</v>
      </c>
      <c r="D470" s="376"/>
      <c r="E470" s="413" t="s">
        <v>1006</v>
      </c>
      <c r="F470" s="413"/>
      <c r="G470" s="413"/>
      <c r="H470" s="211">
        <v>5675670</v>
      </c>
      <c r="I470" s="407">
        <f t="shared" si="421"/>
        <v>0</v>
      </c>
      <c r="J470" s="217">
        <v>0</v>
      </c>
      <c r="K470" s="469">
        <v>0</v>
      </c>
      <c r="L470" s="217">
        <v>0</v>
      </c>
      <c r="M470" s="469">
        <v>0</v>
      </c>
      <c r="N470" s="217">
        <v>0</v>
      </c>
      <c r="O470" s="249">
        <v>0</v>
      </c>
      <c r="P470" s="407">
        <v>0</v>
      </c>
      <c r="Q470" s="249">
        <v>0</v>
      </c>
      <c r="R470" s="407">
        <v>0</v>
      </c>
      <c r="S470" s="249">
        <v>0</v>
      </c>
      <c r="T470" s="407">
        <v>0</v>
      </c>
      <c r="U470" s="130">
        <v>0</v>
      </c>
      <c r="V470" s="407">
        <v>0</v>
      </c>
      <c r="W470" s="410">
        <v>1755</v>
      </c>
      <c r="X470" s="407">
        <f t="shared" si="422"/>
        <v>5420264.8499999996</v>
      </c>
      <c r="Y470" s="410">
        <v>0</v>
      </c>
      <c r="Z470" s="410">
        <v>0</v>
      </c>
      <c r="AA470" s="410">
        <v>0</v>
      </c>
      <c r="AB470" s="410">
        <v>0</v>
      </c>
      <c r="AC470" s="410">
        <v>0</v>
      </c>
      <c r="AD470" s="410">
        <v>0</v>
      </c>
      <c r="AE470" s="410">
        <v>0</v>
      </c>
      <c r="AF470" s="410">
        <v>0</v>
      </c>
      <c r="AG470" s="410">
        <v>0</v>
      </c>
      <c r="AH470" s="410">
        <v>0</v>
      </c>
      <c r="AI470" s="410">
        <v>0</v>
      </c>
      <c r="AJ470" s="410">
        <f t="shared" si="423"/>
        <v>170270.1</v>
      </c>
      <c r="AK470" s="410">
        <f t="shared" si="424"/>
        <v>85135.05</v>
      </c>
      <c r="AL470" s="410">
        <v>0</v>
      </c>
      <c r="AM470" s="446"/>
      <c r="AN470" s="446"/>
      <c r="AP470" s="486" t="e">
        <f t="shared" si="425"/>
        <v>#DIV/0!</v>
      </c>
      <c r="AQ470" s="486" t="e">
        <f t="shared" si="427"/>
        <v>#DIV/0!</v>
      </c>
      <c r="AR470" s="486" t="e">
        <f t="shared" si="428"/>
        <v>#DIV/0!</v>
      </c>
      <c r="AS470" s="486" t="e">
        <f t="shared" si="429"/>
        <v>#DIV/0!</v>
      </c>
      <c r="AT470" s="486" t="e">
        <f t="shared" si="430"/>
        <v>#DIV/0!</v>
      </c>
      <c r="AU470" s="486" t="e">
        <f t="shared" si="431"/>
        <v>#DIV/0!</v>
      </c>
      <c r="AV470" s="486" t="e">
        <f t="shared" si="432"/>
        <v>#DIV/0!</v>
      </c>
      <c r="AW470" s="486">
        <f t="shared" si="433"/>
        <v>3088.47</v>
      </c>
      <c r="AX470" s="486" t="e">
        <f t="shared" si="434"/>
        <v>#DIV/0!</v>
      </c>
      <c r="AY470" s="486" t="e">
        <f t="shared" si="435"/>
        <v>#DIV/0!</v>
      </c>
      <c r="AZ470" s="486" t="e">
        <f t="shared" si="436"/>
        <v>#DIV/0!</v>
      </c>
      <c r="BA470" s="486">
        <f t="shared" si="426"/>
        <v>0</v>
      </c>
      <c r="BB470" s="494">
        <v>5155.41</v>
      </c>
      <c r="BC470" s="494">
        <v>2070.12</v>
      </c>
      <c r="BD470" s="494">
        <v>848.92</v>
      </c>
      <c r="BE470" s="494">
        <v>819.73</v>
      </c>
      <c r="BF470" s="494">
        <v>611.5</v>
      </c>
      <c r="BG470" s="494">
        <v>1080.04</v>
      </c>
      <c r="BH470" s="494">
        <v>2671800.0099999998</v>
      </c>
      <c r="BI470" s="494">
        <f t="shared" si="420"/>
        <v>4422.8500000000004</v>
      </c>
      <c r="BJ470" s="494">
        <v>14289.54</v>
      </c>
      <c r="BK470" s="494">
        <v>3389.61</v>
      </c>
      <c r="BL470" s="494">
        <v>5995.76</v>
      </c>
      <c r="BM470" s="494">
        <v>548.62</v>
      </c>
      <c r="BN470" s="495" t="e">
        <f t="shared" si="437"/>
        <v>#DIV/0!</v>
      </c>
      <c r="BO470" s="495" t="e">
        <f t="shared" si="438"/>
        <v>#DIV/0!</v>
      </c>
      <c r="BP470" s="495" t="e">
        <f t="shared" si="439"/>
        <v>#DIV/0!</v>
      </c>
      <c r="BQ470" s="495" t="e">
        <f t="shared" si="440"/>
        <v>#DIV/0!</v>
      </c>
      <c r="BR470" s="495" t="e">
        <f t="shared" si="441"/>
        <v>#DIV/0!</v>
      </c>
      <c r="BS470" s="495" t="e">
        <f t="shared" si="442"/>
        <v>#DIV/0!</v>
      </c>
      <c r="BT470" s="495" t="e">
        <f t="shared" si="443"/>
        <v>#DIV/0!</v>
      </c>
      <c r="BU470" s="495" t="str">
        <f t="shared" si="444"/>
        <v xml:space="preserve"> </v>
      </c>
      <c r="BV470" s="495" t="e">
        <f t="shared" si="445"/>
        <v>#DIV/0!</v>
      </c>
      <c r="BW470" s="495" t="e">
        <f t="shared" si="446"/>
        <v>#DIV/0!</v>
      </c>
      <c r="BX470" s="495" t="e">
        <f t="shared" si="447"/>
        <v>#DIV/0!</v>
      </c>
      <c r="BY470" s="495" t="str">
        <f t="shared" si="448"/>
        <v xml:space="preserve"> </v>
      </c>
    </row>
    <row r="471" spans="1:77" s="28" customFormat="1" ht="9" customHeight="1">
      <c r="A471" s="406">
        <v>111</v>
      </c>
      <c r="B471" s="206" t="s">
        <v>733</v>
      </c>
      <c r="C471" s="376">
        <v>10213</v>
      </c>
      <c r="D471" s="376"/>
      <c r="E471" s="413" t="s">
        <v>1005</v>
      </c>
      <c r="F471" s="413"/>
      <c r="G471" s="413"/>
      <c r="H471" s="211">
        <v>8835100</v>
      </c>
      <c r="I471" s="407">
        <f t="shared" si="421"/>
        <v>0</v>
      </c>
      <c r="J471" s="217">
        <v>0</v>
      </c>
      <c r="K471" s="469">
        <v>0</v>
      </c>
      <c r="L471" s="217">
        <v>0</v>
      </c>
      <c r="M471" s="469">
        <v>0</v>
      </c>
      <c r="N471" s="217">
        <v>0</v>
      </c>
      <c r="O471" s="249">
        <v>0</v>
      </c>
      <c r="P471" s="407">
        <v>0</v>
      </c>
      <c r="Q471" s="249">
        <v>0</v>
      </c>
      <c r="R471" s="407">
        <v>0</v>
      </c>
      <c r="S471" s="249">
        <v>0</v>
      </c>
      <c r="T471" s="407">
        <v>0</v>
      </c>
      <c r="U471" s="130">
        <v>0</v>
      </c>
      <c r="V471" s="407">
        <v>0</v>
      </c>
      <c r="W471" s="410">
        <v>2650</v>
      </c>
      <c r="X471" s="407">
        <f t="shared" si="422"/>
        <v>8437520.5</v>
      </c>
      <c r="Y471" s="410">
        <v>0</v>
      </c>
      <c r="Z471" s="410">
        <v>0</v>
      </c>
      <c r="AA471" s="410">
        <v>0</v>
      </c>
      <c r="AB471" s="410">
        <v>0</v>
      </c>
      <c r="AC471" s="410">
        <v>0</v>
      </c>
      <c r="AD471" s="410">
        <v>0</v>
      </c>
      <c r="AE471" s="410">
        <v>0</v>
      </c>
      <c r="AF471" s="410">
        <v>0</v>
      </c>
      <c r="AG471" s="410">
        <v>0</v>
      </c>
      <c r="AH471" s="410">
        <v>0</v>
      </c>
      <c r="AI471" s="410">
        <v>0</v>
      </c>
      <c r="AJ471" s="410">
        <f t="shared" si="423"/>
        <v>265053</v>
      </c>
      <c r="AK471" s="410">
        <f t="shared" si="424"/>
        <v>132526.5</v>
      </c>
      <c r="AL471" s="410">
        <v>0</v>
      </c>
      <c r="AM471" s="446"/>
      <c r="AN471" s="446"/>
      <c r="AP471" s="486" t="e">
        <f t="shared" si="425"/>
        <v>#DIV/0!</v>
      </c>
      <c r="AQ471" s="486" t="e">
        <f t="shared" si="427"/>
        <v>#DIV/0!</v>
      </c>
      <c r="AR471" s="486" t="e">
        <f t="shared" si="428"/>
        <v>#DIV/0!</v>
      </c>
      <c r="AS471" s="486" t="e">
        <f t="shared" si="429"/>
        <v>#DIV/0!</v>
      </c>
      <c r="AT471" s="486" t="e">
        <f t="shared" si="430"/>
        <v>#DIV/0!</v>
      </c>
      <c r="AU471" s="486" t="e">
        <f t="shared" si="431"/>
        <v>#DIV/0!</v>
      </c>
      <c r="AV471" s="486" t="e">
        <f t="shared" si="432"/>
        <v>#DIV/0!</v>
      </c>
      <c r="AW471" s="486">
        <f t="shared" si="433"/>
        <v>3183.97</v>
      </c>
      <c r="AX471" s="486" t="e">
        <f t="shared" si="434"/>
        <v>#DIV/0!</v>
      </c>
      <c r="AY471" s="486" t="e">
        <f t="shared" si="435"/>
        <v>#DIV/0!</v>
      </c>
      <c r="AZ471" s="486" t="e">
        <f t="shared" si="436"/>
        <v>#DIV/0!</v>
      </c>
      <c r="BA471" s="486">
        <f t="shared" si="426"/>
        <v>0</v>
      </c>
      <c r="BB471" s="494">
        <v>5155.41</v>
      </c>
      <c r="BC471" s="494">
        <v>2070.12</v>
      </c>
      <c r="BD471" s="494">
        <v>848.92</v>
      </c>
      <c r="BE471" s="494">
        <v>819.73</v>
      </c>
      <c r="BF471" s="494">
        <v>611.5</v>
      </c>
      <c r="BG471" s="494">
        <v>1080.04</v>
      </c>
      <c r="BH471" s="494">
        <v>2671800.0099999998</v>
      </c>
      <c r="BI471" s="494">
        <f t="shared" si="420"/>
        <v>4607.6000000000004</v>
      </c>
      <c r="BJ471" s="494">
        <v>14289.54</v>
      </c>
      <c r="BK471" s="494">
        <v>3389.61</v>
      </c>
      <c r="BL471" s="494">
        <v>5995.76</v>
      </c>
      <c r="BM471" s="494">
        <v>548.62</v>
      </c>
      <c r="BN471" s="495" t="e">
        <f t="shared" si="437"/>
        <v>#DIV/0!</v>
      </c>
      <c r="BO471" s="495" t="e">
        <f t="shared" si="438"/>
        <v>#DIV/0!</v>
      </c>
      <c r="BP471" s="495" t="e">
        <f t="shared" si="439"/>
        <v>#DIV/0!</v>
      </c>
      <c r="BQ471" s="495" t="e">
        <f t="shared" si="440"/>
        <v>#DIV/0!</v>
      </c>
      <c r="BR471" s="495" t="e">
        <f t="shared" si="441"/>
        <v>#DIV/0!</v>
      </c>
      <c r="BS471" s="495" t="e">
        <f t="shared" si="442"/>
        <v>#DIV/0!</v>
      </c>
      <c r="BT471" s="495" t="e">
        <f t="shared" si="443"/>
        <v>#DIV/0!</v>
      </c>
      <c r="BU471" s="495" t="str">
        <f t="shared" si="444"/>
        <v xml:space="preserve"> </v>
      </c>
      <c r="BV471" s="495" t="e">
        <f t="shared" si="445"/>
        <v>#DIV/0!</v>
      </c>
      <c r="BW471" s="495" t="e">
        <f t="shared" si="446"/>
        <v>#DIV/0!</v>
      </c>
      <c r="BX471" s="495" t="e">
        <f t="shared" si="447"/>
        <v>#DIV/0!</v>
      </c>
      <c r="BY471" s="495" t="str">
        <f t="shared" si="448"/>
        <v xml:space="preserve"> </v>
      </c>
    </row>
    <row r="472" spans="1:77" s="28" customFormat="1" ht="9" customHeight="1">
      <c r="A472" s="406">
        <v>112</v>
      </c>
      <c r="B472" s="206" t="s">
        <v>734</v>
      </c>
      <c r="C472" s="376">
        <v>9363</v>
      </c>
      <c r="D472" s="376"/>
      <c r="E472" s="413" t="s">
        <v>1005</v>
      </c>
      <c r="F472" s="413"/>
      <c r="G472" s="413"/>
      <c r="H472" s="211">
        <v>7968260</v>
      </c>
      <c r="I472" s="407">
        <f t="shared" si="421"/>
        <v>0</v>
      </c>
      <c r="J472" s="217">
        <v>0</v>
      </c>
      <c r="K472" s="469">
        <v>0</v>
      </c>
      <c r="L472" s="217">
        <v>0</v>
      </c>
      <c r="M472" s="469">
        <v>0</v>
      </c>
      <c r="N472" s="217">
        <v>0</v>
      </c>
      <c r="O472" s="249">
        <v>0</v>
      </c>
      <c r="P472" s="407">
        <v>0</v>
      </c>
      <c r="Q472" s="249">
        <v>0</v>
      </c>
      <c r="R472" s="407">
        <v>0</v>
      </c>
      <c r="S472" s="249">
        <v>0</v>
      </c>
      <c r="T472" s="407">
        <v>0</v>
      </c>
      <c r="U472" s="130">
        <v>0</v>
      </c>
      <c r="V472" s="407">
        <v>0</v>
      </c>
      <c r="W472" s="410">
        <v>2390</v>
      </c>
      <c r="X472" s="407">
        <f t="shared" si="422"/>
        <v>7609688.2999999998</v>
      </c>
      <c r="Y472" s="410">
        <v>0</v>
      </c>
      <c r="Z472" s="410">
        <v>0</v>
      </c>
      <c r="AA472" s="410">
        <v>0</v>
      </c>
      <c r="AB472" s="410">
        <v>0</v>
      </c>
      <c r="AC472" s="410">
        <v>0</v>
      </c>
      <c r="AD472" s="410">
        <v>0</v>
      </c>
      <c r="AE472" s="410">
        <v>0</v>
      </c>
      <c r="AF472" s="410">
        <v>0</v>
      </c>
      <c r="AG472" s="410">
        <v>0</v>
      </c>
      <c r="AH472" s="410">
        <v>0</v>
      </c>
      <c r="AI472" s="410">
        <v>0</v>
      </c>
      <c r="AJ472" s="410">
        <f t="shared" si="423"/>
        <v>239047.8</v>
      </c>
      <c r="AK472" s="410">
        <f t="shared" si="424"/>
        <v>119523.9</v>
      </c>
      <c r="AL472" s="410">
        <v>0</v>
      </c>
      <c r="AM472" s="446"/>
      <c r="AN472" s="446"/>
      <c r="AP472" s="486" t="e">
        <f t="shared" si="425"/>
        <v>#DIV/0!</v>
      </c>
      <c r="AQ472" s="486" t="e">
        <f t="shared" si="427"/>
        <v>#DIV/0!</v>
      </c>
      <c r="AR472" s="486" t="e">
        <f t="shared" si="428"/>
        <v>#DIV/0!</v>
      </c>
      <c r="AS472" s="486" t="e">
        <f t="shared" si="429"/>
        <v>#DIV/0!</v>
      </c>
      <c r="AT472" s="486" t="e">
        <f t="shared" si="430"/>
        <v>#DIV/0!</v>
      </c>
      <c r="AU472" s="486" t="e">
        <f t="shared" si="431"/>
        <v>#DIV/0!</v>
      </c>
      <c r="AV472" s="486" t="e">
        <f t="shared" si="432"/>
        <v>#DIV/0!</v>
      </c>
      <c r="AW472" s="486">
        <f t="shared" si="433"/>
        <v>3183.97</v>
      </c>
      <c r="AX472" s="486" t="e">
        <f t="shared" si="434"/>
        <v>#DIV/0!</v>
      </c>
      <c r="AY472" s="486" t="e">
        <f t="shared" si="435"/>
        <v>#DIV/0!</v>
      </c>
      <c r="AZ472" s="486" t="e">
        <f t="shared" si="436"/>
        <v>#DIV/0!</v>
      </c>
      <c r="BA472" s="486">
        <f t="shared" si="426"/>
        <v>0</v>
      </c>
      <c r="BB472" s="494">
        <v>5155.41</v>
      </c>
      <c r="BC472" s="494">
        <v>2070.12</v>
      </c>
      <c r="BD472" s="494">
        <v>848.92</v>
      </c>
      <c r="BE472" s="494">
        <v>819.73</v>
      </c>
      <c r="BF472" s="494">
        <v>611.5</v>
      </c>
      <c r="BG472" s="494">
        <v>1080.04</v>
      </c>
      <c r="BH472" s="494">
        <v>2671800.0099999998</v>
      </c>
      <c r="BI472" s="494">
        <f t="shared" si="420"/>
        <v>4607.6000000000004</v>
      </c>
      <c r="BJ472" s="494">
        <v>14289.54</v>
      </c>
      <c r="BK472" s="494">
        <v>3389.61</v>
      </c>
      <c r="BL472" s="494">
        <v>5995.76</v>
      </c>
      <c r="BM472" s="494">
        <v>548.62</v>
      </c>
      <c r="BN472" s="495" t="e">
        <f t="shared" si="437"/>
        <v>#DIV/0!</v>
      </c>
      <c r="BO472" s="495" t="e">
        <f t="shared" si="438"/>
        <v>#DIV/0!</v>
      </c>
      <c r="BP472" s="495" t="e">
        <f t="shared" si="439"/>
        <v>#DIV/0!</v>
      </c>
      <c r="BQ472" s="495" t="e">
        <f t="shared" si="440"/>
        <v>#DIV/0!</v>
      </c>
      <c r="BR472" s="495" t="e">
        <f t="shared" si="441"/>
        <v>#DIV/0!</v>
      </c>
      <c r="BS472" s="495" t="e">
        <f t="shared" si="442"/>
        <v>#DIV/0!</v>
      </c>
      <c r="BT472" s="495" t="e">
        <f t="shared" si="443"/>
        <v>#DIV/0!</v>
      </c>
      <c r="BU472" s="495" t="str">
        <f t="shared" si="444"/>
        <v xml:space="preserve"> </v>
      </c>
      <c r="BV472" s="495" t="e">
        <f t="shared" si="445"/>
        <v>#DIV/0!</v>
      </c>
      <c r="BW472" s="495" t="e">
        <f t="shared" si="446"/>
        <v>#DIV/0!</v>
      </c>
      <c r="BX472" s="495" t="e">
        <f t="shared" si="447"/>
        <v>#DIV/0!</v>
      </c>
      <c r="BY472" s="495" t="str">
        <f t="shared" si="448"/>
        <v xml:space="preserve"> </v>
      </c>
    </row>
    <row r="473" spans="1:77" s="28" customFormat="1" ht="9" customHeight="1">
      <c r="A473" s="406">
        <v>113</v>
      </c>
      <c r="B473" s="206" t="s">
        <v>735</v>
      </c>
      <c r="C473" s="376">
        <v>3306</v>
      </c>
      <c r="D473" s="376"/>
      <c r="E473" s="413" t="s">
        <v>1005</v>
      </c>
      <c r="F473" s="413"/>
      <c r="G473" s="413"/>
      <c r="H473" s="211">
        <v>2767220</v>
      </c>
      <c r="I473" s="407">
        <f t="shared" si="421"/>
        <v>0</v>
      </c>
      <c r="J473" s="217">
        <v>0</v>
      </c>
      <c r="K473" s="469">
        <v>0</v>
      </c>
      <c r="L473" s="217">
        <v>0</v>
      </c>
      <c r="M473" s="469">
        <v>0</v>
      </c>
      <c r="N473" s="217">
        <v>0</v>
      </c>
      <c r="O473" s="249">
        <v>0</v>
      </c>
      <c r="P473" s="407">
        <v>0</v>
      </c>
      <c r="Q473" s="249">
        <v>0</v>
      </c>
      <c r="R473" s="407">
        <v>0</v>
      </c>
      <c r="S473" s="249">
        <v>0</v>
      </c>
      <c r="T473" s="407">
        <v>0</v>
      </c>
      <c r="U473" s="130">
        <v>0</v>
      </c>
      <c r="V473" s="407">
        <v>0</v>
      </c>
      <c r="W473" s="410">
        <v>830</v>
      </c>
      <c r="X473" s="407">
        <f t="shared" si="422"/>
        <v>2642695.1</v>
      </c>
      <c r="Y473" s="410">
        <v>0</v>
      </c>
      <c r="Z473" s="410">
        <v>0</v>
      </c>
      <c r="AA473" s="410">
        <v>0</v>
      </c>
      <c r="AB473" s="410">
        <v>0</v>
      </c>
      <c r="AC473" s="410">
        <v>0</v>
      </c>
      <c r="AD473" s="410">
        <v>0</v>
      </c>
      <c r="AE473" s="410">
        <v>0</v>
      </c>
      <c r="AF473" s="410">
        <v>0</v>
      </c>
      <c r="AG473" s="410">
        <v>0</v>
      </c>
      <c r="AH473" s="410">
        <v>0</v>
      </c>
      <c r="AI473" s="410">
        <v>0</v>
      </c>
      <c r="AJ473" s="410">
        <f t="shared" si="423"/>
        <v>83016.600000000006</v>
      </c>
      <c r="AK473" s="410">
        <f t="shared" si="424"/>
        <v>41508.300000000003</v>
      </c>
      <c r="AL473" s="410">
        <v>0</v>
      </c>
      <c r="AM473" s="446"/>
      <c r="AN473" s="446"/>
      <c r="AP473" s="486" t="e">
        <f t="shared" si="425"/>
        <v>#DIV/0!</v>
      </c>
      <c r="AQ473" s="486" t="e">
        <f t="shared" si="427"/>
        <v>#DIV/0!</v>
      </c>
      <c r="AR473" s="486" t="e">
        <f t="shared" si="428"/>
        <v>#DIV/0!</v>
      </c>
      <c r="AS473" s="486" t="e">
        <f t="shared" si="429"/>
        <v>#DIV/0!</v>
      </c>
      <c r="AT473" s="486" t="e">
        <f t="shared" si="430"/>
        <v>#DIV/0!</v>
      </c>
      <c r="AU473" s="486" t="e">
        <f t="shared" si="431"/>
        <v>#DIV/0!</v>
      </c>
      <c r="AV473" s="486" t="e">
        <f t="shared" si="432"/>
        <v>#DIV/0!</v>
      </c>
      <c r="AW473" s="486">
        <f t="shared" si="433"/>
        <v>3183.9700000000003</v>
      </c>
      <c r="AX473" s="486" t="e">
        <f t="shared" si="434"/>
        <v>#DIV/0!</v>
      </c>
      <c r="AY473" s="486" t="e">
        <f t="shared" si="435"/>
        <v>#DIV/0!</v>
      </c>
      <c r="AZ473" s="486" t="e">
        <f t="shared" si="436"/>
        <v>#DIV/0!</v>
      </c>
      <c r="BA473" s="486">
        <f t="shared" si="426"/>
        <v>0</v>
      </c>
      <c r="BB473" s="494">
        <v>5155.41</v>
      </c>
      <c r="BC473" s="494">
        <v>2070.12</v>
      </c>
      <c r="BD473" s="494">
        <v>848.92</v>
      </c>
      <c r="BE473" s="494">
        <v>819.73</v>
      </c>
      <c r="BF473" s="494">
        <v>611.5</v>
      </c>
      <c r="BG473" s="494">
        <v>1080.04</v>
      </c>
      <c r="BH473" s="494">
        <v>2671800.0099999998</v>
      </c>
      <c r="BI473" s="494">
        <f t="shared" si="420"/>
        <v>4607.6000000000004</v>
      </c>
      <c r="BJ473" s="494">
        <v>14289.54</v>
      </c>
      <c r="BK473" s="494">
        <v>3389.61</v>
      </c>
      <c r="BL473" s="494">
        <v>5995.76</v>
      </c>
      <c r="BM473" s="494">
        <v>548.62</v>
      </c>
      <c r="BN473" s="495" t="e">
        <f t="shared" si="437"/>
        <v>#DIV/0!</v>
      </c>
      <c r="BO473" s="495" t="e">
        <f t="shared" si="438"/>
        <v>#DIV/0!</v>
      </c>
      <c r="BP473" s="495" t="e">
        <f t="shared" si="439"/>
        <v>#DIV/0!</v>
      </c>
      <c r="BQ473" s="495" t="e">
        <f t="shared" si="440"/>
        <v>#DIV/0!</v>
      </c>
      <c r="BR473" s="495" t="e">
        <f t="shared" si="441"/>
        <v>#DIV/0!</v>
      </c>
      <c r="BS473" s="495" t="e">
        <f t="shared" si="442"/>
        <v>#DIV/0!</v>
      </c>
      <c r="BT473" s="495" t="e">
        <f t="shared" si="443"/>
        <v>#DIV/0!</v>
      </c>
      <c r="BU473" s="495" t="str">
        <f t="shared" si="444"/>
        <v xml:space="preserve"> </v>
      </c>
      <c r="BV473" s="495" t="e">
        <f t="shared" si="445"/>
        <v>#DIV/0!</v>
      </c>
      <c r="BW473" s="495" t="e">
        <f t="shared" si="446"/>
        <v>#DIV/0!</v>
      </c>
      <c r="BX473" s="495" t="e">
        <f t="shared" si="447"/>
        <v>#DIV/0!</v>
      </c>
      <c r="BY473" s="495" t="str">
        <f t="shared" si="448"/>
        <v xml:space="preserve"> </v>
      </c>
    </row>
    <row r="474" spans="1:77" s="28" customFormat="1" ht="9" customHeight="1">
      <c r="A474" s="406">
        <v>114</v>
      </c>
      <c r="B474" s="206" t="s">
        <v>736</v>
      </c>
      <c r="C474" s="376">
        <v>5609</v>
      </c>
      <c r="D474" s="376"/>
      <c r="E474" s="413" t="s">
        <v>1005</v>
      </c>
      <c r="F474" s="413"/>
      <c r="G474" s="413"/>
      <c r="H474" s="211">
        <v>4877642</v>
      </c>
      <c r="I474" s="407">
        <f t="shared" si="421"/>
        <v>0</v>
      </c>
      <c r="J474" s="217">
        <v>0</v>
      </c>
      <c r="K474" s="469">
        <v>0</v>
      </c>
      <c r="L474" s="217">
        <v>0</v>
      </c>
      <c r="M474" s="469">
        <v>0</v>
      </c>
      <c r="N474" s="217">
        <v>0</v>
      </c>
      <c r="O474" s="249">
        <v>0</v>
      </c>
      <c r="P474" s="407">
        <v>0</v>
      </c>
      <c r="Q474" s="249">
        <v>0</v>
      </c>
      <c r="R474" s="407">
        <v>0</v>
      </c>
      <c r="S474" s="249">
        <v>0</v>
      </c>
      <c r="T474" s="407">
        <v>0</v>
      </c>
      <c r="U474" s="130">
        <v>0</v>
      </c>
      <c r="V474" s="407">
        <v>0</v>
      </c>
      <c r="W474" s="410">
        <v>1463</v>
      </c>
      <c r="X474" s="407">
        <f t="shared" si="422"/>
        <v>4658148.1100000003</v>
      </c>
      <c r="Y474" s="410">
        <v>0</v>
      </c>
      <c r="Z474" s="410">
        <v>0</v>
      </c>
      <c r="AA474" s="410">
        <v>0</v>
      </c>
      <c r="AB474" s="410">
        <v>0</v>
      </c>
      <c r="AC474" s="410">
        <v>0</v>
      </c>
      <c r="AD474" s="410">
        <v>0</v>
      </c>
      <c r="AE474" s="410">
        <v>0</v>
      </c>
      <c r="AF474" s="410">
        <v>0</v>
      </c>
      <c r="AG474" s="410">
        <v>0</v>
      </c>
      <c r="AH474" s="410">
        <v>0</v>
      </c>
      <c r="AI474" s="410">
        <v>0</v>
      </c>
      <c r="AJ474" s="410">
        <f t="shared" si="423"/>
        <v>146329.26</v>
      </c>
      <c r="AK474" s="410">
        <f t="shared" si="424"/>
        <v>73164.63</v>
      </c>
      <c r="AL474" s="410">
        <v>0</v>
      </c>
      <c r="AM474" s="446"/>
      <c r="AN474" s="446"/>
      <c r="AP474" s="486" t="e">
        <f t="shared" si="425"/>
        <v>#DIV/0!</v>
      </c>
      <c r="AQ474" s="486" t="e">
        <f t="shared" si="427"/>
        <v>#DIV/0!</v>
      </c>
      <c r="AR474" s="486" t="e">
        <f t="shared" si="428"/>
        <v>#DIV/0!</v>
      </c>
      <c r="AS474" s="486" t="e">
        <f t="shared" si="429"/>
        <v>#DIV/0!</v>
      </c>
      <c r="AT474" s="486" t="e">
        <f t="shared" si="430"/>
        <v>#DIV/0!</v>
      </c>
      <c r="AU474" s="486" t="e">
        <f t="shared" si="431"/>
        <v>#DIV/0!</v>
      </c>
      <c r="AV474" s="486" t="e">
        <f t="shared" si="432"/>
        <v>#DIV/0!</v>
      </c>
      <c r="AW474" s="486">
        <f t="shared" si="433"/>
        <v>3183.9700000000003</v>
      </c>
      <c r="AX474" s="486" t="e">
        <f t="shared" si="434"/>
        <v>#DIV/0!</v>
      </c>
      <c r="AY474" s="486" t="e">
        <f t="shared" si="435"/>
        <v>#DIV/0!</v>
      </c>
      <c r="AZ474" s="486" t="e">
        <f t="shared" si="436"/>
        <v>#DIV/0!</v>
      </c>
      <c r="BA474" s="486">
        <f t="shared" si="426"/>
        <v>0</v>
      </c>
      <c r="BB474" s="494">
        <v>5155.41</v>
      </c>
      <c r="BC474" s="494">
        <v>2070.12</v>
      </c>
      <c r="BD474" s="494">
        <v>848.92</v>
      </c>
      <c r="BE474" s="494">
        <v>819.73</v>
      </c>
      <c r="BF474" s="494">
        <v>611.5</v>
      </c>
      <c r="BG474" s="494">
        <v>1080.04</v>
      </c>
      <c r="BH474" s="494">
        <v>2671800.0099999998</v>
      </c>
      <c r="BI474" s="494">
        <f t="shared" si="420"/>
        <v>4607.6000000000004</v>
      </c>
      <c r="BJ474" s="494">
        <v>14289.54</v>
      </c>
      <c r="BK474" s="494">
        <v>3389.61</v>
      </c>
      <c r="BL474" s="494">
        <v>5995.76</v>
      </c>
      <c r="BM474" s="494">
        <v>548.62</v>
      </c>
      <c r="BN474" s="495" t="e">
        <f t="shared" si="437"/>
        <v>#DIV/0!</v>
      </c>
      <c r="BO474" s="495" t="e">
        <f t="shared" si="438"/>
        <v>#DIV/0!</v>
      </c>
      <c r="BP474" s="495" t="e">
        <f t="shared" si="439"/>
        <v>#DIV/0!</v>
      </c>
      <c r="BQ474" s="495" t="e">
        <f t="shared" si="440"/>
        <v>#DIV/0!</v>
      </c>
      <c r="BR474" s="495" t="e">
        <f t="shared" si="441"/>
        <v>#DIV/0!</v>
      </c>
      <c r="BS474" s="495" t="e">
        <f t="shared" si="442"/>
        <v>#DIV/0!</v>
      </c>
      <c r="BT474" s="495" t="e">
        <f t="shared" si="443"/>
        <v>#DIV/0!</v>
      </c>
      <c r="BU474" s="495" t="str">
        <f t="shared" si="444"/>
        <v xml:space="preserve"> </v>
      </c>
      <c r="BV474" s="495" t="e">
        <f t="shared" si="445"/>
        <v>#DIV/0!</v>
      </c>
      <c r="BW474" s="495" t="e">
        <f t="shared" si="446"/>
        <v>#DIV/0!</v>
      </c>
      <c r="BX474" s="495" t="e">
        <f t="shared" si="447"/>
        <v>#DIV/0!</v>
      </c>
      <c r="BY474" s="495" t="str">
        <f t="shared" si="448"/>
        <v xml:space="preserve"> </v>
      </c>
    </row>
    <row r="475" spans="1:77" s="28" customFormat="1" ht="9" customHeight="1">
      <c r="A475" s="406">
        <v>115</v>
      </c>
      <c r="B475" s="206" t="s">
        <v>737</v>
      </c>
      <c r="C475" s="376">
        <v>2070.6</v>
      </c>
      <c r="D475" s="376"/>
      <c r="E475" s="413" t="s">
        <v>1005</v>
      </c>
      <c r="F475" s="413"/>
      <c r="G475" s="413"/>
      <c r="H475" s="211">
        <v>5204374</v>
      </c>
      <c r="I475" s="407">
        <f t="shared" si="421"/>
        <v>0</v>
      </c>
      <c r="J475" s="217">
        <v>0</v>
      </c>
      <c r="K475" s="469">
        <v>0</v>
      </c>
      <c r="L475" s="217">
        <v>0</v>
      </c>
      <c r="M475" s="469">
        <v>0</v>
      </c>
      <c r="N475" s="217">
        <v>0</v>
      </c>
      <c r="O475" s="249">
        <v>0</v>
      </c>
      <c r="P475" s="407">
        <v>0</v>
      </c>
      <c r="Q475" s="249">
        <v>0</v>
      </c>
      <c r="R475" s="407">
        <v>0</v>
      </c>
      <c r="S475" s="249">
        <v>0</v>
      </c>
      <c r="T475" s="407">
        <v>0</v>
      </c>
      <c r="U475" s="130">
        <v>0</v>
      </c>
      <c r="V475" s="407">
        <v>0</v>
      </c>
      <c r="W475" s="410">
        <v>1561</v>
      </c>
      <c r="X475" s="407">
        <f t="shared" si="422"/>
        <v>4970177.17</v>
      </c>
      <c r="Y475" s="410">
        <v>0</v>
      </c>
      <c r="Z475" s="410">
        <v>0</v>
      </c>
      <c r="AA475" s="410">
        <v>0</v>
      </c>
      <c r="AB475" s="410">
        <v>0</v>
      </c>
      <c r="AC475" s="410">
        <v>0</v>
      </c>
      <c r="AD475" s="410">
        <v>0</v>
      </c>
      <c r="AE475" s="410">
        <v>0</v>
      </c>
      <c r="AF475" s="410">
        <v>0</v>
      </c>
      <c r="AG475" s="410">
        <v>0</v>
      </c>
      <c r="AH475" s="410">
        <v>0</v>
      </c>
      <c r="AI475" s="410">
        <v>0</v>
      </c>
      <c r="AJ475" s="410">
        <f t="shared" si="423"/>
        <v>156131.22</v>
      </c>
      <c r="AK475" s="410">
        <f t="shared" si="424"/>
        <v>78065.61</v>
      </c>
      <c r="AL475" s="410">
        <v>0</v>
      </c>
      <c r="AM475" s="446"/>
      <c r="AN475" s="446"/>
      <c r="AP475" s="486" t="e">
        <f t="shared" si="425"/>
        <v>#DIV/0!</v>
      </c>
      <c r="AQ475" s="486" t="e">
        <f t="shared" si="427"/>
        <v>#DIV/0!</v>
      </c>
      <c r="AR475" s="486" t="e">
        <f t="shared" si="428"/>
        <v>#DIV/0!</v>
      </c>
      <c r="AS475" s="486" t="e">
        <f t="shared" si="429"/>
        <v>#DIV/0!</v>
      </c>
      <c r="AT475" s="486" t="e">
        <f t="shared" si="430"/>
        <v>#DIV/0!</v>
      </c>
      <c r="AU475" s="486" t="e">
        <f t="shared" si="431"/>
        <v>#DIV/0!</v>
      </c>
      <c r="AV475" s="486" t="e">
        <f t="shared" si="432"/>
        <v>#DIV/0!</v>
      </c>
      <c r="AW475" s="486">
        <f t="shared" si="433"/>
        <v>3183.97</v>
      </c>
      <c r="AX475" s="486" t="e">
        <f t="shared" si="434"/>
        <v>#DIV/0!</v>
      </c>
      <c r="AY475" s="486" t="e">
        <f t="shared" si="435"/>
        <v>#DIV/0!</v>
      </c>
      <c r="AZ475" s="486" t="e">
        <f t="shared" si="436"/>
        <v>#DIV/0!</v>
      </c>
      <c r="BA475" s="486">
        <f t="shared" si="426"/>
        <v>0</v>
      </c>
      <c r="BB475" s="494">
        <v>5155.41</v>
      </c>
      <c r="BC475" s="494">
        <v>2070.12</v>
      </c>
      <c r="BD475" s="494">
        <v>848.92</v>
      </c>
      <c r="BE475" s="494">
        <v>819.73</v>
      </c>
      <c r="BF475" s="494">
        <v>611.5</v>
      </c>
      <c r="BG475" s="494">
        <v>1080.04</v>
      </c>
      <c r="BH475" s="494">
        <v>2671800.0099999998</v>
      </c>
      <c r="BI475" s="494">
        <f t="shared" si="420"/>
        <v>4607.6000000000004</v>
      </c>
      <c r="BJ475" s="494">
        <v>14289.54</v>
      </c>
      <c r="BK475" s="494">
        <v>3389.61</v>
      </c>
      <c r="BL475" s="494">
        <v>5995.76</v>
      </c>
      <c r="BM475" s="494">
        <v>548.62</v>
      </c>
      <c r="BN475" s="495" t="e">
        <f t="shared" si="437"/>
        <v>#DIV/0!</v>
      </c>
      <c r="BO475" s="495" t="e">
        <f t="shared" si="438"/>
        <v>#DIV/0!</v>
      </c>
      <c r="BP475" s="495" t="e">
        <f t="shared" si="439"/>
        <v>#DIV/0!</v>
      </c>
      <c r="BQ475" s="495" t="e">
        <f t="shared" si="440"/>
        <v>#DIV/0!</v>
      </c>
      <c r="BR475" s="495" t="e">
        <f t="shared" si="441"/>
        <v>#DIV/0!</v>
      </c>
      <c r="BS475" s="495" t="e">
        <f t="shared" si="442"/>
        <v>#DIV/0!</v>
      </c>
      <c r="BT475" s="495" t="e">
        <f t="shared" si="443"/>
        <v>#DIV/0!</v>
      </c>
      <c r="BU475" s="495" t="str">
        <f t="shared" si="444"/>
        <v xml:space="preserve"> </v>
      </c>
      <c r="BV475" s="495" t="e">
        <f t="shared" si="445"/>
        <v>#DIV/0!</v>
      </c>
      <c r="BW475" s="495" t="e">
        <f t="shared" si="446"/>
        <v>#DIV/0!</v>
      </c>
      <c r="BX475" s="495" t="e">
        <f t="shared" si="447"/>
        <v>#DIV/0!</v>
      </c>
      <c r="BY475" s="495" t="str">
        <f t="shared" si="448"/>
        <v xml:space="preserve"> </v>
      </c>
    </row>
    <row r="476" spans="1:77" s="28" customFormat="1" ht="9" customHeight="1">
      <c r="A476" s="406">
        <v>116</v>
      </c>
      <c r="B476" s="206" t="s">
        <v>738</v>
      </c>
      <c r="C476" s="376">
        <v>1300</v>
      </c>
      <c r="D476" s="376"/>
      <c r="E476" s="413" t="s">
        <v>1006</v>
      </c>
      <c r="F476" s="413"/>
      <c r="G476" s="413"/>
      <c r="H476" s="211">
        <v>2564562</v>
      </c>
      <c r="I476" s="407">
        <f t="shared" si="421"/>
        <v>0</v>
      </c>
      <c r="J476" s="217">
        <v>0</v>
      </c>
      <c r="K476" s="469">
        <v>0</v>
      </c>
      <c r="L476" s="217">
        <v>0</v>
      </c>
      <c r="M476" s="469">
        <v>0</v>
      </c>
      <c r="N476" s="217">
        <v>0</v>
      </c>
      <c r="O476" s="249">
        <v>0</v>
      </c>
      <c r="P476" s="407">
        <v>0</v>
      </c>
      <c r="Q476" s="249">
        <v>0</v>
      </c>
      <c r="R476" s="407">
        <v>0</v>
      </c>
      <c r="S476" s="249">
        <v>0</v>
      </c>
      <c r="T476" s="407">
        <v>0</v>
      </c>
      <c r="U476" s="130">
        <v>0</v>
      </c>
      <c r="V476" s="407">
        <v>0</v>
      </c>
      <c r="W476" s="410">
        <v>793</v>
      </c>
      <c r="X476" s="407">
        <f t="shared" si="422"/>
        <v>2449156.71</v>
      </c>
      <c r="Y476" s="410">
        <v>0</v>
      </c>
      <c r="Z476" s="410">
        <v>0</v>
      </c>
      <c r="AA476" s="410">
        <v>0</v>
      </c>
      <c r="AB476" s="410">
        <v>0</v>
      </c>
      <c r="AC476" s="410">
        <v>0</v>
      </c>
      <c r="AD476" s="410">
        <v>0</v>
      </c>
      <c r="AE476" s="410">
        <v>0</v>
      </c>
      <c r="AF476" s="410">
        <v>0</v>
      </c>
      <c r="AG476" s="410">
        <v>0</v>
      </c>
      <c r="AH476" s="410">
        <v>0</v>
      </c>
      <c r="AI476" s="410">
        <v>0</v>
      </c>
      <c r="AJ476" s="410">
        <f t="shared" si="423"/>
        <v>76936.86</v>
      </c>
      <c r="AK476" s="410">
        <f t="shared" si="424"/>
        <v>38468.43</v>
      </c>
      <c r="AL476" s="410">
        <v>0</v>
      </c>
      <c r="AM476" s="446"/>
      <c r="AN476" s="446"/>
      <c r="AP476" s="486" t="e">
        <f t="shared" si="425"/>
        <v>#DIV/0!</v>
      </c>
      <c r="AQ476" s="486" t="e">
        <f t="shared" si="427"/>
        <v>#DIV/0!</v>
      </c>
      <c r="AR476" s="486" t="e">
        <f t="shared" si="428"/>
        <v>#DIV/0!</v>
      </c>
      <c r="AS476" s="486" t="e">
        <f t="shared" si="429"/>
        <v>#DIV/0!</v>
      </c>
      <c r="AT476" s="486" t="e">
        <f t="shared" si="430"/>
        <v>#DIV/0!</v>
      </c>
      <c r="AU476" s="486" t="e">
        <f t="shared" si="431"/>
        <v>#DIV/0!</v>
      </c>
      <c r="AV476" s="486" t="e">
        <f t="shared" si="432"/>
        <v>#DIV/0!</v>
      </c>
      <c r="AW476" s="486">
        <f t="shared" si="433"/>
        <v>3088.47</v>
      </c>
      <c r="AX476" s="486" t="e">
        <f t="shared" si="434"/>
        <v>#DIV/0!</v>
      </c>
      <c r="AY476" s="486" t="e">
        <f t="shared" si="435"/>
        <v>#DIV/0!</v>
      </c>
      <c r="AZ476" s="486" t="e">
        <f t="shared" si="436"/>
        <v>#DIV/0!</v>
      </c>
      <c r="BA476" s="486">
        <f t="shared" si="426"/>
        <v>0</v>
      </c>
      <c r="BB476" s="494">
        <v>5155.41</v>
      </c>
      <c r="BC476" s="494">
        <v>2070.12</v>
      </c>
      <c r="BD476" s="494">
        <v>848.92</v>
      </c>
      <c r="BE476" s="494">
        <v>819.73</v>
      </c>
      <c r="BF476" s="494">
        <v>611.5</v>
      </c>
      <c r="BG476" s="494">
        <v>1080.04</v>
      </c>
      <c r="BH476" s="494">
        <v>2671800.0099999998</v>
      </c>
      <c r="BI476" s="494">
        <f t="shared" si="420"/>
        <v>4422.8500000000004</v>
      </c>
      <c r="BJ476" s="494">
        <v>14289.54</v>
      </c>
      <c r="BK476" s="494">
        <v>3389.61</v>
      </c>
      <c r="BL476" s="494">
        <v>5995.76</v>
      </c>
      <c r="BM476" s="494">
        <v>548.62</v>
      </c>
      <c r="BN476" s="495" t="e">
        <f t="shared" si="437"/>
        <v>#DIV/0!</v>
      </c>
      <c r="BO476" s="495" t="e">
        <f t="shared" si="438"/>
        <v>#DIV/0!</v>
      </c>
      <c r="BP476" s="495" t="e">
        <f t="shared" si="439"/>
        <v>#DIV/0!</v>
      </c>
      <c r="BQ476" s="495" t="e">
        <f t="shared" si="440"/>
        <v>#DIV/0!</v>
      </c>
      <c r="BR476" s="495" t="e">
        <f t="shared" si="441"/>
        <v>#DIV/0!</v>
      </c>
      <c r="BS476" s="495" t="e">
        <f t="shared" si="442"/>
        <v>#DIV/0!</v>
      </c>
      <c r="BT476" s="495" t="e">
        <f t="shared" si="443"/>
        <v>#DIV/0!</v>
      </c>
      <c r="BU476" s="495" t="str">
        <f t="shared" si="444"/>
        <v xml:space="preserve"> </v>
      </c>
      <c r="BV476" s="495" t="e">
        <f t="shared" si="445"/>
        <v>#DIV/0!</v>
      </c>
      <c r="BW476" s="495" t="e">
        <f t="shared" si="446"/>
        <v>#DIV/0!</v>
      </c>
      <c r="BX476" s="495" t="e">
        <f t="shared" si="447"/>
        <v>#DIV/0!</v>
      </c>
      <c r="BY476" s="495" t="str">
        <f t="shared" si="448"/>
        <v xml:space="preserve"> </v>
      </c>
    </row>
    <row r="477" spans="1:77" s="28" customFormat="1" ht="9" customHeight="1">
      <c r="A477" s="406">
        <v>117</v>
      </c>
      <c r="B477" s="206" t="s">
        <v>739</v>
      </c>
      <c r="C477" s="376">
        <v>1300</v>
      </c>
      <c r="D477" s="376"/>
      <c r="E477" s="413" t="s">
        <v>1006</v>
      </c>
      <c r="F477" s="413"/>
      <c r="G477" s="413"/>
      <c r="H477" s="211">
        <v>2564562</v>
      </c>
      <c r="I477" s="407">
        <f t="shared" si="421"/>
        <v>0</v>
      </c>
      <c r="J477" s="217">
        <v>0</v>
      </c>
      <c r="K477" s="469">
        <v>0</v>
      </c>
      <c r="L477" s="217">
        <v>0</v>
      </c>
      <c r="M477" s="469">
        <v>0</v>
      </c>
      <c r="N477" s="217">
        <v>0</v>
      </c>
      <c r="O477" s="249">
        <v>0</v>
      </c>
      <c r="P477" s="407">
        <v>0</v>
      </c>
      <c r="Q477" s="249">
        <v>0</v>
      </c>
      <c r="R477" s="407">
        <v>0</v>
      </c>
      <c r="S477" s="249">
        <v>0</v>
      </c>
      <c r="T477" s="407">
        <v>0</v>
      </c>
      <c r="U477" s="130">
        <v>0</v>
      </c>
      <c r="V477" s="407">
        <v>0</v>
      </c>
      <c r="W477" s="410">
        <v>793</v>
      </c>
      <c r="X477" s="407">
        <f t="shared" si="422"/>
        <v>2449156.71</v>
      </c>
      <c r="Y477" s="410">
        <v>0</v>
      </c>
      <c r="Z477" s="410">
        <v>0</v>
      </c>
      <c r="AA477" s="410">
        <v>0</v>
      </c>
      <c r="AB477" s="410">
        <v>0</v>
      </c>
      <c r="AC477" s="410">
        <v>0</v>
      </c>
      <c r="AD477" s="410">
        <v>0</v>
      </c>
      <c r="AE477" s="410">
        <v>0</v>
      </c>
      <c r="AF477" s="410">
        <v>0</v>
      </c>
      <c r="AG477" s="410">
        <v>0</v>
      </c>
      <c r="AH477" s="410">
        <v>0</v>
      </c>
      <c r="AI477" s="410">
        <v>0</v>
      </c>
      <c r="AJ477" s="410">
        <f t="shared" si="423"/>
        <v>76936.86</v>
      </c>
      <c r="AK477" s="410">
        <f t="shared" si="424"/>
        <v>38468.43</v>
      </c>
      <c r="AL477" s="410">
        <v>0</v>
      </c>
      <c r="AM477" s="446"/>
      <c r="AN477" s="446"/>
      <c r="AP477" s="486" t="e">
        <f t="shared" si="425"/>
        <v>#DIV/0!</v>
      </c>
      <c r="AQ477" s="486" t="e">
        <f t="shared" si="427"/>
        <v>#DIV/0!</v>
      </c>
      <c r="AR477" s="486" t="e">
        <f t="shared" si="428"/>
        <v>#DIV/0!</v>
      </c>
      <c r="AS477" s="486" t="e">
        <f t="shared" si="429"/>
        <v>#DIV/0!</v>
      </c>
      <c r="AT477" s="486" t="e">
        <f t="shared" si="430"/>
        <v>#DIV/0!</v>
      </c>
      <c r="AU477" s="486" t="e">
        <f t="shared" si="431"/>
        <v>#DIV/0!</v>
      </c>
      <c r="AV477" s="486" t="e">
        <f t="shared" si="432"/>
        <v>#DIV/0!</v>
      </c>
      <c r="AW477" s="486">
        <f t="shared" si="433"/>
        <v>3088.47</v>
      </c>
      <c r="AX477" s="486" t="e">
        <f t="shared" si="434"/>
        <v>#DIV/0!</v>
      </c>
      <c r="AY477" s="486" t="e">
        <f t="shared" si="435"/>
        <v>#DIV/0!</v>
      </c>
      <c r="AZ477" s="486" t="e">
        <f t="shared" si="436"/>
        <v>#DIV/0!</v>
      </c>
      <c r="BA477" s="486">
        <f t="shared" si="426"/>
        <v>0</v>
      </c>
      <c r="BB477" s="494">
        <v>5155.41</v>
      </c>
      <c r="BC477" s="494">
        <v>2070.12</v>
      </c>
      <c r="BD477" s="494">
        <v>848.92</v>
      </c>
      <c r="BE477" s="494">
        <v>819.73</v>
      </c>
      <c r="BF477" s="494">
        <v>611.5</v>
      </c>
      <c r="BG477" s="494">
        <v>1080.04</v>
      </c>
      <c r="BH477" s="494">
        <v>2671800.0099999998</v>
      </c>
      <c r="BI477" s="494">
        <f t="shared" si="420"/>
        <v>4422.8500000000004</v>
      </c>
      <c r="BJ477" s="494">
        <v>14289.54</v>
      </c>
      <c r="BK477" s="494">
        <v>3389.61</v>
      </c>
      <c r="BL477" s="494">
        <v>5995.76</v>
      </c>
      <c r="BM477" s="494">
        <v>548.62</v>
      </c>
      <c r="BN477" s="495" t="e">
        <f t="shared" si="437"/>
        <v>#DIV/0!</v>
      </c>
      <c r="BO477" s="495" t="e">
        <f t="shared" si="438"/>
        <v>#DIV/0!</v>
      </c>
      <c r="BP477" s="495" t="e">
        <f t="shared" si="439"/>
        <v>#DIV/0!</v>
      </c>
      <c r="BQ477" s="495" t="e">
        <f t="shared" si="440"/>
        <v>#DIV/0!</v>
      </c>
      <c r="BR477" s="495" t="e">
        <f t="shared" si="441"/>
        <v>#DIV/0!</v>
      </c>
      <c r="BS477" s="495" t="e">
        <f t="shared" si="442"/>
        <v>#DIV/0!</v>
      </c>
      <c r="BT477" s="495" t="e">
        <f t="shared" si="443"/>
        <v>#DIV/0!</v>
      </c>
      <c r="BU477" s="495" t="str">
        <f t="shared" si="444"/>
        <v xml:space="preserve"> </v>
      </c>
      <c r="BV477" s="495" t="e">
        <f t="shared" si="445"/>
        <v>#DIV/0!</v>
      </c>
      <c r="BW477" s="495" t="e">
        <f t="shared" si="446"/>
        <v>#DIV/0!</v>
      </c>
      <c r="BX477" s="495" t="e">
        <f t="shared" si="447"/>
        <v>#DIV/0!</v>
      </c>
      <c r="BY477" s="495" t="str">
        <f t="shared" si="448"/>
        <v xml:space="preserve"> </v>
      </c>
    </row>
    <row r="478" spans="1:77" s="28" customFormat="1" ht="9" customHeight="1">
      <c r="A478" s="406">
        <v>118</v>
      </c>
      <c r="B478" s="206" t="s">
        <v>740</v>
      </c>
      <c r="C478" s="376">
        <v>1304.7</v>
      </c>
      <c r="D478" s="376"/>
      <c r="E478" s="413" t="s">
        <v>1006</v>
      </c>
      <c r="F478" s="413"/>
      <c r="G478" s="413"/>
      <c r="H478" s="211">
        <v>2564562</v>
      </c>
      <c r="I478" s="407">
        <f t="shared" si="421"/>
        <v>0</v>
      </c>
      <c r="J478" s="217">
        <v>0</v>
      </c>
      <c r="K478" s="469">
        <v>0</v>
      </c>
      <c r="L478" s="217">
        <v>0</v>
      </c>
      <c r="M478" s="469">
        <v>0</v>
      </c>
      <c r="N478" s="217">
        <v>0</v>
      </c>
      <c r="O478" s="249">
        <v>0</v>
      </c>
      <c r="P478" s="407">
        <v>0</v>
      </c>
      <c r="Q478" s="249">
        <v>0</v>
      </c>
      <c r="R478" s="407">
        <v>0</v>
      </c>
      <c r="S478" s="249">
        <v>0</v>
      </c>
      <c r="T478" s="407">
        <v>0</v>
      </c>
      <c r="U478" s="130">
        <v>0</v>
      </c>
      <c r="V478" s="407">
        <v>0</v>
      </c>
      <c r="W478" s="410">
        <v>793</v>
      </c>
      <c r="X478" s="407">
        <f t="shared" si="422"/>
        <v>2449156.71</v>
      </c>
      <c r="Y478" s="410">
        <v>0</v>
      </c>
      <c r="Z478" s="410">
        <v>0</v>
      </c>
      <c r="AA478" s="410">
        <v>0</v>
      </c>
      <c r="AB478" s="410">
        <v>0</v>
      </c>
      <c r="AC478" s="410">
        <v>0</v>
      </c>
      <c r="AD478" s="410">
        <v>0</v>
      </c>
      <c r="AE478" s="410">
        <v>0</v>
      </c>
      <c r="AF478" s="410">
        <v>0</v>
      </c>
      <c r="AG478" s="410">
        <v>0</v>
      </c>
      <c r="AH478" s="410">
        <v>0</v>
      </c>
      <c r="AI478" s="410">
        <v>0</v>
      </c>
      <c r="AJ478" s="410">
        <f t="shared" si="423"/>
        <v>76936.86</v>
      </c>
      <c r="AK478" s="410">
        <f t="shared" si="424"/>
        <v>38468.43</v>
      </c>
      <c r="AL478" s="410">
        <v>0</v>
      </c>
      <c r="AM478" s="446"/>
      <c r="AN478" s="446"/>
      <c r="AP478" s="486" t="e">
        <f t="shared" si="425"/>
        <v>#DIV/0!</v>
      </c>
      <c r="AQ478" s="486" t="e">
        <f t="shared" si="427"/>
        <v>#DIV/0!</v>
      </c>
      <c r="AR478" s="486" t="e">
        <f t="shared" si="428"/>
        <v>#DIV/0!</v>
      </c>
      <c r="AS478" s="486" t="e">
        <f t="shared" si="429"/>
        <v>#DIV/0!</v>
      </c>
      <c r="AT478" s="486" t="e">
        <f t="shared" si="430"/>
        <v>#DIV/0!</v>
      </c>
      <c r="AU478" s="486" t="e">
        <f t="shared" si="431"/>
        <v>#DIV/0!</v>
      </c>
      <c r="AV478" s="486" t="e">
        <f t="shared" si="432"/>
        <v>#DIV/0!</v>
      </c>
      <c r="AW478" s="486">
        <f t="shared" si="433"/>
        <v>3088.47</v>
      </c>
      <c r="AX478" s="486" t="e">
        <f t="shared" si="434"/>
        <v>#DIV/0!</v>
      </c>
      <c r="AY478" s="486" t="e">
        <f t="shared" si="435"/>
        <v>#DIV/0!</v>
      </c>
      <c r="AZ478" s="486" t="e">
        <f t="shared" si="436"/>
        <v>#DIV/0!</v>
      </c>
      <c r="BA478" s="486">
        <f t="shared" si="426"/>
        <v>0</v>
      </c>
      <c r="BB478" s="494">
        <v>5155.41</v>
      </c>
      <c r="BC478" s="494">
        <v>2070.12</v>
      </c>
      <c r="BD478" s="494">
        <v>848.92</v>
      </c>
      <c r="BE478" s="494">
        <v>819.73</v>
      </c>
      <c r="BF478" s="494">
        <v>611.5</v>
      </c>
      <c r="BG478" s="494">
        <v>1080.04</v>
      </c>
      <c r="BH478" s="494">
        <v>2671800.0099999998</v>
      </c>
      <c r="BI478" s="494">
        <f t="shared" si="420"/>
        <v>4422.8500000000004</v>
      </c>
      <c r="BJ478" s="494">
        <v>14289.54</v>
      </c>
      <c r="BK478" s="494">
        <v>3389.61</v>
      </c>
      <c r="BL478" s="494">
        <v>5995.76</v>
      </c>
      <c r="BM478" s="494">
        <v>548.62</v>
      </c>
      <c r="BN478" s="495" t="e">
        <f t="shared" si="437"/>
        <v>#DIV/0!</v>
      </c>
      <c r="BO478" s="495" t="e">
        <f t="shared" si="438"/>
        <v>#DIV/0!</v>
      </c>
      <c r="BP478" s="495" t="e">
        <f t="shared" si="439"/>
        <v>#DIV/0!</v>
      </c>
      <c r="BQ478" s="495" t="e">
        <f t="shared" si="440"/>
        <v>#DIV/0!</v>
      </c>
      <c r="BR478" s="495" t="e">
        <f t="shared" si="441"/>
        <v>#DIV/0!</v>
      </c>
      <c r="BS478" s="495" t="e">
        <f t="shared" si="442"/>
        <v>#DIV/0!</v>
      </c>
      <c r="BT478" s="495" t="e">
        <f t="shared" si="443"/>
        <v>#DIV/0!</v>
      </c>
      <c r="BU478" s="495" t="str">
        <f t="shared" si="444"/>
        <v xml:space="preserve"> </v>
      </c>
      <c r="BV478" s="495" t="e">
        <f t="shared" si="445"/>
        <v>#DIV/0!</v>
      </c>
      <c r="BW478" s="495" t="e">
        <f t="shared" si="446"/>
        <v>#DIV/0!</v>
      </c>
      <c r="BX478" s="495" t="e">
        <f t="shared" si="447"/>
        <v>#DIV/0!</v>
      </c>
      <c r="BY478" s="495" t="str">
        <f t="shared" si="448"/>
        <v xml:space="preserve"> </v>
      </c>
    </row>
    <row r="479" spans="1:77" s="28" customFormat="1" ht="9" customHeight="1">
      <c r="A479" s="406">
        <v>119</v>
      </c>
      <c r="B479" s="206" t="s">
        <v>741</v>
      </c>
      <c r="C479" s="376">
        <v>1303</v>
      </c>
      <c r="D479" s="376"/>
      <c r="E479" s="413" t="s">
        <v>1006</v>
      </c>
      <c r="F479" s="413"/>
      <c r="G479" s="413"/>
      <c r="H479" s="211">
        <v>2564562</v>
      </c>
      <c r="I479" s="407">
        <f t="shared" si="421"/>
        <v>0</v>
      </c>
      <c r="J479" s="217">
        <v>0</v>
      </c>
      <c r="K479" s="469">
        <v>0</v>
      </c>
      <c r="L479" s="217">
        <v>0</v>
      </c>
      <c r="M479" s="469">
        <v>0</v>
      </c>
      <c r="N479" s="217">
        <v>0</v>
      </c>
      <c r="O479" s="249">
        <v>0</v>
      </c>
      <c r="P479" s="407">
        <v>0</v>
      </c>
      <c r="Q479" s="249">
        <v>0</v>
      </c>
      <c r="R479" s="407">
        <v>0</v>
      </c>
      <c r="S479" s="249">
        <v>0</v>
      </c>
      <c r="T479" s="407">
        <v>0</v>
      </c>
      <c r="U479" s="130">
        <v>0</v>
      </c>
      <c r="V479" s="407">
        <v>0</v>
      </c>
      <c r="W479" s="410">
        <v>793</v>
      </c>
      <c r="X479" s="407">
        <f t="shared" si="422"/>
        <v>2449156.71</v>
      </c>
      <c r="Y479" s="410">
        <v>0</v>
      </c>
      <c r="Z479" s="410">
        <v>0</v>
      </c>
      <c r="AA479" s="410">
        <v>0</v>
      </c>
      <c r="AB479" s="410">
        <v>0</v>
      </c>
      <c r="AC479" s="410">
        <v>0</v>
      </c>
      <c r="AD479" s="410">
        <v>0</v>
      </c>
      <c r="AE479" s="410">
        <v>0</v>
      </c>
      <c r="AF479" s="410">
        <v>0</v>
      </c>
      <c r="AG479" s="410">
        <v>0</v>
      </c>
      <c r="AH479" s="410">
        <v>0</v>
      </c>
      <c r="AI479" s="410">
        <v>0</v>
      </c>
      <c r="AJ479" s="410">
        <f t="shared" si="423"/>
        <v>76936.86</v>
      </c>
      <c r="AK479" s="410">
        <f t="shared" si="424"/>
        <v>38468.43</v>
      </c>
      <c r="AL479" s="410">
        <v>0</v>
      </c>
      <c r="AM479" s="446"/>
      <c r="AN479" s="446"/>
      <c r="AP479" s="486" t="e">
        <f t="shared" si="425"/>
        <v>#DIV/0!</v>
      </c>
      <c r="AQ479" s="486" t="e">
        <f t="shared" si="427"/>
        <v>#DIV/0!</v>
      </c>
      <c r="AR479" s="486" t="e">
        <f t="shared" si="428"/>
        <v>#DIV/0!</v>
      </c>
      <c r="AS479" s="486" t="e">
        <f t="shared" si="429"/>
        <v>#DIV/0!</v>
      </c>
      <c r="AT479" s="486" t="e">
        <f t="shared" si="430"/>
        <v>#DIV/0!</v>
      </c>
      <c r="AU479" s="486" t="e">
        <f t="shared" si="431"/>
        <v>#DIV/0!</v>
      </c>
      <c r="AV479" s="486" t="e">
        <f t="shared" si="432"/>
        <v>#DIV/0!</v>
      </c>
      <c r="AW479" s="486">
        <f t="shared" si="433"/>
        <v>3088.47</v>
      </c>
      <c r="AX479" s="486" t="e">
        <f t="shared" si="434"/>
        <v>#DIV/0!</v>
      </c>
      <c r="AY479" s="486" t="e">
        <f t="shared" si="435"/>
        <v>#DIV/0!</v>
      </c>
      <c r="AZ479" s="486" t="e">
        <f t="shared" si="436"/>
        <v>#DIV/0!</v>
      </c>
      <c r="BA479" s="486">
        <f t="shared" si="426"/>
        <v>0</v>
      </c>
      <c r="BB479" s="494">
        <v>5155.41</v>
      </c>
      <c r="BC479" s="494">
        <v>2070.12</v>
      </c>
      <c r="BD479" s="494">
        <v>848.92</v>
      </c>
      <c r="BE479" s="494">
        <v>819.73</v>
      </c>
      <c r="BF479" s="494">
        <v>611.5</v>
      </c>
      <c r="BG479" s="494">
        <v>1080.04</v>
      </c>
      <c r="BH479" s="494">
        <v>2671800.0099999998</v>
      </c>
      <c r="BI479" s="494">
        <f t="shared" si="420"/>
        <v>4422.8500000000004</v>
      </c>
      <c r="BJ479" s="494">
        <v>14289.54</v>
      </c>
      <c r="BK479" s="494">
        <v>3389.61</v>
      </c>
      <c r="BL479" s="494">
        <v>5995.76</v>
      </c>
      <c r="BM479" s="494">
        <v>548.62</v>
      </c>
      <c r="BN479" s="495" t="e">
        <f t="shared" si="437"/>
        <v>#DIV/0!</v>
      </c>
      <c r="BO479" s="495" t="e">
        <f t="shared" si="438"/>
        <v>#DIV/0!</v>
      </c>
      <c r="BP479" s="495" t="e">
        <f t="shared" si="439"/>
        <v>#DIV/0!</v>
      </c>
      <c r="BQ479" s="495" t="e">
        <f t="shared" si="440"/>
        <v>#DIV/0!</v>
      </c>
      <c r="BR479" s="495" t="e">
        <f t="shared" si="441"/>
        <v>#DIV/0!</v>
      </c>
      <c r="BS479" s="495" t="e">
        <f t="shared" si="442"/>
        <v>#DIV/0!</v>
      </c>
      <c r="BT479" s="495" t="e">
        <f t="shared" si="443"/>
        <v>#DIV/0!</v>
      </c>
      <c r="BU479" s="495" t="str">
        <f t="shared" si="444"/>
        <v xml:space="preserve"> </v>
      </c>
      <c r="BV479" s="495" t="e">
        <f t="shared" si="445"/>
        <v>#DIV/0!</v>
      </c>
      <c r="BW479" s="495" t="e">
        <f t="shared" si="446"/>
        <v>#DIV/0!</v>
      </c>
      <c r="BX479" s="495" t="e">
        <f t="shared" si="447"/>
        <v>#DIV/0!</v>
      </c>
      <c r="BY479" s="495" t="str">
        <f t="shared" si="448"/>
        <v xml:space="preserve"> </v>
      </c>
    </row>
    <row r="480" spans="1:77" s="28" customFormat="1" ht="9" customHeight="1">
      <c r="A480" s="406">
        <v>120</v>
      </c>
      <c r="B480" s="206" t="s">
        <v>742</v>
      </c>
      <c r="C480" s="376">
        <v>1300</v>
      </c>
      <c r="D480" s="376"/>
      <c r="E480" s="413" t="s">
        <v>1006</v>
      </c>
      <c r="F480" s="413"/>
      <c r="G480" s="413"/>
      <c r="H480" s="211">
        <v>1222452</v>
      </c>
      <c r="I480" s="407">
        <f t="shared" si="421"/>
        <v>0</v>
      </c>
      <c r="J480" s="217">
        <v>0</v>
      </c>
      <c r="K480" s="469">
        <v>0</v>
      </c>
      <c r="L480" s="217">
        <v>0</v>
      </c>
      <c r="M480" s="469">
        <v>0</v>
      </c>
      <c r="N480" s="217">
        <v>0</v>
      </c>
      <c r="O480" s="249">
        <v>0</v>
      </c>
      <c r="P480" s="407">
        <v>0</v>
      </c>
      <c r="Q480" s="249">
        <v>0</v>
      </c>
      <c r="R480" s="407">
        <v>0</v>
      </c>
      <c r="S480" s="249">
        <v>0</v>
      </c>
      <c r="T480" s="407">
        <v>0</v>
      </c>
      <c r="U480" s="130">
        <v>0</v>
      </c>
      <c r="V480" s="407">
        <v>0</v>
      </c>
      <c r="W480" s="410">
        <v>378</v>
      </c>
      <c r="X480" s="407">
        <f t="shared" si="422"/>
        <v>1167441.6599999999</v>
      </c>
      <c r="Y480" s="410">
        <v>0</v>
      </c>
      <c r="Z480" s="410">
        <v>0</v>
      </c>
      <c r="AA480" s="410">
        <v>0</v>
      </c>
      <c r="AB480" s="410">
        <v>0</v>
      </c>
      <c r="AC480" s="410">
        <v>0</v>
      </c>
      <c r="AD480" s="410">
        <v>0</v>
      </c>
      <c r="AE480" s="410">
        <v>0</v>
      </c>
      <c r="AF480" s="410">
        <v>0</v>
      </c>
      <c r="AG480" s="410">
        <v>0</v>
      </c>
      <c r="AH480" s="410">
        <v>0</v>
      </c>
      <c r="AI480" s="410">
        <v>0</v>
      </c>
      <c r="AJ480" s="410">
        <f t="shared" si="423"/>
        <v>36673.56</v>
      </c>
      <c r="AK480" s="410">
        <f t="shared" si="424"/>
        <v>18336.78</v>
      </c>
      <c r="AL480" s="410">
        <v>0</v>
      </c>
      <c r="AM480" s="446"/>
      <c r="AN480" s="446"/>
      <c r="AP480" s="486" t="e">
        <f t="shared" si="425"/>
        <v>#DIV/0!</v>
      </c>
      <c r="AQ480" s="486" t="e">
        <f t="shared" si="427"/>
        <v>#DIV/0!</v>
      </c>
      <c r="AR480" s="486" t="e">
        <f t="shared" si="428"/>
        <v>#DIV/0!</v>
      </c>
      <c r="AS480" s="486" t="e">
        <f t="shared" si="429"/>
        <v>#DIV/0!</v>
      </c>
      <c r="AT480" s="486" t="e">
        <f t="shared" si="430"/>
        <v>#DIV/0!</v>
      </c>
      <c r="AU480" s="486" t="e">
        <f t="shared" si="431"/>
        <v>#DIV/0!</v>
      </c>
      <c r="AV480" s="486" t="e">
        <f t="shared" si="432"/>
        <v>#DIV/0!</v>
      </c>
      <c r="AW480" s="486">
        <f t="shared" si="433"/>
        <v>3088.47</v>
      </c>
      <c r="AX480" s="486" t="e">
        <f t="shared" si="434"/>
        <v>#DIV/0!</v>
      </c>
      <c r="AY480" s="486" t="e">
        <f t="shared" si="435"/>
        <v>#DIV/0!</v>
      </c>
      <c r="AZ480" s="486" t="e">
        <f t="shared" si="436"/>
        <v>#DIV/0!</v>
      </c>
      <c r="BA480" s="486">
        <f t="shared" si="426"/>
        <v>0</v>
      </c>
      <c r="BB480" s="494">
        <v>5155.41</v>
      </c>
      <c r="BC480" s="494">
        <v>2070.12</v>
      </c>
      <c r="BD480" s="494">
        <v>848.92</v>
      </c>
      <c r="BE480" s="494">
        <v>819.73</v>
      </c>
      <c r="BF480" s="494">
        <v>611.5</v>
      </c>
      <c r="BG480" s="494">
        <v>1080.04</v>
      </c>
      <c r="BH480" s="494">
        <v>2671800.0099999998</v>
      </c>
      <c r="BI480" s="494">
        <f t="shared" si="420"/>
        <v>4422.8500000000004</v>
      </c>
      <c r="BJ480" s="494">
        <v>14289.54</v>
      </c>
      <c r="BK480" s="494">
        <v>3389.61</v>
      </c>
      <c r="BL480" s="494">
        <v>5995.76</v>
      </c>
      <c r="BM480" s="494">
        <v>548.62</v>
      </c>
      <c r="BN480" s="495" t="e">
        <f t="shared" si="437"/>
        <v>#DIV/0!</v>
      </c>
      <c r="BO480" s="495" t="e">
        <f t="shared" si="438"/>
        <v>#DIV/0!</v>
      </c>
      <c r="BP480" s="495" t="e">
        <f t="shared" si="439"/>
        <v>#DIV/0!</v>
      </c>
      <c r="BQ480" s="495" t="e">
        <f t="shared" si="440"/>
        <v>#DIV/0!</v>
      </c>
      <c r="BR480" s="495" t="e">
        <f t="shared" si="441"/>
        <v>#DIV/0!</v>
      </c>
      <c r="BS480" s="495" t="e">
        <f t="shared" si="442"/>
        <v>#DIV/0!</v>
      </c>
      <c r="BT480" s="495" t="e">
        <f t="shared" si="443"/>
        <v>#DIV/0!</v>
      </c>
      <c r="BU480" s="495" t="str">
        <f t="shared" si="444"/>
        <v xml:space="preserve"> </v>
      </c>
      <c r="BV480" s="495" t="e">
        <f t="shared" si="445"/>
        <v>#DIV/0!</v>
      </c>
      <c r="BW480" s="495" t="e">
        <f t="shared" si="446"/>
        <v>#DIV/0!</v>
      </c>
      <c r="BX480" s="495" t="e">
        <f t="shared" si="447"/>
        <v>#DIV/0!</v>
      </c>
      <c r="BY480" s="495" t="str">
        <f t="shared" si="448"/>
        <v xml:space="preserve"> </v>
      </c>
    </row>
    <row r="481" spans="1:77" s="28" customFormat="1" ht="9" customHeight="1">
      <c r="A481" s="406">
        <v>121</v>
      </c>
      <c r="B481" s="206" t="s">
        <v>743</v>
      </c>
      <c r="C481" s="376">
        <v>1303</v>
      </c>
      <c r="D481" s="376"/>
      <c r="E481" s="413" t="s">
        <v>1006</v>
      </c>
      <c r="F481" s="413"/>
      <c r="G481" s="413"/>
      <c r="H481" s="211">
        <v>2564562</v>
      </c>
      <c r="I481" s="407">
        <f t="shared" si="421"/>
        <v>0</v>
      </c>
      <c r="J481" s="217">
        <v>0</v>
      </c>
      <c r="K481" s="469">
        <v>0</v>
      </c>
      <c r="L481" s="217">
        <v>0</v>
      </c>
      <c r="M481" s="469">
        <v>0</v>
      </c>
      <c r="N481" s="217">
        <v>0</v>
      </c>
      <c r="O481" s="249">
        <v>0</v>
      </c>
      <c r="P481" s="407">
        <v>0</v>
      </c>
      <c r="Q481" s="249">
        <v>0</v>
      </c>
      <c r="R481" s="407">
        <v>0</v>
      </c>
      <c r="S481" s="249">
        <v>0</v>
      </c>
      <c r="T481" s="407">
        <v>0</v>
      </c>
      <c r="U481" s="130">
        <v>0</v>
      </c>
      <c r="V481" s="407">
        <v>0</v>
      </c>
      <c r="W481" s="410">
        <v>793</v>
      </c>
      <c r="X481" s="407">
        <f t="shared" si="422"/>
        <v>2449156.71</v>
      </c>
      <c r="Y481" s="410">
        <v>0</v>
      </c>
      <c r="Z481" s="410">
        <v>0</v>
      </c>
      <c r="AA481" s="410">
        <v>0</v>
      </c>
      <c r="AB481" s="410">
        <v>0</v>
      </c>
      <c r="AC481" s="410">
        <v>0</v>
      </c>
      <c r="AD481" s="410">
        <v>0</v>
      </c>
      <c r="AE481" s="410">
        <v>0</v>
      </c>
      <c r="AF481" s="410">
        <v>0</v>
      </c>
      <c r="AG481" s="410">
        <v>0</v>
      </c>
      <c r="AH481" s="410">
        <v>0</v>
      </c>
      <c r="AI481" s="410">
        <v>0</v>
      </c>
      <c r="AJ481" s="410">
        <f t="shared" si="423"/>
        <v>76936.86</v>
      </c>
      <c r="AK481" s="410">
        <f t="shared" si="424"/>
        <v>38468.43</v>
      </c>
      <c r="AL481" s="410">
        <v>0</v>
      </c>
      <c r="AM481" s="446"/>
      <c r="AN481" s="446"/>
      <c r="AP481" s="486" t="e">
        <f t="shared" si="425"/>
        <v>#DIV/0!</v>
      </c>
      <c r="AQ481" s="486" t="e">
        <f t="shared" si="427"/>
        <v>#DIV/0!</v>
      </c>
      <c r="AR481" s="486" t="e">
        <f t="shared" si="428"/>
        <v>#DIV/0!</v>
      </c>
      <c r="AS481" s="486" t="e">
        <f t="shared" si="429"/>
        <v>#DIV/0!</v>
      </c>
      <c r="AT481" s="486" t="e">
        <f t="shared" si="430"/>
        <v>#DIV/0!</v>
      </c>
      <c r="AU481" s="486" t="e">
        <f t="shared" si="431"/>
        <v>#DIV/0!</v>
      </c>
      <c r="AV481" s="486" t="e">
        <f t="shared" si="432"/>
        <v>#DIV/0!</v>
      </c>
      <c r="AW481" s="486">
        <f t="shared" si="433"/>
        <v>3088.47</v>
      </c>
      <c r="AX481" s="486" t="e">
        <f t="shared" si="434"/>
        <v>#DIV/0!</v>
      </c>
      <c r="AY481" s="486" t="e">
        <f t="shared" si="435"/>
        <v>#DIV/0!</v>
      </c>
      <c r="AZ481" s="486" t="e">
        <f t="shared" si="436"/>
        <v>#DIV/0!</v>
      </c>
      <c r="BA481" s="486">
        <f t="shared" si="426"/>
        <v>0</v>
      </c>
      <c r="BB481" s="494">
        <v>5155.41</v>
      </c>
      <c r="BC481" s="494">
        <v>2070.12</v>
      </c>
      <c r="BD481" s="494">
        <v>848.92</v>
      </c>
      <c r="BE481" s="494">
        <v>819.73</v>
      </c>
      <c r="BF481" s="494">
        <v>611.5</v>
      </c>
      <c r="BG481" s="494">
        <v>1080.04</v>
      </c>
      <c r="BH481" s="494">
        <v>2671800.0099999998</v>
      </c>
      <c r="BI481" s="494">
        <f t="shared" si="420"/>
        <v>4422.8500000000004</v>
      </c>
      <c r="BJ481" s="494">
        <v>14289.54</v>
      </c>
      <c r="BK481" s="494">
        <v>3389.61</v>
      </c>
      <c r="BL481" s="494">
        <v>5995.76</v>
      </c>
      <c r="BM481" s="494">
        <v>548.62</v>
      </c>
      <c r="BN481" s="495" t="e">
        <f t="shared" si="437"/>
        <v>#DIV/0!</v>
      </c>
      <c r="BO481" s="495" t="e">
        <f t="shared" si="438"/>
        <v>#DIV/0!</v>
      </c>
      <c r="BP481" s="495" t="e">
        <f t="shared" si="439"/>
        <v>#DIV/0!</v>
      </c>
      <c r="BQ481" s="495" t="e">
        <f t="shared" si="440"/>
        <v>#DIV/0!</v>
      </c>
      <c r="BR481" s="495" t="e">
        <f t="shared" si="441"/>
        <v>#DIV/0!</v>
      </c>
      <c r="BS481" s="495" t="e">
        <f t="shared" si="442"/>
        <v>#DIV/0!</v>
      </c>
      <c r="BT481" s="495" t="e">
        <f t="shared" si="443"/>
        <v>#DIV/0!</v>
      </c>
      <c r="BU481" s="495" t="str">
        <f t="shared" si="444"/>
        <v xml:space="preserve"> </v>
      </c>
      <c r="BV481" s="495" t="e">
        <f t="shared" si="445"/>
        <v>#DIV/0!</v>
      </c>
      <c r="BW481" s="495" t="e">
        <f t="shared" si="446"/>
        <v>#DIV/0!</v>
      </c>
      <c r="BX481" s="495" t="e">
        <f t="shared" si="447"/>
        <v>#DIV/0!</v>
      </c>
      <c r="BY481" s="495" t="str">
        <f t="shared" si="448"/>
        <v xml:space="preserve"> </v>
      </c>
    </row>
    <row r="482" spans="1:77" s="28" customFormat="1" ht="9" customHeight="1">
      <c r="A482" s="406">
        <v>122</v>
      </c>
      <c r="B482" s="206" t="s">
        <v>744</v>
      </c>
      <c r="C482" s="376">
        <v>2162.9</v>
      </c>
      <c r="D482" s="376"/>
      <c r="E482" s="413" t="s">
        <v>1005</v>
      </c>
      <c r="F482" s="413"/>
      <c r="G482" s="413"/>
      <c r="H482" s="211">
        <v>2050410</v>
      </c>
      <c r="I482" s="407">
        <f t="shared" si="421"/>
        <v>0</v>
      </c>
      <c r="J482" s="217">
        <v>0</v>
      </c>
      <c r="K482" s="469">
        <v>0</v>
      </c>
      <c r="L482" s="217">
        <v>0</v>
      </c>
      <c r="M482" s="469">
        <v>0</v>
      </c>
      <c r="N482" s="217">
        <v>0</v>
      </c>
      <c r="O482" s="249">
        <v>0</v>
      </c>
      <c r="P482" s="407">
        <v>0</v>
      </c>
      <c r="Q482" s="249">
        <v>0</v>
      </c>
      <c r="R482" s="407">
        <v>0</v>
      </c>
      <c r="S482" s="249">
        <v>0</v>
      </c>
      <c r="T482" s="407">
        <v>0</v>
      </c>
      <c r="U482" s="130">
        <v>0</v>
      </c>
      <c r="V482" s="407">
        <v>0</v>
      </c>
      <c r="W482" s="410">
        <v>615</v>
      </c>
      <c r="X482" s="407">
        <f t="shared" si="422"/>
        <v>1958141.55</v>
      </c>
      <c r="Y482" s="410">
        <v>0</v>
      </c>
      <c r="Z482" s="410">
        <v>0</v>
      </c>
      <c r="AA482" s="410">
        <v>0</v>
      </c>
      <c r="AB482" s="410">
        <v>0</v>
      </c>
      <c r="AC482" s="410">
        <v>0</v>
      </c>
      <c r="AD482" s="410">
        <v>0</v>
      </c>
      <c r="AE482" s="410">
        <v>0</v>
      </c>
      <c r="AF482" s="410">
        <v>0</v>
      </c>
      <c r="AG482" s="410">
        <v>0</v>
      </c>
      <c r="AH482" s="410">
        <v>0</v>
      </c>
      <c r="AI482" s="410">
        <v>0</v>
      </c>
      <c r="AJ482" s="410">
        <f t="shared" si="423"/>
        <v>61512.3</v>
      </c>
      <c r="AK482" s="410">
        <f t="shared" si="424"/>
        <v>30756.15</v>
      </c>
      <c r="AL482" s="410">
        <v>0</v>
      </c>
      <c r="AM482" s="446"/>
      <c r="AN482" s="446"/>
      <c r="AP482" s="486" t="e">
        <f t="shared" si="425"/>
        <v>#DIV/0!</v>
      </c>
      <c r="AQ482" s="486" t="e">
        <f t="shared" si="427"/>
        <v>#DIV/0!</v>
      </c>
      <c r="AR482" s="486" t="e">
        <f t="shared" si="428"/>
        <v>#DIV/0!</v>
      </c>
      <c r="AS482" s="486" t="e">
        <f t="shared" si="429"/>
        <v>#DIV/0!</v>
      </c>
      <c r="AT482" s="486" t="e">
        <f t="shared" si="430"/>
        <v>#DIV/0!</v>
      </c>
      <c r="AU482" s="486" t="e">
        <f t="shared" si="431"/>
        <v>#DIV/0!</v>
      </c>
      <c r="AV482" s="486" t="e">
        <f t="shared" si="432"/>
        <v>#DIV/0!</v>
      </c>
      <c r="AW482" s="486">
        <f t="shared" si="433"/>
        <v>3183.9700000000003</v>
      </c>
      <c r="AX482" s="486" t="e">
        <f t="shared" si="434"/>
        <v>#DIV/0!</v>
      </c>
      <c r="AY482" s="486" t="e">
        <f t="shared" si="435"/>
        <v>#DIV/0!</v>
      </c>
      <c r="AZ482" s="486" t="e">
        <f t="shared" si="436"/>
        <v>#DIV/0!</v>
      </c>
      <c r="BA482" s="486">
        <f t="shared" si="426"/>
        <v>0</v>
      </c>
      <c r="BB482" s="494">
        <v>5155.41</v>
      </c>
      <c r="BC482" s="494">
        <v>2070.12</v>
      </c>
      <c r="BD482" s="494">
        <v>848.92</v>
      </c>
      <c r="BE482" s="494">
        <v>819.73</v>
      </c>
      <c r="BF482" s="494">
        <v>611.5</v>
      </c>
      <c r="BG482" s="494">
        <v>1080.04</v>
      </c>
      <c r="BH482" s="494">
        <v>2671800.0099999998</v>
      </c>
      <c r="BI482" s="494">
        <f t="shared" si="420"/>
        <v>4607.6000000000004</v>
      </c>
      <c r="BJ482" s="494">
        <v>14289.54</v>
      </c>
      <c r="BK482" s="494">
        <v>3389.61</v>
      </c>
      <c r="BL482" s="494">
        <v>5995.76</v>
      </c>
      <c r="BM482" s="494">
        <v>548.62</v>
      </c>
      <c r="BN482" s="495" t="e">
        <f t="shared" si="437"/>
        <v>#DIV/0!</v>
      </c>
      <c r="BO482" s="495" t="e">
        <f t="shared" si="438"/>
        <v>#DIV/0!</v>
      </c>
      <c r="BP482" s="495" t="e">
        <f t="shared" si="439"/>
        <v>#DIV/0!</v>
      </c>
      <c r="BQ482" s="495" t="e">
        <f t="shared" si="440"/>
        <v>#DIV/0!</v>
      </c>
      <c r="BR482" s="495" t="e">
        <f t="shared" si="441"/>
        <v>#DIV/0!</v>
      </c>
      <c r="BS482" s="495" t="e">
        <f t="shared" si="442"/>
        <v>#DIV/0!</v>
      </c>
      <c r="BT482" s="495" t="e">
        <f t="shared" si="443"/>
        <v>#DIV/0!</v>
      </c>
      <c r="BU482" s="495" t="str">
        <f t="shared" si="444"/>
        <v xml:space="preserve"> </v>
      </c>
      <c r="BV482" s="495" t="e">
        <f t="shared" si="445"/>
        <v>#DIV/0!</v>
      </c>
      <c r="BW482" s="495" t="e">
        <f t="shared" si="446"/>
        <v>#DIV/0!</v>
      </c>
      <c r="BX482" s="495" t="e">
        <f t="shared" si="447"/>
        <v>#DIV/0!</v>
      </c>
      <c r="BY482" s="495" t="str">
        <f t="shared" si="448"/>
        <v xml:space="preserve"> </v>
      </c>
    </row>
    <row r="483" spans="1:77" s="28" customFormat="1" ht="9" customHeight="1">
      <c r="A483" s="406">
        <v>123</v>
      </c>
      <c r="B483" s="200" t="s">
        <v>1066</v>
      </c>
      <c r="C483" s="472">
        <v>5815.6</v>
      </c>
      <c r="D483" s="376"/>
      <c r="E483" s="413" t="s">
        <v>1005</v>
      </c>
      <c r="F483" s="415"/>
      <c r="G483" s="415"/>
      <c r="H483" s="205">
        <v>5464426</v>
      </c>
      <c r="I483" s="407">
        <f t="shared" si="421"/>
        <v>0</v>
      </c>
      <c r="J483" s="217">
        <v>0</v>
      </c>
      <c r="K483" s="469">
        <v>0</v>
      </c>
      <c r="L483" s="217">
        <v>0</v>
      </c>
      <c r="M483" s="469">
        <v>0</v>
      </c>
      <c r="N483" s="217">
        <v>0</v>
      </c>
      <c r="O483" s="249">
        <v>0</v>
      </c>
      <c r="P483" s="407">
        <v>0</v>
      </c>
      <c r="Q483" s="249">
        <v>0</v>
      </c>
      <c r="R483" s="407">
        <v>0</v>
      </c>
      <c r="S483" s="249">
        <v>0</v>
      </c>
      <c r="T483" s="407">
        <v>0</v>
      </c>
      <c r="U483" s="130">
        <v>0</v>
      </c>
      <c r="V483" s="407">
        <v>0</v>
      </c>
      <c r="W483" s="410">
        <v>1639</v>
      </c>
      <c r="X483" s="407">
        <f t="shared" si="422"/>
        <v>5218526.83</v>
      </c>
      <c r="Y483" s="410">
        <v>0</v>
      </c>
      <c r="Z483" s="410">
        <v>0</v>
      </c>
      <c r="AA483" s="410">
        <v>0</v>
      </c>
      <c r="AB483" s="410">
        <v>0</v>
      </c>
      <c r="AC483" s="410">
        <v>0</v>
      </c>
      <c r="AD483" s="410">
        <v>0</v>
      </c>
      <c r="AE483" s="410">
        <v>0</v>
      </c>
      <c r="AF483" s="410">
        <v>0</v>
      </c>
      <c r="AG483" s="410">
        <v>0</v>
      </c>
      <c r="AH483" s="410">
        <v>0</v>
      </c>
      <c r="AI483" s="410">
        <v>0</v>
      </c>
      <c r="AJ483" s="410">
        <f t="shared" si="423"/>
        <v>163932.78</v>
      </c>
      <c r="AK483" s="410">
        <f t="shared" si="424"/>
        <v>81966.39</v>
      </c>
      <c r="AL483" s="410">
        <v>0</v>
      </c>
      <c r="AM483" s="446"/>
      <c r="AN483" s="446"/>
      <c r="AP483" s="486" t="e">
        <f t="shared" si="425"/>
        <v>#DIV/0!</v>
      </c>
      <c r="AQ483" s="486" t="e">
        <f t="shared" si="427"/>
        <v>#DIV/0!</v>
      </c>
      <c r="AR483" s="486" t="e">
        <f t="shared" si="428"/>
        <v>#DIV/0!</v>
      </c>
      <c r="AS483" s="486" t="e">
        <f t="shared" si="429"/>
        <v>#DIV/0!</v>
      </c>
      <c r="AT483" s="486" t="e">
        <f t="shared" si="430"/>
        <v>#DIV/0!</v>
      </c>
      <c r="AU483" s="486" t="e">
        <f t="shared" si="431"/>
        <v>#DIV/0!</v>
      </c>
      <c r="AV483" s="486" t="e">
        <f t="shared" si="432"/>
        <v>#DIV/0!</v>
      </c>
      <c r="AW483" s="486">
        <f t="shared" si="433"/>
        <v>3183.9700000000003</v>
      </c>
      <c r="AX483" s="486" t="e">
        <f t="shared" si="434"/>
        <v>#DIV/0!</v>
      </c>
      <c r="AY483" s="486" t="e">
        <f t="shared" si="435"/>
        <v>#DIV/0!</v>
      </c>
      <c r="AZ483" s="486" t="e">
        <f t="shared" si="436"/>
        <v>#DIV/0!</v>
      </c>
      <c r="BA483" s="486">
        <f t="shared" si="426"/>
        <v>0</v>
      </c>
      <c r="BB483" s="494">
        <v>5155.41</v>
      </c>
      <c r="BC483" s="494">
        <v>2070.12</v>
      </c>
      <c r="BD483" s="494">
        <v>848.92</v>
      </c>
      <c r="BE483" s="494">
        <v>819.73</v>
      </c>
      <c r="BF483" s="494">
        <v>611.5</v>
      </c>
      <c r="BG483" s="494">
        <v>1080.04</v>
      </c>
      <c r="BH483" s="494">
        <v>2671800.0099999998</v>
      </c>
      <c r="BI483" s="494">
        <f t="shared" ref="BI483:BI546" si="449">IF(E483="ПК",4607.6,4422.85)</f>
        <v>4607.6000000000004</v>
      </c>
      <c r="BJ483" s="494">
        <v>14289.54</v>
      </c>
      <c r="BK483" s="494">
        <v>3389.61</v>
      </c>
      <c r="BL483" s="494">
        <v>5995.76</v>
      </c>
      <c r="BM483" s="494">
        <v>548.62</v>
      </c>
      <c r="BN483" s="495" t="e">
        <f t="shared" si="437"/>
        <v>#DIV/0!</v>
      </c>
      <c r="BO483" s="495" t="e">
        <f t="shared" si="438"/>
        <v>#DIV/0!</v>
      </c>
      <c r="BP483" s="495" t="e">
        <f t="shared" si="439"/>
        <v>#DIV/0!</v>
      </c>
      <c r="BQ483" s="495" t="e">
        <f t="shared" si="440"/>
        <v>#DIV/0!</v>
      </c>
      <c r="BR483" s="495" t="e">
        <f t="shared" si="441"/>
        <v>#DIV/0!</v>
      </c>
      <c r="BS483" s="495" t="e">
        <f t="shared" si="442"/>
        <v>#DIV/0!</v>
      </c>
      <c r="BT483" s="495" t="e">
        <f t="shared" si="443"/>
        <v>#DIV/0!</v>
      </c>
      <c r="BU483" s="495" t="str">
        <f t="shared" si="444"/>
        <v xml:space="preserve"> </v>
      </c>
      <c r="BV483" s="495" t="e">
        <f t="shared" si="445"/>
        <v>#DIV/0!</v>
      </c>
      <c r="BW483" s="495" t="e">
        <f t="shared" si="446"/>
        <v>#DIV/0!</v>
      </c>
      <c r="BX483" s="495" t="e">
        <f t="shared" si="447"/>
        <v>#DIV/0!</v>
      </c>
      <c r="BY483" s="495" t="str">
        <f t="shared" si="448"/>
        <v xml:space="preserve"> </v>
      </c>
    </row>
    <row r="484" spans="1:77" s="28" customFormat="1" ht="9" customHeight="1">
      <c r="A484" s="406">
        <v>124</v>
      </c>
      <c r="B484" s="200" t="s">
        <v>1067</v>
      </c>
      <c r="C484" s="376">
        <v>3307.5</v>
      </c>
      <c r="D484" s="376"/>
      <c r="E484" s="413"/>
      <c r="F484" s="415"/>
      <c r="G484" s="415"/>
      <c r="H484" s="205">
        <v>8883812.7100000009</v>
      </c>
      <c r="I484" s="407">
        <f t="shared" si="421"/>
        <v>7464077.4299999997</v>
      </c>
      <c r="J484" s="205">
        <f>ROUND(0.955*(C484*370),2)</f>
        <v>1168705.1299999999</v>
      </c>
      <c r="K484" s="469">
        <v>0</v>
      </c>
      <c r="L484" s="217">
        <f>ROUND(0.955*(C484*1200),2)</f>
        <v>3790395</v>
      </c>
      <c r="M484" s="469">
        <v>0</v>
      </c>
      <c r="N484" s="217">
        <f>ROUND(0.955*(C484*303.05),2)</f>
        <v>957232.67</v>
      </c>
      <c r="O484" s="249">
        <v>0</v>
      </c>
      <c r="P484" s="407">
        <v>0</v>
      </c>
      <c r="Q484" s="249">
        <v>0</v>
      </c>
      <c r="R484" s="407">
        <f>ROUND(0.955*(C484*270),2)</f>
        <v>852838.88</v>
      </c>
      <c r="S484" s="249">
        <v>0</v>
      </c>
      <c r="T484" s="407">
        <f>ROUND(0.955*(C484*220),2)</f>
        <v>694905.75</v>
      </c>
      <c r="U484" s="130">
        <v>0</v>
      </c>
      <c r="V484" s="407">
        <v>0</v>
      </c>
      <c r="W484" s="410">
        <v>0</v>
      </c>
      <c r="X484" s="407">
        <v>0</v>
      </c>
      <c r="Y484" s="410">
        <v>0</v>
      </c>
      <c r="Z484" s="410">
        <v>0</v>
      </c>
      <c r="AA484" s="410">
        <v>0</v>
      </c>
      <c r="AB484" s="410">
        <v>0</v>
      </c>
      <c r="AC484" s="410">
        <v>0</v>
      </c>
      <c r="AD484" s="410">
        <v>0</v>
      </c>
      <c r="AE484" s="410">
        <v>0</v>
      </c>
      <c r="AF484" s="410">
        <v>0</v>
      </c>
      <c r="AG484" s="410">
        <v>0</v>
      </c>
      <c r="AH484" s="410">
        <v>0</v>
      </c>
      <c r="AI484" s="407">
        <f>ROUND(0.955*C484*322.91,2)</f>
        <v>1019963.71</v>
      </c>
      <c r="AJ484" s="410">
        <f>ROUND(0.03*(220+1200+370+270+303.05+322.91)*C484,2)</f>
        <v>266514.38</v>
      </c>
      <c r="AK484" s="410">
        <f>ROUND(0.015*(220+1200+370+270+303.05+322.91)*C484,2)</f>
        <v>133257.19</v>
      </c>
      <c r="AL484" s="410">
        <v>0</v>
      </c>
      <c r="AM484" s="446"/>
      <c r="AN484" s="446"/>
      <c r="AP484" s="486" t="e">
        <f t="shared" si="425"/>
        <v>#DIV/0!</v>
      </c>
      <c r="AQ484" s="486" t="e">
        <f t="shared" si="427"/>
        <v>#DIV/0!</v>
      </c>
      <c r="AR484" s="486" t="e">
        <f t="shared" si="428"/>
        <v>#DIV/0!</v>
      </c>
      <c r="AS484" s="486" t="e">
        <f t="shared" si="429"/>
        <v>#DIV/0!</v>
      </c>
      <c r="AT484" s="486" t="e">
        <f t="shared" si="430"/>
        <v>#DIV/0!</v>
      </c>
      <c r="AU484" s="486" t="e">
        <f t="shared" si="431"/>
        <v>#DIV/0!</v>
      </c>
      <c r="AV484" s="486" t="e">
        <f t="shared" si="432"/>
        <v>#DIV/0!</v>
      </c>
      <c r="AW484" s="486" t="e">
        <f t="shared" si="433"/>
        <v>#DIV/0!</v>
      </c>
      <c r="AX484" s="486" t="e">
        <f t="shared" si="434"/>
        <v>#DIV/0!</v>
      </c>
      <c r="AY484" s="486" t="e">
        <f t="shared" si="435"/>
        <v>#DIV/0!</v>
      </c>
      <c r="AZ484" s="486" t="e">
        <f t="shared" si="436"/>
        <v>#DIV/0!</v>
      </c>
      <c r="BA484" s="486">
        <f t="shared" si="426"/>
        <v>308.37905064247923</v>
      </c>
      <c r="BB484" s="494">
        <v>5155.41</v>
      </c>
      <c r="BC484" s="494">
        <v>2070.12</v>
      </c>
      <c r="BD484" s="494">
        <v>848.92</v>
      </c>
      <c r="BE484" s="494">
        <v>819.73</v>
      </c>
      <c r="BF484" s="494">
        <v>611.5</v>
      </c>
      <c r="BG484" s="494">
        <v>1080.04</v>
      </c>
      <c r="BH484" s="494">
        <v>2671800.0099999998</v>
      </c>
      <c r="BI484" s="494">
        <f t="shared" si="449"/>
        <v>4422.8500000000004</v>
      </c>
      <c r="BJ484" s="494">
        <v>14289.54</v>
      </c>
      <c r="BK484" s="494">
        <v>3389.61</v>
      </c>
      <c r="BL484" s="494">
        <v>5995.76</v>
      </c>
      <c r="BM484" s="494">
        <v>548.62</v>
      </c>
      <c r="BN484" s="495" t="e">
        <f t="shared" si="437"/>
        <v>#DIV/0!</v>
      </c>
      <c r="BO484" s="495" t="e">
        <f t="shared" si="438"/>
        <v>#DIV/0!</v>
      </c>
      <c r="BP484" s="495" t="e">
        <f t="shared" si="439"/>
        <v>#DIV/0!</v>
      </c>
      <c r="BQ484" s="495" t="e">
        <f t="shared" si="440"/>
        <v>#DIV/0!</v>
      </c>
      <c r="BR484" s="495" t="e">
        <f t="shared" si="441"/>
        <v>#DIV/0!</v>
      </c>
      <c r="BS484" s="495" t="e">
        <f t="shared" si="442"/>
        <v>#DIV/0!</v>
      </c>
      <c r="BT484" s="495" t="e">
        <f t="shared" si="443"/>
        <v>#DIV/0!</v>
      </c>
      <c r="BU484" s="495" t="e">
        <f t="shared" si="444"/>
        <v>#DIV/0!</v>
      </c>
      <c r="BV484" s="495" t="e">
        <f t="shared" si="445"/>
        <v>#DIV/0!</v>
      </c>
      <c r="BW484" s="495" t="e">
        <f t="shared" si="446"/>
        <v>#DIV/0!</v>
      </c>
      <c r="BX484" s="495" t="e">
        <f t="shared" si="447"/>
        <v>#DIV/0!</v>
      </c>
      <c r="BY484" s="495" t="str">
        <f t="shared" si="448"/>
        <v xml:space="preserve"> </v>
      </c>
    </row>
    <row r="485" spans="1:77" s="28" customFormat="1" ht="9" customHeight="1">
      <c r="A485" s="406">
        <v>125</v>
      </c>
      <c r="B485" s="206" t="s">
        <v>1068</v>
      </c>
      <c r="C485" s="376">
        <v>5511.9</v>
      </c>
      <c r="D485" s="376"/>
      <c r="E485" s="413" t="s">
        <v>1005</v>
      </c>
      <c r="F485" s="413"/>
      <c r="G485" s="413"/>
      <c r="H485" s="211">
        <v>5404414</v>
      </c>
      <c r="I485" s="407">
        <f t="shared" si="421"/>
        <v>0</v>
      </c>
      <c r="J485" s="217">
        <v>0</v>
      </c>
      <c r="K485" s="469">
        <v>0</v>
      </c>
      <c r="L485" s="217">
        <v>0</v>
      </c>
      <c r="M485" s="469">
        <v>0</v>
      </c>
      <c r="N485" s="217">
        <v>0</v>
      </c>
      <c r="O485" s="249">
        <v>0</v>
      </c>
      <c r="P485" s="407">
        <v>0</v>
      </c>
      <c r="Q485" s="249">
        <v>0</v>
      </c>
      <c r="R485" s="407">
        <v>0</v>
      </c>
      <c r="S485" s="249">
        <v>0</v>
      </c>
      <c r="T485" s="407">
        <v>0</v>
      </c>
      <c r="U485" s="130">
        <v>0</v>
      </c>
      <c r="V485" s="407">
        <v>0</v>
      </c>
      <c r="W485" s="410">
        <v>1621</v>
      </c>
      <c r="X485" s="407">
        <f t="shared" si="422"/>
        <v>5161215.37</v>
      </c>
      <c r="Y485" s="410">
        <v>0</v>
      </c>
      <c r="Z485" s="410">
        <v>0</v>
      </c>
      <c r="AA485" s="410">
        <v>0</v>
      </c>
      <c r="AB485" s="410">
        <v>0</v>
      </c>
      <c r="AC485" s="410">
        <v>0</v>
      </c>
      <c r="AD485" s="410">
        <v>0</v>
      </c>
      <c r="AE485" s="410">
        <v>0</v>
      </c>
      <c r="AF485" s="410">
        <v>0</v>
      </c>
      <c r="AG485" s="410">
        <v>0</v>
      </c>
      <c r="AH485" s="410">
        <v>0</v>
      </c>
      <c r="AI485" s="410">
        <v>0</v>
      </c>
      <c r="AJ485" s="410">
        <f t="shared" si="423"/>
        <v>162132.42000000001</v>
      </c>
      <c r="AK485" s="410">
        <f t="shared" si="424"/>
        <v>81066.210000000006</v>
      </c>
      <c r="AL485" s="410">
        <v>0</v>
      </c>
      <c r="AM485" s="446"/>
      <c r="AN485" s="446"/>
      <c r="AP485" s="486" t="e">
        <f t="shared" si="425"/>
        <v>#DIV/0!</v>
      </c>
      <c r="AQ485" s="486" t="e">
        <f t="shared" si="427"/>
        <v>#DIV/0!</v>
      </c>
      <c r="AR485" s="486" t="e">
        <f t="shared" si="428"/>
        <v>#DIV/0!</v>
      </c>
      <c r="AS485" s="486" t="e">
        <f t="shared" si="429"/>
        <v>#DIV/0!</v>
      </c>
      <c r="AT485" s="486" t="e">
        <f t="shared" si="430"/>
        <v>#DIV/0!</v>
      </c>
      <c r="AU485" s="486" t="e">
        <f t="shared" si="431"/>
        <v>#DIV/0!</v>
      </c>
      <c r="AV485" s="486" t="e">
        <f t="shared" si="432"/>
        <v>#DIV/0!</v>
      </c>
      <c r="AW485" s="486">
        <f t="shared" si="433"/>
        <v>3183.9700000000003</v>
      </c>
      <c r="AX485" s="486" t="e">
        <f t="shared" si="434"/>
        <v>#DIV/0!</v>
      </c>
      <c r="AY485" s="486" t="e">
        <f t="shared" si="435"/>
        <v>#DIV/0!</v>
      </c>
      <c r="AZ485" s="486" t="e">
        <f t="shared" si="436"/>
        <v>#DIV/0!</v>
      </c>
      <c r="BA485" s="486">
        <f t="shared" si="426"/>
        <v>0</v>
      </c>
      <c r="BB485" s="494">
        <v>5155.41</v>
      </c>
      <c r="BC485" s="494">
        <v>2070.12</v>
      </c>
      <c r="BD485" s="494">
        <v>848.92</v>
      </c>
      <c r="BE485" s="494">
        <v>819.73</v>
      </c>
      <c r="BF485" s="494">
        <v>611.5</v>
      </c>
      <c r="BG485" s="494">
        <v>1080.04</v>
      </c>
      <c r="BH485" s="494">
        <v>2671800.0099999998</v>
      </c>
      <c r="BI485" s="494">
        <f t="shared" si="449"/>
        <v>4607.6000000000004</v>
      </c>
      <c r="BJ485" s="494">
        <v>14289.54</v>
      </c>
      <c r="BK485" s="494">
        <v>3389.61</v>
      </c>
      <c r="BL485" s="494">
        <v>5995.76</v>
      </c>
      <c r="BM485" s="494">
        <v>548.62</v>
      </c>
      <c r="BN485" s="495" t="e">
        <f t="shared" si="437"/>
        <v>#DIV/0!</v>
      </c>
      <c r="BO485" s="495" t="e">
        <f t="shared" si="438"/>
        <v>#DIV/0!</v>
      </c>
      <c r="BP485" s="495" t="e">
        <f t="shared" si="439"/>
        <v>#DIV/0!</v>
      </c>
      <c r="BQ485" s="495" t="e">
        <f t="shared" si="440"/>
        <v>#DIV/0!</v>
      </c>
      <c r="BR485" s="495" t="e">
        <f t="shared" si="441"/>
        <v>#DIV/0!</v>
      </c>
      <c r="BS485" s="495" t="e">
        <f t="shared" si="442"/>
        <v>#DIV/0!</v>
      </c>
      <c r="BT485" s="495" t="e">
        <f t="shared" si="443"/>
        <v>#DIV/0!</v>
      </c>
      <c r="BU485" s="495" t="str">
        <f t="shared" si="444"/>
        <v xml:space="preserve"> </v>
      </c>
      <c r="BV485" s="495" t="e">
        <f t="shared" si="445"/>
        <v>#DIV/0!</v>
      </c>
      <c r="BW485" s="495" t="e">
        <f t="shared" si="446"/>
        <v>#DIV/0!</v>
      </c>
      <c r="BX485" s="495" t="e">
        <f t="shared" si="447"/>
        <v>#DIV/0!</v>
      </c>
      <c r="BY485" s="495" t="str">
        <f t="shared" si="448"/>
        <v xml:space="preserve"> </v>
      </c>
    </row>
    <row r="486" spans="1:77" s="28" customFormat="1" ht="9" customHeight="1">
      <c r="A486" s="406">
        <v>126</v>
      </c>
      <c r="B486" s="206" t="s">
        <v>1087</v>
      </c>
      <c r="C486" s="376">
        <v>8181.4000000000005</v>
      </c>
      <c r="D486" s="376"/>
      <c r="E486" s="413"/>
      <c r="F486" s="413"/>
      <c r="G486" s="413"/>
      <c r="H486" s="205">
        <v>7854387.2000000002</v>
      </c>
      <c r="I486" s="407">
        <f t="shared" si="421"/>
        <v>0</v>
      </c>
      <c r="J486" s="217">
        <v>0</v>
      </c>
      <c r="K486" s="469">
        <v>0</v>
      </c>
      <c r="L486" s="217">
        <v>0</v>
      </c>
      <c r="M486" s="469">
        <v>0</v>
      </c>
      <c r="N486" s="217">
        <v>0</v>
      </c>
      <c r="O486" s="249">
        <v>0</v>
      </c>
      <c r="P486" s="407">
        <v>0</v>
      </c>
      <c r="Q486" s="249">
        <v>0</v>
      </c>
      <c r="R486" s="407">
        <v>0</v>
      </c>
      <c r="S486" s="249">
        <v>0</v>
      </c>
      <c r="T486" s="407">
        <v>0</v>
      </c>
      <c r="U486" s="130">
        <v>4</v>
      </c>
      <c r="V486" s="407">
        <f>ROUND(0.955*U486*1963596.8-0.01,2)</f>
        <v>7500939.7699999996</v>
      </c>
      <c r="W486" s="410">
        <v>0</v>
      </c>
      <c r="X486" s="407">
        <v>0</v>
      </c>
      <c r="Y486" s="410">
        <v>0</v>
      </c>
      <c r="Z486" s="410">
        <v>0</v>
      </c>
      <c r="AA486" s="410">
        <v>0</v>
      </c>
      <c r="AB486" s="410">
        <v>0</v>
      </c>
      <c r="AC486" s="410">
        <v>0</v>
      </c>
      <c r="AD486" s="410">
        <v>0</v>
      </c>
      <c r="AE486" s="410">
        <v>0</v>
      </c>
      <c r="AF486" s="410">
        <v>0</v>
      </c>
      <c r="AG486" s="410">
        <v>0</v>
      </c>
      <c r="AH486" s="410">
        <v>0</v>
      </c>
      <c r="AI486" s="410">
        <v>0</v>
      </c>
      <c r="AJ486" s="410">
        <f t="shared" si="423"/>
        <v>235631.62</v>
      </c>
      <c r="AK486" s="410">
        <f t="shared" si="424"/>
        <v>117815.81</v>
      </c>
      <c r="AL486" s="410">
        <v>0</v>
      </c>
      <c r="AM486" s="446"/>
      <c r="AN486" s="446"/>
      <c r="AP486" s="486" t="e">
        <f t="shared" si="425"/>
        <v>#DIV/0!</v>
      </c>
      <c r="AQ486" s="486" t="e">
        <f t="shared" si="427"/>
        <v>#DIV/0!</v>
      </c>
      <c r="AR486" s="486" t="e">
        <f t="shared" si="428"/>
        <v>#DIV/0!</v>
      </c>
      <c r="AS486" s="486" t="e">
        <f t="shared" si="429"/>
        <v>#DIV/0!</v>
      </c>
      <c r="AT486" s="486" t="e">
        <f t="shared" si="430"/>
        <v>#DIV/0!</v>
      </c>
      <c r="AU486" s="486" t="e">
        <f t="shared" si="431"/>
        <v>#DIV/0!</v>
      </c>
      <c r="AV486" s="486">
        <f t="shared" si="432"/>
        <v>1875234.9424999999</v>
      </c>
      <c r="AW486" s="486" t="e">
        <f t="shared" si="433"/>
        <v>#DIV/0!</v>
      </c>
      <c r="AX486" s="486" t="e">
        <f t="shared" si="434"/>
        <v>#DIV/0!</v>
      </c>
      <c r="AY486" s="486" t="e">
        <f t="shared" si="435"/>
        <v>#DIV/0!</v>
      </c>
      <c r="AZ486" s="486" t="e">
        <f t="shared" si="436"/>
        <v>#DIV/0!</v>
      </c>
      <c r="BA486" s="486">
        <f t="shared" si="426"/>
        <v>0</v>
      </c>
      <c r="BB486" s="494">
        <v>5155.41</v>
      </c>
      <c r="BC486" s="494">
        <v>2070.12</v>
      </c>
      <c r="BD486" s="494">
        <v>848.92</v>
      </c>
      <c r="BE486" s="494">
        <v>819.73</v>
      </c>
      <c r="BF486" s="494">
        <v>611.5</v>
      </c>
      <c r="BG486" s="494">
        <v>1080.04</v>
      </c>
      <c r="BH486" s="494">
        <v>2671800.0099999998</v>
      </c>
      <c r="BI486" s="494">
        <f t="shared" si="449"/>
        <v>4422.8500000000004</v>
      </c>
      <c r="BJ486" s="494">
        <v>14289.54</v>
      </c>
      <c r="BK486" s="494">
        <v>3389.61</v>
      </c>
      <c r="BL486" s="494">
        <v>5995.76</v>
      </c>
      <c r="BM486" s="494">
        <v>548.62</v>
      </c>
      <c r="BN486" s="495" t="e">
        <f t="shared" si="437"/>
        <v>#DIV/0!</v>
      </c>
      <c r="BO486" s="495" t="e">
        <f t="shared" si="438"/>
        <v>#DIV/0!</v>
      </c>
      <c r="BP486" s="495" t="e">
        <f t="shared" si="439"/>
        <v>#DIV/0!</v>
      </c>
      <c r="BQ486" s="495" t="e">
        <f t="shared" si="440"/>
        <v>#DIV/0!</v>
      </c>
      <c r="BR486" s="495" t="e">
        <f t="shared" si="441"/>
        <v>#DIV/0!</v>
      </c>
      <c r="BS486" s="495" t="e">
        <f t="shared" si="442"/>
        <v>#DIV/0!</v>
      </c>
      <c r="BT486" s="495" t="str">
        <f t="shared" si="443"/>
        <v xml:space="preserve"> </v>
      </c>
      <c r="BU486" s="495" t="e">
        <f t="shared" si="444"/>
        <v>#DIV/0!</v>
      </c>
      <c r="BV486" s="495" t="e">
        <f t="shared" si="445"/>
        <v>#DIV/0!</v>
      </c>
      <c r="BW486" s="495" t="e">
        <f t="shared" si="446"/>
        <v>#DIV/0!</v>
      </c>
      <c r="BX486" s="495" t="e">
        <f t="shared" si="447"/>
        <v>#DIV/0!</v>
      </c>
      <c r="BY486" s="495" t="str">
        <f t="shared" si="448"/>
        <v xml:space="preserve"> </v>
      </c>
    </row>
    <row r="487" spans="1:77" s="28" customFormat="1" ht="9" customHeight="1">
      <c r="A487" s="406">
        <v>127</v>
      </c>
      <c r="B487" s="206" t="s">
        <v>1088</v>
      </c>
      <c r="C487" s="376">
        <v>9736.89</v>
      </c>
      <c r="D487" s="376"/>
      <c r="E487" s="413"/>
      <c r="F487" s="413"/>
      <c r="G487" s="413"/>
      <c r="H487" s="205">
        <v>9817984</v>
      </c>
      <c r="I487" s="407">
        <f t="shared" si="421"/>
        <v>0</v>
      </c>
      <c r="J487" s="217">
        <v>0</v>
      </c>
      <c r="K487" s="469">
        <v>0</v>
      </c>
      <c r="L487" s="217">
        <v>0</v>
      </c>
      <c r="M487" s="469">
        <v>0</v>
      </c>
      <c r="N487" s="217">
        <v>0</v>
      </c>
      <c r="O487" s="249">
        <v>0</v>
      </c>
      <c r="P487" s="407">
        <v>0</v>
      </c>
      <c r="Q487" s="249">
        <v>0</v>
      </c>
      <c r="R487" s="407">
        <v>0</v>
      </c>
      <c r="S487" s="249">
        <v>0</v>
      </c>
      <c r="T487" s="407">
        <v>0</v>
      </c>
      <c r="U487" s="130">
        <v>5</v>
      </c>
      <c r="V487" s="407">
        <f>ROUND(0.955*U487*1963596.8,2)</f>
        <v>9376174.7200000007</v>
      </c>
      <c r="W487" s="410">
        <v>0</v>
      </c>
      <c r="X487" s="407">
        <v>0</v>
      </c>
      <c r="Y487" s="410">
        <v>0</v>
      </c>
      <c r="Z487" s="410">
        <v>0</v>
      </c>
      <c r="AA487" s="410">
        <v>0</v>
      </c>
      <c r="AB487" s="410">
        <v>0</v>
      </c>
      <c r="AC487" s="410">
        <v>0</v>
      </c>
      <c r="AD487" s="410">
        <v>0</v>
      </c>
      <c r="AE487" s="410">
        <v>0</v>
      </c>
      <c r="AF487" s="410">
        <v>0</v>
      </c>
      <c r="AG487" s="410">
        <v>0</v>
      </c>
      <c r="AH487" s="410">
        <v>0</v>
      </c>
      <c r="AI487" s="410">
        <v>0</v>
      </c>
      <c r="AJ487" s="410">
        <f t="shared" si="423"/>
        <v>294539.52000000002</v>
      </c>
      <c r="AK487" s="410">
        <f t="shared" si="424"/>
        <v>147269.76000000001</v>
      </c>
      <c r="AL487" s="410">
        <v>0</v>
      </c>
      <c r="AM487" s="446"/>
      <c r="AN487" s="446"/>
      <c r="AP487" s="486" t="e">
        <f t="shared" si="425"/>
        <v>#DIV/0!</v>
      </c>
      <c r="AQ487" s="486" t="e">
        <f t="shared" si="427"/>
        <v>#DIV/0!</v>
      </c>
      <c r="AR487" s="486" t="e">
        <f t="shared" si="428"/>
        <v>#DIV/0!</v>
      </c>
      <c r="AS487" s="486" t="e">
        <f t="shared" si="429"/>
        <v>#DIV/0!</v>
      </c>
      <c r="AT487" s="486" t="e">
        <f t="shared" si="430"/>
        <v>#DIV/0!</v>
      </c>
      <c r="AU487" s="486" t="e">
        <f t="shared" si="431"/>
        <v>#DIV/0!</v>
      </c>
      <c r="AV487" s="486">
        <f t="shared" si="432"/>
        <v>1875234.9440000001</v>
      </c>
      <c r="AW487" s="486" t="e">
        <f t="shared" si="433"/>
        <v>#DIV/0!</v>
      </c>
      <c r="AX487" s="486" t="e">
        <f t="shared" si="434"/>
        <v>#DIV/0!</v>
      </c>
      <c r="AY487" s="486" t="e">
        <f t="shared" si="435"/>
        <v>#DIV/0!</v>
      </c>
      <c r="AZ487" s="486" t="e">
        <f t="shared" si="436"/>
        <v>#DIV/0!</v>
      </c>
      <c r="BA487" s="486">
        <f t="shared" si="426"/>
        <v>0</v>
      </c>
      <c r="BB487" s="494">
        <v>5155.41</v>
      </c>
      <c r="BC487" s="494">
        <v>2070.12</v>
      </c>
      <c r="BD487" s="494">
        <v>848.92</v>
      </c>
      <c r="BE487" s="494">
        <v>819.73</v>
      </c>
      <c r="BF487" s="494">
        <v>611.5</v>
      </c>
      <c r="BG487" s="494">
        <v>1080.04</v>
      </c>
      <c r="BH487" s="494">
        <v>2671800.0099999998</v>
      </c>
      <c r="BI487" s="494">
        <f t="shared" si="449"/>
        <v>4422.8500000000004</v>
      </c>
      <c r="BJ487" s="494">
        <v>14289.54</v>
      </c>
      <c r="BK487" s="494">
        <v>3389.61</v>
      </c>
      <c r="BL487" s="494">
        <v>5995.76</v>
      </c>
      <c r="BM487" s="494">
        <v>548.62</v>
      </c>
      <c r="BN487" s="495" t="e">
        <f t="shared" si="437"/>
        <v>#DIV/0!</v>
      </c>
      <c r="BO487" s="495" t="e">
        <f t="shared" si="438"/>
        <v>#DIV/0!</v>
      </c>
      <c r="BP487" s="495" t="e">
        <f t="shared" si="439"/>
        <v>#DIV/0!</v>
      </c>
      <c r="BQ487" s="495" t="e">
        <f t="shared" si="440"/>
        <v>#DIV/0!</v>
      </c>
      <c r="BR487" s="495" t="e">
        <f t="shared" si="441"/>
        <v>#DIV/0!</v>
      </c>
      <c r="BS487" s="495" t="e">
        <f t="shared" si="442"/>
        <v>#DIV/0!</v>
      </c>
      <c r="BT487" s="495" t="str">
        <f t="shared" si="443"/>
        <v xml:space="preserve"> </v>
      </c>
      <c r="BU487" s="495" t="e">
        <f t="shared" si="444"/>
        <v>#DIV/0!</v>
      </c>
      <c r="BV487" s="495" t="e">
        <f t="shared" si="445"/>
        <v>#DIV/0!</v>
      </c>
      <c r="BW487" s="495" t="e">
        <f t="shared" si="446"/>
        <v>#DIV/0!</v>
      </c>
      <c r="BX487" s="495" t="e">
        <f t="shared" si="447"/>
        <v>#DIV/0!</v>
      </c>
      <c r="BY487" s="495" t="str">
        <f t="shared" si="448"/>
        <v xml:space="preserve"> </v>
      </c>
    </row>
    <row r="488" spans="1:77" s="28" customFormat="1" ht="9" customHeight="1">
      <c r="A488" s="406">
        <v>128</v>
      </c>
      <c r="B488" s="206" t="s">
        <v>1110</v>
      </c>
      <c r="C488" s="376">
        <v>9167.8000000000011</v>
      </c>
      <c r="D488" s="376"/>
      <c r="E488" s="413" t="s">
        <v>1005</v>
      </c>
      <c r="F488" s="416"/>
      <c r="G488" s="416"/>
      <c r="H488" s="205">
        <v>10322064</v>
      </c>
      <c r="I488" s="407">
        <f t="shared" si="421"/>
        <v>0</v>
      </c>
      <c r="J488" s="217">
        <v>0</v>
      </c>
      <c r="K488" s="469">
        <v>0</v>
      </c>
      <c r="L488" s="217">
        <v>0</v>
      </c>
      <c r="M488" s="469">
        <v>0</v>
      </c>
      <c r="N488" s="217">
        <v>0</v>
      </c>
      <c r="O488" s="249">
        <v>0</v>
      </c>
      <c r="P488" s="407">
        <v>0</v>
      </c>
      <c r="Q488" s="249">
        <v>0</v>
      </c>
      <c r="R488" s="407">
        <v>0</v>
      </c>
      <c r="S488" s="249">
        <v>0</v>
      </c>
      <c r="T488" s="407">
        <v>0</v>
      </c>
      <c r="U488" s="130">
        <v>0</v>
      </c>
      <c r="V488" s="407">
        <v>0</v>
      </c>
      <c r="W488" s="410">
        <v>3096</v>
      </c>
      <c r="X488" s="407">
        <f t="shared" si="422"/>
        <v>9857571.1199999992</v>
      </c>
      <c r="Y488" s="410">
        <v>0</v>
      </c>
      <c r="Z488" s="410">
        <v>0</v>
      </c>
      <c r="AA488" s="410">
        <v>0</v>
      </c>
      <c r="AB488" s="410">
        <v>0</v>
      </c>
      <c r="AC488" s="410">
        <v>0</v>
      </c>
      <c r="AD488" s="410">
        <v>0</v>
      </c>
      <c r="AE488" s="410">
        <v>0</v>
      </c>
      <c r="AF488" s="410">
        <v>0</v>
      </c>
      <c r="AG488" s="410">
        <v>0</v>
      </c>
      <c r="AH488" s="410">
        <v>0</v>
      </c>
      <c r="AI488" s="410">
        <v>0</v>
      </c>
      <c r="AJ488" s="410">
        <f t="shared" si="423"/>
        <v>309661.92</v>
      </c>
      <c r="AK488" s="410">
        <f t="shared" si="424"/>
        <v>154830.96</v>
      </c>
      <c r="AL488" s="410">
        <v>0</v>
      </c>
      <c r="AM488" s="446"/>
      <c r="AN488" s="446"/>
      <c r="AP488" s="486" t="e">
        <f t="shared" si="425"/>
        <v>#DIV/0!</v>
      </c>
      <c r="AQ488" s="486" t="e">
        <f t="shared" si="427"/>
        <v>#DIV/0!</v>
      </c>
      <c r="AR488" s="486" t="e">
        <f t="shared" si="428"/>
        <v>#DIV/0!</v>
      </c>
      <c r="AS488" s="486" t="e">
        <f t="shared" si="429"/>
        <v>#DIV/0!</v>
      </c>
      <c r="AT488" s="486" t="e">
        <f t="shared" si="430"/>
        <v>#DIV/0!</v>
      </c>
      <c r="AU488" s="486" t="e">
        <f t="shared" si="431"/>
        <v>#DIV/0!</v>
      </c>
      <c r="AV488" s="486" t="e">
        <f t="shared" si="432"/>
        <v>#DIV/0!</v>
      </c>
      <c r="AW488" s="486">
        <f t="shared" si="433"/>
        <v>3183.97</v>
      </c>
      <c r="AX488" s="486" t="e">
        <f t="shared" si="434"/>
        <v>#DIV/0!</v>
      </c>
      <c r="AY488" s="486" t="e">
        <f t="shared" si="435"/>
        <v>#DIV/0!</v>
      </c>
      <c r="AZ488" s="486" t="e">
        <f t="shared" si="436"/>
        <v>#DIV/0!</v>
      </c>
      <c r="BA488" s="486">
        <f t="shared" si="426"/>
        <v>0</v>
      </c>
      <c r="BB488" s="494">
        <v>5155.41</v>
      </c>
      <c r="BC488" s="494">
        <v>2070.12</v>
      </c>
      <c r="BD488" s="494">
        <v>848.92</v>
      </c>
      <c r="BE488" s="494">
        <v>819.73</v>
      </c>
      <c r="BF488" s="494">
        <v>611.5</v>
      </c>
      <c r="BG488" s="494">
        <v>1080.04</v>
      </c>
      <c r="BH488" s="494">
        <v>2671800.0099999998</v>
      </c>
      <c r="BI488" s="494">
        <f t="shared" si="449"/>
        <v>4607.6000000000004</v>
      </c>
      <c r="BJ488" s="494">
        <v>14289.54</v>
      </c>
      <c r="BK488" s="494">
        <v>3389.61</v>
      </c>
      <c r="BL488" s="494">
        <v>5995.76</v>
      </c>
      <c r="BM488" s="494">
        <v>548.62</v>
      </c>
      <c r="BN488" s="495" t="e">
        <f t="shared" si="437"/>
        <v>#DIV/0!</v>
      </c>
      <c r="BO488" s="495" t="e">
        <f t="shared" si="438"/>
        <v>#DIV/0!</v>
      </c>
      <c r="BP488" s="495" t="e">
        <f t="shared" si="439"/>
        <v>#DIV/0!</v>
      </c>
      <c r="BQ488" s="495" t="e">
        <f t="shared" si="440"/>
        <v>#DIV/0!</v>
      </c>
      <c r="BR488" s="495" t="e">
        <f t="shared" si="441"/>
        <v>#DIV/0!</v>
      </c>
      <c r="BS488" s="495" t="e">
        <f t="shared" si="442"/>
        <v>#DIV/0!</v>
      </c>
      <c r="BT488" s="495" t="e">
        <f t="shared" si="443"/>
        <v>#DIV/0!</v>
      </c>
      <c r="BU488" s="495" t="str">
        <f t="shared" si="444"/>
        <v xml:space="preserve"> </v>
      </c>
      <c r="BV488" s="495" t="e">
        <f t="shared" si="445"/>
        <v>#DIV/0!</v>
      </c>
      <c r="BW488" s="495" t="e">
        <f t="shared" si="446"/>
        <v>#DIV/0!</v>
      </c>
      <c r="BX488" s="495" t="e">
        <f t="shared" si="447"/>
        <v>#DIV/0!</v>
      </c>
      <c r="BY488" s="495" t="str">
        <f t="shared" si="448"/>
        <v xml:space="preserve"> </v>
      </c>
    </row>
    <row r="489" spans="1:77" s="28" customFormat="1" ht="9" customHeight="1">
      <c r="A489" s="406">
        <v>129</v>
      </c>
      <c r="B489" s="206" t="s">
        <v>1111</v>
      </c>
      <c r="C489" s="376">
        <v>4199.2</v>
      </c>
      <c r="D489" s="376"/>
      <c r="E489" s="413" t="s">
        <v>1005</v>
      </c>
      <c r="F489" s="413"/>
      <c r="G489" s="413"/>
      <c r="H489" s="205">
        <v>4037474</v>
      </c>
      <c r="I489" s="407">
        <f t="shared" si="421"/>
        <v>0</v>
      </c>
      <c r="J489" s="217">
        <v>0</v>
      </c>
      <c r="K489" s="469">
        <v>0</v>
      </c>
      <c r="L489" s="217">
        <v>0</v>
      </c>
      <c r="M489" s="469">
        <v>0</v>
      </c>
      <c r="N489" s="217">
        <v>0</v>
      </c>
      <c r="O489" s="249">
        <v>0</v>
      </c>
      <c r="P489" s="407">
        <v>0</v>
      </c>
      <c r="Q489" s="249">
        <v>0</v>
      </c>
      <c r="R489" s="407">
        <v>0</v>
      </c>
      <c r="S489" s="249">
        <v>0</v>
      </c>
      <c r="T489" s="407">
        <v>0</v>
      </c>
      <c r="U489" s="130">
        <v>0</v>
      </c>
      <c r="V489" s="407">
        <v>0</v>
      </c>
      <c r="W489" s="410">
        <v>1211</v>
      </c>
      <c r="X489" s="407">
        <f t="shared" si="422"/>
        <v>3855787.67</v>
      </c>
      <c r="Y489" s="410">
        <v>0</v>
      </c>
      <c r="Z489" s="410">
        <v>0</v>
      </c>
      <c r="AA489" s="410">
        <v>0</v>
      </c>
      <c r="AB489" s="410">
        <v>0</v>
      </c>
      <c r="AC489" s="410">
        <v>0</v>
      </c>
      <c r="AD489" s="410">
        <v>0</v>
      </c>
      <c r="AE489" s="410">
        <v>0</v>
      </c>
      <c r="AF489" s="410">
        <v>0</v>
      </c>
      <c r="AG489" s="410">
        <v>0</v>
      </c>
      <c r="AH489" s="410">
        <v>0</v>
      </c>
      <c r="AI489" s="410">
        <v>0</v>
      </c>
      <c r="AJ489" s="410">
        <f t="shared" si="423"/>
        <v>121124.22</v>
      </c>
      <c r="AK489" s="410">
        <f t="shared" si="424"/>
        <v>60562.11</v>
      </c>
      <c r="AL489" s="410">
        <v>0</v>
      </c>
      <c r="AM489" s="446"/>
      <c r="AN489" s="446"/>
      <c r="AP489" s="486" t="e">
        <f t="shared" si="425"/>
        <v>#DIV/0!</v>
      </c>
      <c r="AQ489" s="486" t="e">
        <f t="shared" si="427"/>
        <v>#DIV/0!</v>
      </c>
      <c r="AR489" s="486" t="e">
        <f t="shared" si="428"/>
        <v>#DIV/0!</v>
      </c>
      <c r="AS489" s="486" t="e">
        <f t="shared" si="429"/>
        <v>#DIV/0!</v>
      </c>
      <c r="AT489" s="486" t="e">
        <f t="shared" si="430"/>
        <v>#DIV/0!</v>
      </c>
      <c r="AU489" s="486" t="e">
        <f t="shared" si="431"/>
        <v>#DIV/0!</v>
      </c>
      <c r="AV489" s="486" t="e">
        <f t="shared" si="432"/>
        <v>#DIV/0!</v>
      </c>
      <c r="AW489" s="486">
        <f t="shared" si="433"/>
        <v>3183.97</v>
      </c>
      <c r="AX489" s="486" t="e">
        <f t="shared" si="434"/>
        <v>#DIV/0!</v>
      </c>
      <c r="AY489" s="486" t="e">
        <f t="shared" si="435"/>
        <v>#DIV/0!</v>
      </c>
      <c r="AZ489" s="486" t="e">
        <f t="shared" si="436"/>
        <v>#DIV/0!</v>
      </c>
      <c r="BA489" s="486">
        <f t="shared" si="426"/>
        <v>0</v>
      </c>
      <c r="BB489" s="494">
        <v>5155.41</v>
      </c>
      <c r="BC489" s="494">
        <v>2070.12</v>
      </c>
      <c r="BD489" s="494">
        <v>848.92</v>
      </c>
      <c r="BE489" s="494">
        <v>819.73</v>
      </c>
      <c r="BF489" s="494">
        <v>611.5</v>
      </c>
      <c r="BG489" s="494">
        <v>1080.04</v>
      </c>
      <c r="BH489" s="494">
        <v>2671800.0099999998</v>
      </c>
      <c r="BI489" s="494">
        <f t="shared" si="449"/>
        <v>4607.6000000000004</v>
      </c>
      <c r="BJ489" s="494">
        <v>14289.54</v>
      </c>
      <c r="BK489" s="494">
        <v>3389.61</v>
      </c>
      <c r="BL489" s="494">
        <v>5995.76</v>
      </c>
      <c r="BM489" s="494">
        <v>548.62</v>
      </c>
      <c r="BN489" s="495" t="e">
        <f t="shared" si="437"/>
        <v>#DIV/0!</v>
      </c>
      <c r="BO489" s="495" t="e">
        <f t="shared" si="438"/>
        <v>#DIV/0!</v>
      </c>
      <c r="BP489" s="495" t="e">
        <f t="shared" si="439"/>
        <v>#DIV/0!</v>
      </c>
      <c r="BQ489" s="495" t="e">
        <f t="shared" si="440"/>
        <v>#DIV/0!</v>
      </c>
      <c r="BR489" s="495" t="e">
        <f t="shared" si="441"/>
        <v>#DIV/0!</v>
      </c>
      <c r="BS489" s="495" t="e">
        <f t="shared" si="442"/>
        <v>#DIV/0!</v>
      </c>
      <c r="BT489" s="495" t="e">
        <f t="shared" si="443"/>
        <v>#DIV/0!</v>
      </c>
      <c r="BU489" s="495" t="str">
        <f t="shared" si="444"/>
        <v xml:space="preserve"> </v>
      </c>
      <c r="BV489" s="495" t="e">
        <f t="shared" si="445"/>
        <v>#DIV/0!</v>
      </c>
      <c r="BW489" s="495" t="e">
        <f t="shared" si="446"/>
        <v>#DIV/0!</v>
      </c>
      <c r="BX489" s="495" t="e">
        <f t="shared" si="447"/>
        <v>#DIV/0!</v>
      </c>
      <c r="BY489" s="495" t="str">
        <f t="shared" si="448"/>
        <v xml:space="preserve"> </v>
      </c>
    </row>
    <row r="490" spans="1:77" s="28" customFormat="1" ht="9" customHeight="1">
      <c r="A490" s="406">
        <v>130</v>
      </c>
      <c r="B490" s="206" t="s">
        <v>1112</v>
      </c>
      <c r="C490" s="376">
        <v>2812.7</v>
      </c>
      <c r="D490" s="376"/>
      <c r="E490" s="413" t="s">
        <v>1005</v>
      </c>
      <c r="F490" s="413"/>
      <c r="G490" s="413"/>
      <c r="H490" s="205">
        <v>2440488</v>
      </c>
      <c r="I490" s="407">
        <f t="shared" si="421"/>
        <v>0</v>
      </c>
      <c r="J490" s="217">
        <v>0</v>
      </c>
      <c r="K490" s="469">
        <v>0</v>
      </c>
      <c r="L490" s="217">
        <v>0</v>
      </c>
      <c r="M490" s="469">
        <v>0</v>
      </c>
      <c r="N490" s="217">
        <v>0</v>
      </c>
      <c r="O490" s="249">
        <v>0</v>
      </c>
      <c r="P490" s="407">
        <v>0</v>
      </c>
      <c r="Q490" s="249">
        <v>0</v>
      </c>
      <c r="R490" s="407">
        <v>0</v>
      </c>
      <c r="S490" s="249">
        <v>0</v>
      </c>
      <c r="T490" s="407">
        <v>0</v>
      </c>
      <c r="U490" s="130">
        <v>0</v>
      </c>
      <c r="V490" s="407">
        <v>0</v>
      </c>
      <c r="W490" s="410">
        <v>732</v>
      </c>
      <c r="X490" s="407">
        <f t="shared" si="422"/>
        <v>2330666.04</v>
      </c>
      <c r="Y490" s="410">
        <v>0</v>
      </c>
      <c r="Z490" s="410">
        <v>0</v>
      </c>
      <c r="AA490" s="410">
        <v>0</v>
      </c>
      <c r="AB490" s="410">
        <v>0</v>
      </c>
      <c r="AC490" s="410">
        <v>0</v>
      </c>
      <c r="AD490" s="410">
        <v>0</v>
      </c>
      <c r="AE490" s="410">
        <v>0</v>
      </c>
      <c r="AF490" s="410">
        <v>0</v>
      </c>
      <c r="AG490" s="410">
        <v>0</v>
      </c>
      <c r="AH490" s="410">
        <v>0</v>
      </c>
      <c r="AI490" s="410">
        <v>0</v>
      </c>
      <c r="AJ490" s="410">
        <f t="shared" si="423"/>
        <v>73214.64</v>
      </c>
      <c r="AK490" s="410">
        <f t="shared" si="424"/>
        <v>36607.32</v>
      </c>
      <c r="AL490" s="410">
        <v>0</v>
      </c>
      <c r="AM490" s="446"/>
      <c r="AN490" s="446"/>
      <c r="AP490" s="486" t="e">
        <f t="shared" si="425"/>
        <v>#DIV/0!</v>
      </c>
      <c r="AQ490" s="486" t="e">
        <f t="shared" si="427"/>
        <v>#DIV/0!</v>
      </c>
      <c r="AR490" s="486" t="e">
        <f t="shared" si="428"/>
        <v>#DIV/0!</v>
      </c>
      <c r="AS490" s="486" t="e">
        <f t="shared" si="429"/>
        <v>#DIV/0!</v>
      </c>
      <c r="AT490" s="486" t="e">
        <f t="shared" si="430"/>
        <v>#DIV/0!</v>
      </c>
      <c r="AU490" s="486" t="e">
        <f t="shared" si="431"/>
        <v>#DIV/0!</v>
      </c>
      <c r="AV490" s="486" t="e">
        <f t="shared" si="432"/>
        <v>#DIV/0!</v>
      </c>
      <c r="AW490" s="486">
        <f t="shared" si="433"/>
        <v>3183.9700000000003</v>
      </c>
      <c r="AX490" s="486" t="e">
        <f t="shared" si="434"/>
        <v>#DIV/0!</v>
      </c>
      <c r="AY490" s="486" t="e">
        <f t="shared" si="435"/>
        <v>#DIV/0!</v>
      </c>
      <c r="AZ490" s="486" t="e">
        <f t="shared" si="436"/>
        <v>#DIV/0!</v>
      </c>
      <c r="BA490" s="486">
        <f t="shared" si="426"/>
        <v>0</v>
      </c>
      <c r="BB490" s="494">
        <v>5155.41</v>
      </c>
      <c r="BC490" s="494">
        <v>2070.12</v>
      </c>
      <c r="BD490" s="494">
        <v>848.92</v>
      </c>
      <c r="BE490" s="494">
        <v>819.73</v>
      </c>
      <c r="BF490" s="494">
        <v>611.5</v>
      </c>
      <c r="BG490" s="494">
        <v>1080.04</v>
      </c>
      <c r="BH490" s="494">
        <v>2671800.0099999998</v>
      </c>
      <c r="BI490" s="494">
        <f t="shared" si="449"/>
        <v>4607.6000000000004</v>
      </c>
      <c r="BJ490" s="494">
        <v>14289.54</v>
      </c>
      <c r="BK490" s="494">
        <v>3389.61</v>
      </c>
      <c r="BL490" s="494">
        <v>5995.76</v>
      </c>
      <c r="BM490" s="494">
        <v>548.62</v>
      </c>
      <c r="BN490" s="495" t="e">
        <f t="shared" si="437"/>
        <v>#DIV/0!</v>
      </c>
      <c r="BO490" s="495" t="e">
        <f t="shared" si="438"/>
        <v>#DIV/0!</v>
      </c>
      <c r="BP490" s="495" t="e">
        <f t="shared" si="439"/>
        <v>#DIV/0!</v>
      </c>
      <c r="BQ490" s="495" t="e">
        <f t="shared" si="440"/>
        <v>#DIV/0!</v>
      </c>
      <c r="BR490" s="495" t="e">
        <f t="shared" si="441"/>
        <v>#DIV/0!</v>
      </c>
      <c r="BS490" s="495" t="e">
        <f t="shared" si="442"/>
        <v>#DIV/0!</v>
      </c>
      <c r="BT490" s="495" t="e">
        <f t="shared" si="443"/>
        <v>#DIV/0!</v>
      </c>
      <c r="BU490" s="495" t="str">
        <f t="shared" si="444"/>
        <v xml:space="preserve"> </v>
      </c>
      <c r="BV490" s="495" t="e">
        <f t="shared" si="445"/>
        <v>#DIV/0!</v>
      </c>
      <c r="BW490" s="495" t="e">
        <f t="shared" si="446"/>
        <v>#DIV/0!</v>
      </c>
      <c r="BX490" s="495" t="e">
        <f t="shared" si="447"/>
        <v>#DIV/0!</v>
      </c>
      <c r="BY490" s="495" t="str">
        <f t="shared" si="448"/>
        <v xml:space="preserve"> </v>
      </c>
    </row>
    <row r="491" spans="1:77" s="28" customFormat="1" ht="9" customHeight="1">
      <c r="A491" s="406">
        <v>131</v>
      </c>
      <c r="B491" s="206" t="s">
        <v>1113</v>
      </c>
      <c r="C491" s="376">
        <v>3204.7</v>
      </c>
      <c r="D491" s="376"/>
      <c r="E491" s="413" t="s">
        <v>1006</v>
      </c>
      <c r="F491" s="413"/>
      <c r="G491" s="413"/>
      <c r="H491" s="205">
        <v>3654420</v>
      </c>
      <c r="I491" s="407">
        <f t="shared" si="421"/>
        <v>0</v>
      </c>
      <c r="J491" s="217">
        <v>0</v>
      </c>
      <c r="K491" s="469">
        <v>0</v>
      </c>
      <c r="L491" s="217">
        <v>0</v>
      </c>
      <c r="M491" s="469">
        <v>0</v>
      </c>
      <c r="N491" s="217">
        <v>0</v>
      </c>
      <c r="O491" s="249">
        <v>0</v>
      </c>
      <c r="P491" s="407">
        <v>0</v>
      </c>
      <c r="Q491" s="249">
        <v>0</v>
      </c>
      <c r="R491" s="407">
        <v>0</v>
      </c>
      <c r="S491" s="249">
        <v>0</v>
      </c>
      <c r="T491" s="407">
        <v>0</v>
      </c>
      <c r="U491" s="130">
        <v>0</v>
      </c>
      <c r="V491" s="407">
        <v>0</v>
      </c>
      <c r="W491" s="410">
        <v>1130</v>
      </c>
      <c r="X491" s="407">
        <f t="shared" si="422"/>
        <v>3489971.1</v>
      </c>
      <c r="Y491" s="410">
        <v>0</v>
      </c>
      <c r="Z491" s="410">
        <v>0</v>
      </c>
      <c r="AA491" s="410">
        <v>0</v>
      </c>
      <c r="AB491" s="410">
        <v>0</v>
      </c>
      <c r="AC491" s="410">
        <v>0</v>
      </c>
      <c r="AD491" s="410">
        <v>0</v>
      </c>
      <c r="AE491" s="410">
        <v>0</v>
      </c>
      <c r="AF491" s="410">
        <v>0</v>
      </c>
      <c r="AG491" s="410">
        <v>0</v>
      </c>
      <c r="AH491" s="410">
        <v>0</v>
      </c>
      <c r="AI491" s="410">
        <v>0</v>
      </c>
      <c r="AJ491" s="410">
        <f t="shared" si="423"/>
        <v>109632.6</v>
      </c>
      <c r="AK491" s="410">
        <f t="shared" si="424"/>
        <v>54816.3</v>
      </c>
      <c r="AL491" s="410">
        <v>0</v>
      </c>
      <c r="AM491" s="446"/>
      <c r="AN491" s="446"/>
      <c r="AP491" s="486" t="e">
        <f t="shared" si="425"/>
        <v>#DIV/0!</v>
      </c>
      <c r="AQ491" s="486" t="e">
        <f t="shared" si="427"/>
        <v>#DIV/0!</v>
      </c>
      <c r="AR491" s="486" t="e">
        <f t="shared" si="428"/>
        <v>#DIV/0!</v>
      </c>
      <c r="AS491" s="486" t="e">
        <f t="shared" si="429"/>
        <v>#DIV/0!</v>
      </c>
      <c r="AT491" s="486" t="e">
        <f t="shared" si="430"/>
        <v>#DIV/0!</v>
      </c>
      <c r="AU491" s="486" t="e">
        <f t="shared" si="431"/>
        <v>#DIV/0!</v>
      </c>
      <c r="AV491" s="486" t="e">
        <f t="shared" si="432"/>
        <v>#DIV/0!</v>
      </c>
      <c r="AW491" s="486">
        <f t="shared" si="433"/>
        <v>3088.4700000000003</v>
      </c>
      <c r="AX491" s="486" t="e">
        <f t="shared" si="434"/>
        <v>#DIV/0!</v>
      </c>
      <c r="AY491" s="486" t="e">
        <f t="shared" si="435"/>
        <v>#DIV/0!</v>
      </c>
      <c r="AZ491" s="486" t="e">
        <f t="shared" si="436"/>
        <v>#DIV/0!</v>
      </c>
      <c r="BA491" s="486">
        <f t="shared" si="426"/>
        <v>0</v>
      </c>
      <c r="BB491" s="494">
        <v>5155.41</v>
      </c>
      <c r="BC491" s="494">
        <v>2070.12</v>
      </c>
      <c r="BD491" s="494">
        <v>848.92</v>
      </c>
      <c r="BE491" s="494">
        <v>819.73</v>
      </c>
      <c r="BF491" s="494">
        <v>611.5</v>
      </c>
      <c r="BG491" s="494">
        <v>1080.04</v>
      </c>
      <c r="BH491" s="494">
        <v>2671800.0099999998</v>
      </c>
      <c r="BI491" s="494">
        <f t="shared" si="449"/>
        <v>4422.8500000000004</v>
      </c>
      <c r="BJ491" s="494">
        <v>14289.54</v>
      </c>
      <c r="BK491" s="494">
        <v>3389.61</v>
      </c>
      <c r="BL491" s="494">
        <v>5995.76</v>
      </c>
      <c r="BM491" s="494">
        <v>548.62</v>
      </c>
      <c r="BN491" s="495" t="e">
        <f t="shared" si="437"/>
        <v>#DIV/0!</v>
      </c>
      <c r="BO491" s="495" t="e">
        <f t="shared" si="438"/>
        <v>#DIV/0!</v>
      </c>
      <c r="BP491" s="495" t="e">
        <f t="shared" si="439"/>
        <v>#DIV/0!</v>
      </c>
      <c r="BQ491" s="495" t="e">
        <f t="shared" si="440"/>
        <v>#DIV/0!</v>
      </c>
      <c r="BR491" s="495" t="e">
        <f t="shared" si="441"/>
        <v>#DIV/0!</v>
      </c>
      <c r="BS491" s="495" t="e">
        <f t="shared" si="442"/>
        <v>#DIV/0!</v>
      </c>
      <c r="BT491" s="495" t="e">
        <f t="shared" si="443"/>
        <v>#DIV/0!</v>
      </c>
      <c r="BU491" s="495" t="str">
        <f t="shared" si="444"/>
        <v xml:space="preserve"> </v>
      </c>
      <c r="BV491" s="495" t="e">
        <f t="shared" si="445"/>
        <v>#DIV/0!</v>
      </c>
      <c r="BW491" s="495" t="e">
        <f t="shared" si="446"/>
        <v>#DIV/0!</v>
      </c>
      <c r="BX491" s="495" t="e">
        <f t="shared" si="447"/>
        <v>#DIV/0!</v>
      </c>
      <c r="BY491" s="495" t="str">
        <f t="shared" si="448"/>
        <v xml:space="preserve"> </v>
      </c>
    </row>
    <row r="492" spans="1:77" s="28" customFormat="1" ht="9" customHeight="1">
      <c r="A492" s="406">
        <v>132</v>
      </c>
      <c r="B492" s="206" t="s">
        <v>1162</v>
      </c>
      <c r="C492" s="473">
        <v>4613.3</v>
      </c>
      <c r="D492" s="376"/>
      <c r="E492" s="413" t="s">
        <v>1006</v>
      </c>
      <c r="F492" s="413"/>
      <c r="G492" s="413"/>
      <c r="H492" s="205">
        <f>X492+AJ492+AK492</f>
        <v>5271419.9999999991</v>
      </c>
      <c r="I492" s="407">
        <f t="shared" ref="I492" si="450">J492+L492+N492+P492+R492+T492</f>
        <v>0</v>
      </c>
      <c r="J492" s="217">
        <v>0</v>
      </c>
      <c r="K492" s="469">
        <v>0</v>
      </c>
      <c r="L492" s="217">
        <v>0</v>
      </c>
      <c r="M492" s="469">
        <v>0</v>
      </c>
      <c r="N492" s="217">
        <v>0</v>
      </c>
      <c r="O492" s="249">
        <v>0</v>
      </c>
      <c r="P492" s="407">
        <v>0</v>
      </c>
      <c r="Q492" s="249">
        <v>0</v>
      </c>
      <c r="R492" s="407">
        <v>0</v>
      </c>
      <c r="S492" s="249">
        <v>0</v>
      </c>
      <c r="T492" s="407">
        <v>0</v>
      </c>
      <c r="U492" s="130">
        <v>0</v>
      </c>
      <c r="V492" s="407">
        <v>0</v>
      </c>
      <c r="W492" s="410">
        <v>1630</v>
      </c>
      <c r="X492" s="407">
        <f>ROUND(3234*W492*0.955,2)</f>
        <v>5034206.0999999996</v>
      </c>
      <c r="Y492" s="410">
        <v>0</v>
      </c>
      <c r="Z492" s="410">
        <v>0</v>
      </c>
      <c r="AA492" s="410">
        <v>0</v>
      </c>
      <c r="AB492" s="410">
        <v>0</v>
      </c>
      <c r="AC492" s="410">
        <v>0</v>
      </c>
      <c r="AD492" s="410">
        <v>0</v>
      </c>
      <c r="AE492" s="410">
        <v>0</v>
      </c>
      <c r="AF492" s="410">
        <v>0</v>
      </c>
      <c r="AG492" s="410">
        <v>0</v>
      </c>
      <c r="AH492" s="410">
        <v>0</v>
      </c>
      <c r="AI492" s="410">
        <v>0</v>
      </c>
      <c r="AJ492" s="410">
        <f>ROUND(W492*3234*0.03,2)</f>
        <v>158142.6</v>
      </c>
      <c r="AK492" s="410">
        <f>ROUND(W492*3234*0.015,2)</f>
        <v>79071.3</v>
      </c>
      <c r="AL492" s="410">
        <v>0</v>
      </c>
      <c r="AM492" s="446"/>
      <c r="AN492" s="446"/>
      <c r="AP492" s="486" t="e">
        <f t="shared" si="425"/>
        <v>#DIV/0!</v>
      </c>
      <c r="AQ492" s="486" t="e">
        <f t="shared" si="427"/>
        <v>#DIV/0!</v>
      </c>
      <c r="AR492" s="486" t="e">
        <f t="shared" si="428"/>
        <v>#DIV/0!</v>
      </c>
      <c r="AS492" s="486" t="e">
        <f t="shared" si="429"/>
        <v>#DIV/0!</v>
      </c>
      <c r="AT492" s="486" t="e">
        <f t="shared" si="430"/>
        <v>#DIV/0!</v>
      </c>
      <c r="AU492" s="486" t="e">
        <f t="shared" si="431"/>
        <v>#DIV/0!</v>
      </c>
      <c r="AV492" s="486" t="e">
        <f t="shared" si="432"/>
        <v>#DIV/0!</v>
      </c>
      <c r="AW492" s="486">
        <f t="shared" si="433"/>
        <v>3088.47</v>
      </c>
      <c r="AX492" s="486" t="e">
        <f t="shared" si="434"/>
        <v>#DIV/0!</v>
      </c>
      <c r="AY492" s="486" t="e">
        <f t="shared" si="435"/>
        <v>#DIV/0!</v>
      </c>
      <c r="AZ492" s="486" t="e">
        <f t="shared" si="436"/>
        <v>#DIV/0!</v>
      </c>
      <c r="BA492" s="486">
        <f t="shared" si="426"/>
        <v>0</v>
      </c>
      <c r="BB492" s="494">
        <v>5155.41</v>
      </c>
      <c r="BC492" s="494">
        <v>2070.12</v>
      </c>
      <c r="BD492" s="494">
        <v>848.92</v>
      </c>
      <c r="BE492" s="494">
        <v>819.73</v>
      </c>
      <c r="BF492" s="494">
        <v>611.5</v>
      </c>
      <c r="BG492" s="494">
        <v>1080.04</v>
      </c>
      <c r="BH492" s="494">
        <v>2671800.0099999998</v>
      </c>
      <c r="BI492" s="494">
        <f t="shared" si="449"/>
        <v>4422.8500000000004</v>
      </c>
      <c r="BJ492" s="494">
        <v>14289.54</v>
      </c>
      <c r="BK492" s="494">
        <v>3389.61</v>
      </c>
      <c r="BL492" s="494">
        <v>5995.76</v>
      </c>
      <c r="BM492" s="494">
        <v>548.62</v>
      </c>
      <c r="BN492" s="495" t="e">
        <f t="shared" si="437"/>
        <v>#DIV/0!</v>
      </c>
      <c r="BO492" s="495" t="e">
        <f t="shared" si="438"/>
        <v>#DIV/0!</v>
      </c>
      <c r="BP492" s="495" t="e">
        <f t="shared" si="439"/>
        <v>#DIV/0!</v>
      </c>
      <c r="BQ492" s="495" t="e">
        <f t="shared" si="440"/>
        <v>#DIV/0!</v>
      </c>
      <c r="BR492" s="495" t="e">
        <f t="shared" si="441"/>
        <v>#DIV/0!</v>
      </c>
      <c r="BS492" s="495" t="e">
        <f t="shared" si="442"/>
        <v>#DIV/0!</v>
      </c>
      <c r="BT492" s="495" t="e">
        <f t="shared" si="443"/>
        <v>#DIV/0!</v>
      </c>
      <c r="BU492" s="495" t="str">
        <f t="shared" si="444"/>
        <v xml:space="preserve"> </v>
      </c>
      <c r="BV492" s="495" t="e">
        <f t="shared" si="445"/>
        <v>#DIV/0!</v>
      </c>
      <c r="BW492" s="495" t="e">
        <f t="shared" si="446"/>
        <v>#DIV/0!</v>
      </c>
      <c r="BX492" s="495" t="e">
        <f t="shared" si="447"/>
        <v>#DIV/0!</v>
      </c>
      <c r="BY492" s="495" t="str">
        <f t="shared" si="448"/>
        <v xml:space="preserve"> </v>
      </c>
    </row>
    <row r="493" spans="1:77" s="28" customFormat="1" ht="23.25" customHeight="1">
      <c r="A493" s="954" t="s">
        <v>109</v>
      </c>
      <c r="B493" s="954"/>
      <c r="C493" s="407">
        <f>SUM(C361:C492)</f>
        <v>510810.73</v>
      </c>
      <c r="D493" s="396"/>
      <c r="E493" s="407" t="s">
        <v>391</v>
      </c>
      <c r="F493" s="249"/>
      <c r="G493" s="249"/>
      <c r="H493" s="407">
        <f>SUM(H361:H492)</f>
        <v>521876480.58999997</v>
      </c>
      <c r="I493" s="407">
        <f t="shared" ref="I493:AL493" si="451">SUM(I361:I492)</f>
        <v>16469803.83</v>
      </c>
      <c r="J493" s="407">
        <f t="shared" si="451"/>
        <v>1168705.1299999999</v>
      </c>
      <c r="K493" s="407">
        <f t="shared" si="451"/>
        <v>0</v>
      </c>
      <c r="L493" s="407">
        <f t="shared" si="451"/>
        <v>11454843</v>
      </c>
      <c r="M493" s="407">
        <f t="shared" si="451"/>
        <v>0</v>
      </c>
      <c r="N493" s="407">
        <f t="shared" si="451"/>
        <v>957232.67</v>
      </c>
      <c r="O493" s="407">
        <f t="shared" si="451"/>
        <v>0</v>
      </c>
      <c r="P493" s="407">
        <f t="shared" si="451"/>
        <v>1341278.3999999999</v>
      </c>
      <c r="Q493" s="407">
        <f t="shared" si="451"/>
        <v>0</v>
      </c>
      <c r="R493" s="407">
        <f t="shared" si="451"/>
        <v>852838.88</v>
      </c>
      <c r="S493" s="407">
        <f t="shared" si="451"/>
        <v>0</v>
      </c>
      <c r="T493" s="407">
        <f t="shared" si="451"/>
        <v>694905.75</v>
      </c>
      <c r="U493" s="130">
        <f t="shared" si="451"/>
        <v>9</v>
      </c>
      <c r="V493" s="407">
        <f t="shared" si="451"/>
        <v>16877114.490000002</v>
      </c>
      <c r="W493" s="407">
        <f t="shared" si="451"/>
        <v>146041.90000000002</v>
      </c>
      <c r="X493" s="407">
        <f t="shared" si="451"/>
        <v>461962717.81999993</v>
      </c>
      <c r="Y493" s="407">
        <f t="shared" si="451"/>
        <v>0</v>
      </c>
      <c r="Z493" s="407">
        <f t="shared" si="451"/>
        <v>0</v>
      </c>
      <c r="AA493" s="407">
        <f t="shared" si="451"/>
        <v>0</v>
      </c>
      <c r="AB493" s="407">
        <f t="shared" si="451"/>
        <v>0</v>
      </c>
      <c r="AC493" s="407">
        <f t="shared" si="451"/>
        <v>0</v>
      </c>
      <c r="AD493" s="407">
        <f t="shared" si="451"/>
        <v>0</v>
      </c>
      <c r="AE493" s="407">
        <f t="shared" si="451"/>
        <v>0</v>
      </c>
      <c r="AF493" s="407">
        <f t="shared" si="451"/>
        <v>0</v>
      </c>
      <c r="AG493" s="407">
        <f t="shared" si="451"/>
        <v>0</v>
      </c>
      <c r="AH493" s="407">
        <f t="shared" si="451"/>
        <v>0</v>
      </c>
      <c r="AI493" s="407">
        <f t="shared" si="451"/>
        <v>3082402.8</v>
      </c>
      <c r="AJ493" s="407">
        <f t="shared" si="451"/>
        <v>15656294.42</v>
      </c>
      <c r="AK493" s="407">
        <f t="shared" si="451"/>
        <v>7828147.2199999997</v>
      </c>
      <c r="AL493" s="407">
        <f t="shared" si="451"/>
        <v>0</v>
      </c>
      <c r="AM493" s="280"/>
      <c r="AN493" s="280"/>
      <c r="AP493" s="486" t="e">
        <f t="shared" si="425"/>
        <v>#DIV/0!</v>
      </c>
      <c r="AQ493" s="486" t="e">
        <f t="shared" si="427"/>
        <v>#DIV/0!</v>
      </c>
      <c r="AR493" s="497" t="e">
        <f t="shared" si="428"/>
        <v>#DIV/0!</v>
      </c>
      <c r="AS493" s="497" t="e">
        <f t="shared" si="429"/>
        <v>#DIV/0!</v>
      </c>
      <c r="AT493" s="497" t="e">
        <f t="shared" si="430"/>
        <v>#DIV/0!</v>
      </c>
      <c r="AU493" s="497" t="e">
        <f t="shared" si="431"/>
        <v>#DIV/0!</v>
      </c>
      <c r="AV493" s="497">
        <f t="shared" si="432"/>
        <v>1875234.9433333336</v>
      </c>
      <c r="AW493" s="497">
        <f t="shared" si="433"/>
        <v>3163.2204033226071</v>
      </c>
      <c r="AX493" s="497" t="e">
        <f t="shared" si="434"/>
        <v>#DIV/0!</v>
      </c>
      <c r="AY493" s="486" t="e">
        <f t="shared" si="435"/>
        <v>#DIV/0!</v>
      </c>
      <c r="AZ493" s="497" t="e">
        <f t="shared" si="436"/>
        <v>#DIV/0!</v>
      </c>
      <c r="BA493" s="486">
        <f t="shared" si="426"/>
        <v>6.0343344784476241</v>
      </c>
      <c r="BB493" s="494">
        <v>5155.41</v>
      </c>
      <c r="BC493" s="494">
        <v>2070.12</v>
      </c>
      <c r="BD493" s="494">
        <v>848.92</v>
      </c>
      <c r="BE493" s="494">
        <v>819.73</v>
      </c>
      <c r="BF493" s="494">
        <v>611.5</v>
      </c>
      <c r="BG493" s="494">
        <v>1080.04</v>
      </c>
      <c r="BH493" s="494">
        <v>2671800.0099999998</v>
      </c>
      <c r="BI493" s="494">
        <f t="shared" si="449"/>
        <v>4422.8500000000004</v>
      </c>
      <c r="BJ493" s="494">
        <v>14289.54</v>
      </c>
      <c r="BK493" s="494">
        <v>3389.61</v>
      </c>
      <c r="BL493" s="494">
        <v>5995.76</v>
      </c>
      <c r="BM493" s="494">
        <v>548.62</v>
      </c>
      <c r="BN493" s="493" t="e">
        <f t="shared" si="437"/>
        <v>#DIV/0!</v>
      </c>
      <c r="BO493" s="493" t="e">
        <f t="shared" si="438"/>
        <v>#DIV/0!</v>
      </c>
      <c r="BP493" s="493" t="e">
        <f t="shared" si="439"/>
        <v>#DIV/0!</v>
      </c>
      <c r="BQ493" s="493" t="e">
        <f t="shared" si="440"/>
        <v>#DIV/0!</v>
      </c>
      <c r="BR493" s="493" t="e">
        <f t="shared" si="441"/>
        <v>#DIV/0!</v>
      </c>
      <c r="BS493" s="493" t="e">
        <f t="shared" si="442"/>
        <v>#DIV/0!</v>
      </c>
      <c r="BT493" s="493" t="str">
        <f t="shared" si="443"/>
        <v xml:space="preserve"> </v>
      </c>
      <c r="BU493" s="493" t="str">
        <f t="shared" si="444"/>
        <v xml:space="preserve"> </v>
      </c>
      <c r="BV493" s="493" t="e">
        <f t="shared" si="445"/>
        <v>#DIV/0!</v>
      </c>
      <c r="BW493" s="493" t="e">
        <f t="shared" si="446"/>
        <v>#DIV/0!</v>
      </c>
      <c r="BX493" s="493" t="e">
        <f t="shared" si="447"/>
        <v>#DIV/0!</v>
      </c>
      <c r="BY493" s="493" t="str">
        <f t="shared" si="448"/>
        <v xml:space="preserve"> </v>
      </c>
    </row>
    <row r="494" spans="1:77" s="28" customFormat="1" ht="15" customHeight="1">
      <c r="A494" s="837" t="s">
        <v>221</v>
      </c>
      <c r="B494" s="838"/>
      <c r="C494" s="838"/>
      <c r="D494" s="838"/>
      <c r="E494" s="838"/>
      <c r="F494" s="838"/>
      <c r="G494" s="838"/>
      <c r="H494" s="838"/>
      <c r="I494" s="838"/>
      <c r="J494" s="838"/>
      <c r="K494" s="838"/>
      <c r="L494" s="838"/>
      <c r="M494" s="838"/>
      <c r="N494" s="838"/>
      <c r="O494" s="838"/>
      <c r="P494" s="838"/>
      <c r="Q494" s="838"/>
      <c r="R494" s="838"/>
      <c r="S494" s="838"/>
      <c r="T494" s="838"/>
      <c r="U494" s="838"/>
      <c r="V494" s="838"/>
      <c r="W494" s="838"/>
      <c r="X494" s="838"/>
      <c r="Y494" s="838"/>
      <c r="Z494" s="838"/>
      <c r="AA494" s="838"/>
      <c r="AB494" s="838"/>
      <c r="AC494" s="838"/>
      <c r="AD494" s="838"/>
      <c r="AE494" s="838"/>
      <c r="AF494" s="838"/>
      <c r="AG494" s="838"/>
      <c r="AH494" s="838"/>
      <c r="AI494" s="838"/>
      <c r="AJ494" s="838"/>
      <c r="AK494" s="838"/>
      <c r="AL494" s="839"/>
      <c r="AM494" s="280"/>
      <c r="AN494" s="280"/>
      <c r="AP494" s="486" t="e">
        <f t="shared" si="425"/>
        <v>#DIV/0!</v>
      </c>
      <c r="AQ494" s="486" t="e">
        <f t="shared" si="427"/>
        <v>#DIV/0!</v>
      </c>
      <c r="AR494" s="497" t="e">
        <f t="shared" si="428"/>
        <v>#DIV/0!</v>
      </c>
      <c r="AS494" s="497" t="e">
        <f t="shared" si="429"/>
        <v>#DIV/0!</v>
      </c>
      <c r="AT494" s="497" t="e">
        <f t="shared" si="430"/>
        <v>#DIV/0!</v>
      </c>
      <c r="AU494" s="497" t="e">
        <f t="shared" si="431"/>
        <v>#DIV/0!</v>
      </c>
      <c r="AV494" s="497" t="e">
        <f t="shared" si="432"/>
        <v>#DIV/0!</v>
      </c>
      <c r="AW494" s="497" t="e">
        <f t="shared" si="433"/>
        <v>#DIV/0!</v>
      </c>
      <c r="AX494" s="497" t="e">
        <f t="shared" si="434"/>
        <v>#DIV/0!</v>
      </c>
      <c r="AY494" s="486" t="e">
        <f t="shared" si="435"/>
        <v>#DIV/0!</v>
      </c>
      <c r="AZ494" s="497" t="e">
        <f t="shared" si="436"/>
        <v>#DIV/0!</v>
      </c>
      <c r="BA494" s="486" t="e">
        <f t="shared" si="426"/>
        <v>#DIV/0!</v>
      </c>
      <c r="BB494" s="494">
        <v>5155.41</v>
      </c>
      <c r="BC494" s="494">
        <v>2070.12</v>
      </c>
      <c r="BD494" s="494">
        <v>848.92</v>
      </c>
      <c r="BE494" s="494">
        <v>819.73</v>
      </c>
      <c r="BF494" s="494">
        <v>611.5</v>
      </c>
      <c r="BG494" s="494">
        <v>1080.04</v>
      </c>
      <c r="BH494" s="494">
        <v>2671800.0099999998</v>
      </c>
      <c r="BI494" s="494">
        <f t="shared" si="449"/>
        <v>4422.8500000000004</v>
      </c>
      <c r="BJ494" s="494">
        <v>14289.54</v>
      </c>
      <c r="BK494" s="494">
        <v>3389.61</v>
      </c>
      <c r="BL494" s="494">
        <v>5995.76</v>
      </c>
      <c r="BM494" s="494">
        <v>548.62</v>
      </c>
      <c r="BN494" s="493" t="e">
        <f t="shared" si="437"/>
        <v>#DIV/0!</v>
      </c>
      <c r="BO494" s="493" t="e">
        <f t="shared" si="438"/>
        <v>#DIV/0!</v>
      </c>
      <c r="BP494" s="493" t="e">
        <f t="shared" si="439"/>
        <v>#DIV/0!</v>
      </c>
      <c r="BQ494" s="493" t="e">
        <f t="shared" si="440"/>
        <v>#DIV/0!</v>
      </c>
      <c r="BR494" s="493" t="e">
        <f t="shared" si="441"/>
        <v>#DIV/0!</v>
      </c>
      <c r="BS494" s="493" t="e">
        <f t="shared" si="442"/>
        <v>#DIV/0!</v>
      </c>
      <c r="BT494" s="493" t="e">
        <f t="shared" si="443"/>
        <v>#DIV/0!</v>
      </c>
      <c r="BU494" s="493" t="e">
        <f t="shared" si="444"/>
        <v>#DIV/0!</v>
      </c>
      <c r="BV494" s="493" t="e">
        <f t="shared" si="445"/>
        <v>#DIV/0!</v>
      </c>
      <c r="BW494" s="493" t="e">
        <f t="shared" si="446"/>
        <v>#DIV/0!</v>
      </c>
      <c r="BX494" s="493" t="e">
        <f t="shared" si="447"/>
        <v>#DIV/0!</v>
      </c>
      <c r="BY494" s="493" t="e">
        <f t="shared" si="448"/>
        <v>#DIV/0!</v>
      </c>
    </row>
    <row r="495" spans="1:77" s="28" customFormat="1" ht="9" customHeight="1">
      <c r="A495" s="278">
        <v>133</v>
      </c>
      <c r="B495" s="341" t="s">
        <v>755</v>
      </c>
      <c r="C495" s="474">
        <v>977.9</v>
      </c>
      <c r="D495" s="376"/>
      <c r="E495" s="417" t="s">
        <v>1006</v>
      </c>
      <c r="F495" s="418"/>
      <c r="G495" s="418"/>
      <c r="H495" s="345">
        <v>1911940.8</v>
      </c>
      <c r="I495" s="407">
        <f t="shared" ref="I495:I496" si="452">J495+L495+N495+P495+R495+T495</f>
        <v>0</v>
      </c>
      <c r="J495" s="217">
        <v>0</v>
      </c>
      <c r="K495" s="469">
        <v>0</v>
      </c>
      <c r="L495" s="217">
        <v>0</v>
      </c>
      <c r="M495" s="469">
        <v>0</v>
      </c>
      <c r="N495" s="217">
        <v>0</v>
      </c>
      <c r="O495" s="249">
        <v>0</v>
      </c>
      <c r="P495" s="407">
        <v>0</v>
      </c>
      <c r="Q495" s="249">
        <v>0</v>
      </c>
      <c r="R495" s="407">
        <v>0</v>
      </c>
      <c r="S495" s="249">
        <v>0</v>
      </c>
      <c r="T495" s="407">
        <v>0</v>
      </c>
      <c r="U495" s="130">
        <v>0</v>
      </c>
      <c r="V495" s="407">
        <v>0</v>
      </c>
      <c r="W495" s="410">
        <v>591.1</v>
      </c>
      <c r="X495" s="407">
        <f>ROUND(H495/100*95.5+0.01,2)</f>
        <v>1825903.47</v>
      </c>
      <c r="Y495" s="410">
        <v>0</v>
      </c>
      <c r="Z495" s="410">
        <v>0</v>
      </c>
      <c r="AA495" s="410">
        <v>0</v>
      </c>
      <c r="AB495" s="410">
        <v>0</v>
      </c>
      <c r="AC495" s="410">
        <v>0</v>
      </c>
      <c r="AD495" s="410">
        <v>0</v>
      </c>
      <c r="AE495" s="410">
        <v>0</v>
      </c>
      <c r="AF495" s="410">
        <v>0</v>
      </c>
      <c r="AG495" s="410">
        <v>0</v>
      </c>
      <c r="AH495" s="410">
        <v>0</v>
      </c>
      <c r="AI495" s="410">
        <v>0</v>
      </c>
      <c r="AJ495" s="410">
        <f t="shared" ref="AJ495:AJ496" si="453">ROUND(H495/100*3,2)</f>
        <v>57358.22</v>
      </c>
      <c r="AK495" s="410">
        <f t="shared" ref="AK495:AK496" si="454">ROUND(H495/100*1.5,2)</f>
        <v>28679.11</v>
      </c>
      <c r="AL495" s="410">
        <v>0</v>
      </c>
      <c r="AM495" s="446"/>
      <c r="AN495" s="446"/>
      <c r="AP495" s="486" t="e">
        <f t="shared" si="425"/>
        <v>#DIV/0!</v>
      </c>
      <c r="AQ495" s="486" t="e">
        <f t="shared" si="427"/>
        <v>#DIV/0!</v>
      </c>
      <c r="AR495" s="486" t="e">
        <f t="shared" si="428"/>
        <v>#DIV/0!</v>
      </c>
      <c r="AS495" s="486" t="e">
        <f t="shared" si="429"/>
        <v>#DIV/0!</v>
      </c>
      <c r="AT495" s="486" t="e">
        <f t="shared" si="430"/>
        <v>#DIV/0!</v>
      </c>
      <c r="AU495" s="486" t="e">
        <f t="shared" si="431"/>
        <v>#DIV/0!</v>
      </c>
      <c r="AV495" s="486" t="e">
        <f t="shared" si="432"/>
        <v>#DIV/0!</v>
      </c>
      <c r="AW495" s="486">
        <f t="shared" si="433"/>
        <v>3088.9925054982236</v>
      </c>
      <c r="AX495" s="486" t="e">
        <f t="shared" si="434"/>
        <v>#DIV/0!</v>
      </c>
      <c r="AY495" s="486" t="e">
        <f t="shared" si="435"/>
        <v>#DIV/0!</v>
      </c>
      <c r="AZ495" s="486" t="e">
        <f t="shared" si="436"/>
        <v>#DIV/0!</v>
      </c>
      <c r="BA495" s="486">
        <f t="shared" si="426"/>
        <v>0</v>
      </c>
      <c r="BB495" s="494">
        <v>5155.41</v>
      </c>
      <c r="BC495" s="494">
        <v>2070.12</v>
      </c>
      <c r="BD495" s="494">
        <v>848.92</v>
      </c>
      <c r="BE495" s="494">
        <v>819.73</v>
      </c>
      <c r="BF495" s="494">
        <v>611.5</v>
      </c>
      <c r="BG495" s="494">
        <v>1080.04</v>
      </c>
      <c r="BH495" s="494">
        <v>2671800.0099999998</v>
      </c>
      <c r="BI495" s="494">
        <f t="shared" si="449"/>
        <v>4422.8500000000004</v>
      </c>
      <c r="BJ495" s="494">
        <v>14289.54</v>
      </c>
      <c r="BK495" s="494">
        <v>3389.61</v>
      </c>
      <c r="BL495" s="494">
        <v>5995.76</v>
      </c>
      <c r="BM495" s="494">
        <v>548.62</v>
      </c>
      <c r="BN495" s="495" t="e">
        <f t="shared" si="437"/>
        <v>#DIV/0!</v>
      </c>
      <c r="BO495" s="495" t="e">
        <f t="shared" si="438"/>
        <v>#DIV/0!</v>
      </c>
      <c r="BP495" s="495" t="e">
        <f t="shared" si="439"/>
        <v>#DIV/0!</v>
      </c>
      <c r="BQ495" s="495" t="e">
        <f t="shared" si="440"/>
        <v>#DIV/0!</v>
      </c>
      <c r="BR495" s="495" t="e">
        <f t="shared" si="441"/>
        <v>#DIV/0!</v>
      </c>
      <c r="BS495" s="495" t="e">
        <f t="shared" si="442"/>
        <v>#DIV/0!</v>
      </c>
      <c r="BT495" s="495" t="e">
        <f t="shared" si="443"/>
        <v>#DIV/0!</v>
      </c>
      <c r="BU495" s="495" t="str">
        <f t="shared" si="444"/>
        <v xml:space="preserve"> </v>
      </c>
      <c r="BV495" s="495" t="e">
        <f t="shared" si="445"/>
        <v>#DIV/0!</v>
      </c>
      <c r="BW495" s="495" t="e">
        <f t="shared" si="446"/>
        <v>#DIV/0!</v>
      </c>
      <c r="BX495" s="495" t="e">
        <f t="shared" si="447"/>
        <v>#DIV/0!</v>
      </c>
      <c r="BY495" s="495" t="str">
        <f t="shared" si="448"/>
        <v xml:space="preserve"> </v>
      </c>
    </row>
    <row r="496" spans="1:77" s="28" customFormat="1" ht="9" customHeight="1">
      <c r="A496" s="278">
        <v>134</v>
      </c>
      <c r="B496" s="341" t="s">
        <v>756</v>
      </c>
      <c r="C496" s="474">
        <v>2743.8</v>
      </c>
      <c r="D496" s="376"/>
      <c r="E496" s="417" t="s">
        <v>1005</v>
      </c>
      <c r="F496" s="418"/>
      <c r="G496" s="418"/>
      <c r="H496" s="345">
        <v>3638727.6</v>
      </c>
      <c r="I496" s="407">
        <f t="shared" si="452"/>
        <v>0</v>
      </c>
      <c r="J496" s="217">
        <v>0</v>
      </c>
      <c r="K496" s="469">
        <v>0</v>
      </c>
      <c r="L496" s="217">
        <v>0</v>
      </c>
      <c r="M496" s="469">
        <v>0</v>
      </c>
      <c r="N496" s="217">
        <v>0</v>
      </c>
      <c r="O496" s="249">
        <v>0</v>
      </c>
      <c r="P496" s="407">
        <v>0</v>
      </c>
      <c r="Q496" s="249">
        <v>0</v>
      </c>
      <c r="R496" s="407">
        <v>0</v>
      </c>
      <c r="S496" s="249">
        <v>0</v>
      </c>
      <c r="T496" s="407">
        <v>0</v>
      </c>
      <c r="U496" s="130">
        <v>0</v>
      </c>
      <c r="V496" s="407">
        <v>0</v>
      </c>
      <c r="W496" s="410">
        <v>843.7</v>
      </c>
      <c r="X496" s="407">
        <f t="shared" ref="X496" si="455">ROUND(H496/100*95.5,2)</f>
        <v>3474984.86</v>
      </c>
      <c r="Y496" s="410">
        <v>0</v>
      </c>
      <c r="Z496" s="410">
        <v>0</v>
      </c>
      <c r="AA496" s="410">
        <v>0</v>
      </c>
      <c r="AB496" s="410">
        <v>0</v>
      </c>
      <c r="AC496" s="410">
        <v>0</v>
      </c>
      <c r="AD496" s="410">
        <v>0</v>
      </c>
      <c r="AE496" s="410">
        <v>0</v>
      </c>
      <c r="AF496" s="410">
        <v>0</v>
      </c>
      <c r="AG496" s="410">
        <v>0</v>
      </c>
      <c r="AH496" s="410">
        <v>0</v>
      </c>
      <c r="AI496" s="410">
        <v>0</v>
      </c>
      <c r="AJ496" s="410">
        <f t="shared" si="453"/>
        <v>109161.83</v>
      </c>
      <c r="AK496" s="410">
        <f t="shared" si="454"/>
        <v>54580.91</v>
      </c>
      <c r="AL496" s="410">
        <v>0</v>
      </c>
      <c r="AM496" s="446"/>
      <c r="AN496" s="446"/>
      <c r="AP496" s="486" t="e">
        <f t="shared" si="425"/>
        <v>#DIV/0!</v>
      </c>
      <c r="AQ496" s="486" t="e">
        <f t="shared" si="427"/>
        <v>#DIV/0!</v>
      </c>
      <c r="AR496" s="486" t="e">
        <f t="shared" si="428"/>
        <v>#DIV/0!</v>
      </c>
      <c r="AS496" s="486" t="e">
        <f t="shared" si="429"/>
        <v>#DIV/0!</v>
      </c>
      <c r="AT496" s="486" t="e">
        <f t="shared" si="430"/>
        <v>#DIV/0!</v>
      </c>
      <c r="AU496" s="486" t="e">
        <f t="shared" si="431"/>
        <v>#DIV/0!</v>
      </c>
      <c r="AV496" s="486" t="e">
        <f t="shared" si="432"/>
        <v>#DIV/0!</v>
      </c>
      <c r="AW496" s="486">
        <f t="shared" si="433"/>
        <v>4118.7446485717664</v>
      </c>
      <c r="AX496" s="486" t="e">
        <f t="shared" si="434"/>
        <v>#DIV/0!</v>
      </c>
      <c r="AY496" s="486" t="e">
        <f t="shared" si="435"/>
        <v>#DIV/0!</v>
      </c>
      <c r="AZ496" s="486" t="e">
        <f t="shared" si="436"/>
        <v>#DIV/0!</v>
      </c>
      <c r="BA496" s="486">
        <f t="shared" si="426"/>
        <v>0</v>
      </c>
      <c r="BB496" s="494">
        <v>5155.41</v>
      </c>
      <c r="BC496" s="494">
        <v>2070.12</v>
      </c>
      <c r="BD496" s="494">
        <v>848.92</v>
      </c>
      <c r="BE496" s="494">
        <v>819.73</v>
      </c>
      <c r="BF496" s="494">
        <v>611.5</v>
      </c>
      <c r="BG496" s="494">
        <v>1080.04</v>
      </c>
      <c r="BH496" s="494">
        <v>2671800.0099999998</v>
      </c>
      <c r="BI496" s="494">
        <f t="shared" si="449"/>
        <v>4607.6000000000004</v>
      </c>
      <c r="BJ496" s="494">
        <v>14289.54</v>
      </c>
      <c r="BK496" s="494">
        <v>3389.61</v>
      </c>
      <c r="BL496" s="494">
        <v>5995.76</v>
      </c>
      <c r="BM496" s="494">
        <v>548.62</v>
      </c>
      <c r="BN496" s="495" t="e">
        <f t="shared" si="437"/>
        <v>#DIV/0!</v>
      </c>
      <c r="BO496" s="495" t="e">
        <f t="shared" si="438"/>
        <v>#DIV/0!</v>
      </c>
      <c r="BP496" s="495" t="e">
        <f t="shared" si="439"/>
        <v>#DIV/0!</v>
      </c>
      <c r="BQ496" s="495" t="e">
        <f t="shared" si="440"/>
        <v>#DIV/0!</v>
      </c>
      <c r="BR496" s="495" t="e">
        <f t="shared" si="441"/>
        <v>#DIV/0!</v>
      </c>
      <c r="BS496" s="495" t="e">
        <f t="shared" si="442"/>
        <v>#DIV/0!</v>
      </c>
      <c r="BT496" s="495" t="e">
        <f t="shared" si="443"/>
        <v>#DIV/0!</v>
      </c>
      <c r="BU496" s="495" t="str">
        <f t="shared" si="444"/>
        <v xml:space="preserve"> </v>
      </c>
      <c r="BV496" s="495" t="e">
        <f t="shared" si="445"/>
        <v>#DIV/0!</v>
      </c>
      <c r="BW496" s="495" t="e">
        <f t="shared" si="446"/>
        <v>#DIV/0!</v>
      </c>
      <c r="BX496" s="495" t="e">
        <f t="shared" si="447"/>
        <v>#DIV/0!</v>
      </c>
      <c r="BY496" s="495" t="str">
        <f t="shared" si="448"/>
        <v xml:space="preserve"> </v>
      </c>
    </row>
    <row r="497" spans="1:77" s="28" customFormat="1" ht="9" customHeight="1">
      <c r="A497" s="406">
        <v>135</v>
      </c>
      <c r="B497" s="341" t="s">
        <v>757</v>
      </c>
      <c r="C497" s="474">
        <v>5959.5</v>
      </c>
      <c r="D497" s="376"/>
      <c r="E497" s="417" t="s">
        <v>1005</v>
      </c>
      <c r="F497" s="418"/>
      <c r="G497" s="418"/>
      <c r="H497" s="345">
        <v>6041208</v>
      </c>
      <c r="I497" s="407">
        <f t="shared" ref="I497:I501" si="456">J497+L497+N497+P497+R497+T497</f>
        <v>0</v>
      </c>
      <c r="J497" s="217">
        <v>0</v>
      </c>
      <c r="K497" s="469">
        <v>0</v>
      </c>
      <c r="L497" s="217">
        <v>0</v>
      </c>
      <c r="M497" s="469">
        <v>0</v>
      </c>
      <c r="N497" s="217">
        <v>0</v>
      </c>
      <c r="O497" s="249">
        <v>0</v>
      </c>
      <c r="P497" s="407">
        <v>0</v>
      </c>
      <c r="Q497" s="249">
        <v>0</v>
      </c>
      <c r="R497" s="407">
        <v>0</v>
      </c>
      <c r="S497" s="249">
        <v>0</v>
      </c>
      <c r="T497" s="407">
        <v>0</v>
      </c>
      <c r="U497" s="130">
        <v>0</v>
      </c>
      <c r="V497" s="407">
        <v>0</v>
      </c>
      <c r="W497" s="410">
        <v>2052.4</v>
      </c>
      <c r="X497" s="407">
        <f t="shared" ref="X497:X501" si="457">ROUND(H497/100*95.5,2)</f>
        <v>5769353.6399999997</v>
      </c>
      <c r="Y497" s="410">
        <v>0</v>
      </c>
      <c r="Z497" s="410">
        <v>0</v>
      </c>
      <c r="AA497" s="410">
        <v>0</v>
      </c>
      <c r="AB497" s="410">
        <v>0</v>
      </c>
      <c r="AC497" s="410">
        <v>0</v>
      </c>
      <c r="AD497" s="410">
        <v>0</v>
      </c>
      <c r="AE497" s="410">
        <v>0</v>
      </c>
      <c r="AF497" s="410">
        <v>0</v>
      </c>
      <c r="AG497" s="410">
        <v>0</v>
      </c>
      <c r="AH497" s="410">
        <v>0</v>
      </c>
      <c r="AI497" s="410">
        <v>0</v>
      </c>
      <c r="AJ497" s="410">
        <f t="shared" ref="AJ497:AJ501" si="458">ROUND(H497/100*3,2)</f>
        <v>181236.24</v>
      </c>
      <c r="AK497" s="410">
        <f t="shared" ref="AK497:AK501" si="459">ROUND(H497/100*1.5,2)</f>
        <v>90618.12</v>
      </c>
      <c r="AL497" s="410">
        <v>0</v>
      </c>
      <c r="AM497" s="446"/>
      <c r="AN497" s="446"/>
      <c r="AP497" s="486" t="e">
        <f t="shared" si="425"/>
        <v>#DIV/0!</v>
      </c>
      <c r="AQ497" s="486" t="e">
        <f t="shared" si="427"/>
        <v>#DIV/0!</v>
      </c>
      <c r="AR497" s="486" t="e">
        <f t="shared" si="428"/>
        <v>#DIV/0!</v>
      </c>
      <c r="AS497" s="486" t="e">
        <f t="shared" si="429"/>
        <v>#DIV/0!</v>
      </c>
      <c r="AT497" s="486" t="e">
        <f t="shared" si="430"/>
        <v>#DIV/0!</v>
      </c>
      <c r="AU497" s="486" t="e">
        <f t="shared" si="431"/>
        <v>#DIV/0!</v>
      </c>
      <c r="AV497" s="486" t="e">
        <f t="shared" si="432"/>
        <v>#DIV/0!</v>
      </c>
      <c r="AW497" s="486">
        <f t="shared" si="433"/>
        <v>2811.027889300331</v>
      </c>
      <c r="AX497" s="486" t="e">
        <f t="shared" si="434"/>
        <v>#DIV/0!</v>
      </c>
      <c r="AY497" s="486" t="e">
        <f t="shared" si="435"/>
        <v>#DIV/0!</v>
      </c>
      <c r="AZ497" s="486" t="e">
        <f t="shared" si="436"/>
        <v>#DIV/0!</v>
      </c>
      <c r="BA497" s="486">
        <f t="shared" si="426"/>
        <v>0</v>
      </c>
      <c r="BB497" s="494">
        <v>5155.41</v>
      </c>
      <c r="BC497" s="494">
        <v>2070.12</v>
      </c>
      <c r="BD497" s="494">
        <v>848.92</v>
      </c>
      <c r="BE497" s="494">
        <v>819.73</v>
      </c>
      <c r="BF497" s="494">
        <v>611.5</v>
      </c>
      <c r="BG497" s="494">
        <v>1080.04</v>
      </c>
      <c r="BH497" s="494">
        <v>2671800.0099999998</v>
      </c>
      <c r="BI497" s="494">
        <f t="shared" si="449"/>
        <v>4607.6000000000004</v>
      </c>
      <c r="BJ497" s="494">
        <v>14289.54</v>
      </c>
      <c r="BK497" s="494">
        <v>3389.61</v>
      </c>
      <c r="BL497" s="494">
        <v>5995.76</v>
      </c>
      <c r="BM497" s="494">
        <v>548.62</v>
      </c>
      <c r="BN497" s="495" t="e">
        <f t="shared" si="437"/>
        <v>#DIV/0!</v>
      </c>
      <c r="BO497" s="495" t="e">
        <f t="shared" si="438"/>
        <v>#DIV/0!</v>
      </c>
      <c r="BP497" s="495" t="e">
        <f t="shared" si="439"/>
        <v>#DIV/0!</v>
      </c>
      <c r="BQ497" s="495" t="e">
        <f t="shared" si="440"/>
        <v>#DIV/0!</v>
      </c>
      <c r="BR497" s="495" t="e">
        <f t="shared" si="441"/>
        <v>#DIV/0!</v>
      </c>
      <c r="BS497" s="495" t="e">
        <f t="shared" si="442"/>
        <v>#DIV/0!</v>
      </c>
      <c r="BT497" s="495" t="e">
        <f t="shared" si="443"/>
        <v>#DIV/0!</v>
      </c>
      <c r="BU497" s="495" t="str">
        <f t="shared" si="444"/>
        <v xml:space="preserve"> </v>
      </c>
      <c r="BV497" s="495" t="e">
        <f t="shared" si="445"/>
        <v>#DIV/0!</v>
      </c>
      <c r="BW497" s="495" t="e">
        <f t="shared" si="446"/>
        <v>#DIV/0!</v>
      </c>
      <c r="BX497" s="495" t="e">
        <f t="shared" si="447"/>
        <v>#DIV/0!</v>
      </c>
      <c r="BY497" s="495" t="str">
        <f t="shared" si="448"/>
        <v xml:space="preserve"> </v>
      </c>
    </row>
    <row r="498" spans="1:77" s="28" customFormat="1" ht="9" customHeight="1">
      <c r="A498" s="406">
        <v>136</v>
      </c>
      <c r="B498" s="341" t="s">
        <v>758</v>
      </c>
      <c r="C498" s="474">
        <v>5145.8</v>
      </c>
      <c r="D498" s="376"/>
      <c r="E498" s="417" t="s">
        <v>1005</v>
      </c>
      <c r="F498" s="418"/>
      <c r="G498" s="418"/>
      <c r="H498" s="345">
        <v>4940988</v>
      </c>
      <c r="I498" s="407">
        <f t="shared" si="456"/>
        <v>0</v>
      </c>
      <c r="J498" s="217">
        <v>0</v>
      </c>
      <c r="K498" s="469">
        <v>0</v>
      </c>
      <c r="L498" s="217">
        <v>0</v>
      </c>
      <c r="M498" s="469">
        <v>0</v>
      </c>
      <c r="N498" s="217">
        <v>0</v>
      </c>
      <c r="O498" s="249">
        <v>0</v>
      </c>
      <c r="P498" s="407">
        <v>0</v>
      </c>
      <c r="Q498" s="249">
        <v>0</v>
      </c>
      <c r="R498" s="407">
        <v>0</v>
      </c>
      <c r="S498" s="249">
        <v>0</v>
      </c>
      <c r="T498" s="407">
        <v>0</v>
      </c>
      <c r="U498" s="130">
        <v>0</v>
      </c>
      <c r="V498" s="407">
        <v>0</v>
      </c>
      <c r="W498" s="410">
        <v>1832.9</v>
      </c>
      <c r="X498" s="407">
        <f t="shared" si="457"/>
        <v>4718643.54</v>
      </c>
      <c r="Y498" s="410">
        <v>0</v>
      </c>
      <c r="Z498" s="410">
        <v>0</v>
      </c>
      <c r="AA498" s="410">
        <v>0</v>
      </c>
      <c r="AB498" s="410">
        <v>0</v>
      </c>
      <c r="AC498" s="410">
        <v>0</v>
      </c>
      <c r="AD498" s="410">
        <v>0</v>
      </c>
      <c r="AE498" s="410">
        <v>0</v>
      </c>
      <c r="AF498" s="410">
        <v>0</v>
      </c>
      <c r="AG498" s="410">
        <v>0</v>
      </c>
      <c r="AH498" s="410">
        <v>0</v>
      </c>
      <c r="AI498" s="410">
        <v>0</v>
      </c>
      <c r="AJ498" s="410">
        <f t="shared" si="458"/>
        <v>148229.64000000001</v>
      </c>
      <c r="AK498" s="410">
        <f t="shared" si="459"/>
        <v>74114.820000000007</v>
      </c>
      <c r="AL498" s="410">
        <v>0</v>
      </c>
      <c r="AM498" s="446"/>
      <c r="AN498" s="446"/>
      <c r="AP498" s="486" t="e">
        <f t="shared" si="425"/>
        <v>#DIV/0!</v>
      </c>
      <c r="AQ498" s="486" t="e">
        <f t="shared" si="427"/>
        <v>#DIV/0!</v>
      </c>
      <c r="AR498" s="486" t="e">
        <f t="shared" si="428"/>
        <v>#DIV/0!</v>
      </c>
      <c r="AS498" s="486" t="e">
        <f t="shared" si="429"/>
        <v>#DIV/0!</v>
      </c>
      <c r="AT498" s="486" t="e">
        <f t="shared" si="430"/>
        <v>#DIV/0!</v>
      </c>
      <c r="AU498" s="486" t="e">
        <f t="shared" si="431"/>
        <v>#DIV/0!</v>
      </c>
      <c r="AV498" s="486" t="e">
        <f t="shared" si="432"/>
        <v>#DIV/0!</v>
      </c>
      <c r="AW498" s="486">
        <f t="shared" si="433"/>
        <v>2574.4140651426701</v>
      </c>
      <c r="AX498" s="486" t="e">
        <f t="shared" si="434"/>
        <v>#DIV/0!</v>
      </c>
      <c r="AY498" s="486" t="e">
        <f t="shared" si="435"/>
        <v>#DIV/0!</v>
      </c>
      <c r="AZ498" s="486" t="e">
        <f t="shared" si="436"/>
        <v>#DIV/0!</v>
      </c>
      <c r="BA498" s="486">
        <f t="shared" si="426"/>
        <v>0</v>
      </c>
      <c r="BB498" s="494">
        <v>5155.41</v>
      </c>
      <c r="BC498" s="494">
        <v>2070.12</v>
      </c>
      <c r="BD498" s="494">
        <v>848.92</v>
      </c>
      <c r="BE498" s="494">
        <v>819.73</v>
      </c>
      <c r="BF498" s="494">
        <v>611.5</v>
      </c>
      <c r="BG498" s="494">
        <v>1080.04</v>
      </c>
      <c r="BH498" s="494">
        <v>2671800.0099999998</v>
      </c>
      <c r="BI498" s="494">
        <f t="shared" si="449"/>
        <v>4607.6000000000004</v>
      </c>
      <c r="BJ498" s="494">
        <v>14289.54</v>
      </c>
      <c r="BK498" s="494">
        <v>3389.61</v>
      </c>
      <c r="BL498" s="494">
        <v>5995.76</v>
      </c>
      <c r="BM498" s="494">
        <v>548.62</v>
      </c>
      <c r="BN498" s="495" t="e">
        <f t="shared" si="437"/>
        <v>#DIV/0!</v>
      </c>
      <c r="BO498" s="495" t="e">
        <f t="shared" si="438"/>
        <v>#DIV/0!</v>
      </c>
      <c r="BP498" s="495" t="e">
        <f t="shared" si="439"/>
        <v>#DIV/0!</v>
      </c>
      <c r="BQ498" s="495" t="e">
        <f t="shared" si="440"/>
        <v>#DIV/0!</v>
      </c>
      <c r="BR498" s="495" t="e">
        <f t="shared" si="441"/>
        <v>#DIV/0!</v>
      </c>
      <c r="BS498" s="495" t="e">
        <f t="shared" si="442"/>
        <v>#DIV/0!</v>
      </c>
      <c r="BT498" s="495" t="e">
        <f t="shared" si="443"/>
        <v>#DIV/0!</v>
      </c>
      <c r="BU498" s="495" t="str">
        <f t="shared" si="444"/>
        <v xml:space="preserve"> </v>
      </c>
      <c r="BV498" s="495" t="e">
        <f t="shared" si="445"/>
        <v>#DIV/0!</v>
      </c>
      <c r="BW498" s="495" t="e">
        <f t="shared" si="446"/>
        <v>#DIV/0!</v>
      </c>
      <c r="BX498" s="495" t="e">
        <f t="shared" si="447"/>
        <v>#DIV/0!</v>
      </c>
      <c r="BY498" s="495" t="str">
        <f t="shared" si="448"/>
        <v xml:space="preserve"> </v>
      </c>
    </row>
    <row r="499" spans="1:77" s="28" customFormat="1" ht="9" customHeight="1">
      <c r="A499" s="406">
        <v>137</v>
      </c>
      <c r="B499" s="341" t="s">
        <v>759</v>
      </c>
      <c r="C499" s="474">
        <v>1529.4</v>
      </c>
      <c r="D499" s="376"/>
      <c r="E499" s="417" t="s">
        <v>1006</v>
      </c>
      <c r="F499" s="418"/>
      <c r="G499" s="418"/>
      <c r="H499" s="345">
        <v>3069066</v>
      </c>
      <c r="I499" s="407">
        <f t="shared" si="456"/>
        <v>0</v>
      </c>
      <c r="J499" s="217">
        <v>0</v>
      </c>
      <c r="K499" s="469">
        <v>0</v>
      </c>
      <c r="L499" s="217">
        <v>0</v>
      </c>
      <c r="M499" s="469">
        <v>0</v>
      </c>
      <c r="N499" s="217">
        <v>0</v>
      </c>
      <c r="O499" s="249">
        <v>0</v>
      </c>
      <c r="P499" s="407">
        <v>0</v>
      </c>
      <c r="Q499" s="249">
        <v>0</v>
      </c>
      <c r="R499" s="407">
        <v>0</v>
      </c>
      <c r="S499" s="249">
        <v>0</v>
      </c>
      <c r="T499" s="407">
        <v>0</v>
      </c>
      <c r="U499" s="130">
        <v>0</v>
      </c>
      <c r="V499" s="407">
        <v>0</v>
      </c>
      <c r="W499" s="410">
        <v>949.1</v>
      </c>
      <c r="X499" s="407">
        <f t="shared" si="457"/>
        <v>2930958.03</v>
      </c>
      <c r="Y499" s="410">
        <v>0</v>
      </c>
      <c r="Z499" s="410">
        <v>0</v>
      </c>
      <c r="AA499" s="410">
        <v>0</v>
      </c>
      <c r="AB499" s="410">
        <v>0</v>
      </c>
      <c r="AC499" s="410">
        <v>0</v>
      </c>
      <c r="AD499" s="410">
        <v>0</v>
      </c>
      <c r="AE499" s="410">
        <v>0</v>
      </c>
      <c r="AF499" s="410">
        <v>0</v>
      </c>
      <c r="AG499" s="410">
        <v>0</v>
      </c>
      <c r="AH499" s="410">
        <v>0</v>
      </c>
      <c r="AI499" s="410">
        <v>0</v>
      </c>
      <c r="AJ499" s="410">
        <f t="shared" si="458"/>
        <v>92071.98</v>
      </c>
      <c r="AK499" s="410">
        <f t="shared" si="459"/>
        <v>46035.99</v>
      </c>
      <c r="AL499" s="410">
        <v>0</v>
      </c>
      <c r="AM499" s="446"/>
      <c r="AN499" s="446"/>
      <c r="AP499" s="486" t="e">
        <f t="shared" si="425"/>
        <v>#DIV/0!</v>
      </c>
      <c r="AQ499" s="486" t="e">
        <f t="shared" si="427"/>
        <v>#DIV/0!</v>
      </c>
      <c r="AR499" s="486" t="e">
        <f t="shared" si="428"/>
        <v>#DIV/0!</v>
      </c>
      <c r="AS499" s="486" t="e">
        <f t="shared" si="429"/>
        <v>#DIV/0!</v>
      </c>
      <c r="AT499" s="486" t="e">
        <f t="shared" si="430"/>
        <v>#DIV/0!</v>
      </c>
      <c r="AU499" s="486" t="e">
        <f t="shared" si="431"/>
        <v>#DIV/0!</v>
      </c>
      <c r="AV499" s="486" t="e">
        <f t="shared" si="432"/>
        <v>#DIV/0!</v>
      </c>
      <c r="AW499" s="486">
        <f t="shared" si="433"/>
        <v>3088.1445896112104</v>
      </c>
      <c r="AX499" s="486" t="e">
        <f t="shared" si="434"/>
        <v>#DIV/0!</v>
      </c>
      <c r="AY499" s="486" t="e">
        <f t="shared" si="435"/>
        <v>#DIV/0!</v>
      </c>
      <c r="AZ499" s="486" t="e">
        <f t="shared" si="436"/>
        <v>#DIV/0!</v>
      </c>
      <c r="BA499" s="486">
        <f t="shared" si="426"/>
        <v>0</v>
      </c>
      <c r="BB499" s="494">
        <v>5155.41</v>
      </c>
      <c r="BC499" s="494">
        <v>2070.12</v>
      </c>
      <c r="BD499" s="494">
        <v>848.92</v>
      </c>
      <c r="BE499" s="494">
        <v>819.73</v>
      </c>
      <c r="BF499" s="494">
        <v>611.5</v>
      </c>
      <c r="BG499" s="494">
        <v>1080.04</v>
      </c>
      <c r="BH499" s="494">
        <v>2671800.0099999998</v>
      </c>
      <c r="BI499" s="494">
        <f t="shared" si="449"/>
        <v>4422.8500000000004</v>
      </c>
      <c r="BJ499" s="494">
        <v>14289.54</v>
      </c>
      <c r="BK499" s="494">
        <v>3389.61</v>
      </c>
      <c r="BL499" s="494">
        <v>5995.76</v>
      </c>
      <c r="BM499" s="494">
        <v>548.62</v>
      </c>
      <c r="BN499" s="495" t="e">
        <f t="shared" si="437"/>
        <v>#DIV/0!</v>
      </c>
      <c r="BO499" s="495" t="e">
        <f t="shared" si="438"/>
        <v>#DIV/0!</v>
      </c>
      <c r="BP499" s="495" t="e">
        <f t="shared" si="439"/>
        <v>#DIV/0!</v>
      </c>
      <c r="BQ499" s="495" t="e">
        <f t="shared" si="440"/>
        <v>#DIV/0!</v>
      </c>
      <c r="BR499" s="495" t="e">
        <f t="shared" si="441"/>
        <v>#DIV/0!</v>
      </c>
      <c r="BS499" s="495" t="e">
        <f t="shared" si="442"/>
        <v>#DIV/0!</v>
      </c>
      <c r="BT499" s="495" t="e">
        <f t="shared" si="443"/>
        <v>#DIV/0!</v>
      </c>
      <c r="BU499" s="495" t="str">
        <f t="shared" si="444"/>
        <v xml:space="preserve"> </v>
      </c>
      <c r="BV499" s="495" t="e">
        <f t="shared" si="445"/>
        <v>#DIV/0!</v>
      </c>
      <c r="BW499" s="495" t="e">
        <f t="shared" si="446"/>
        <v>#DIV/0!</v>
      </c>
      <c r="BX499" s="495" t="e">
        <f t="shared" si="447"/>
        <v>#DIV/0!</v>
      </c>
      <c r="BY499" s="495" t="str">
        <f t="shared" si="448"/>
        <v xml:space="preserve"> </v>
      </c>
    </row>
    <row r="500" spans="1:77" s="28" customFormat="1" ht="9" customHeight="1">
      <c r="A500" s="406">
        <v>138</v>
      </c>
      <c r="B500" s="341" t="s">
        <v>760</v>
      </c>
      <c r="C500" s="474">
        <v>1518.2</v>
      </c>
      <c r="D500" s="376"/>
      <c r="E500" s="417" t="s">
        <v>1006</v>
      </c>
      <c r="F500" s="418"/>
      <c r="G500" s="418"/>
      <c r="H500" s="345">
        <v>3069066</v>
      </c>
      <c r="I500" s="407">
        <f t="shared" si="456"/>
        <v>0</v>
      </c>
      <c r="J500" s="217">
        <v>0</v>
      </c>
      <c r="K500" s="469">
        <v>0</v>
      </c>
      <c r="L500" s="217">
        <v>0</v>
      </c>
      <c r="M500" s="469">
        <v>0</v>
      </c>
      <c r="N500" s="217">
        <v>0</v>
      </c>
      <c r="O500" s="249">
        <v>0</v>
      </c>
      <c r="P500" s="407">
        <v>0</v>
      </c>
      <c r="Q500" s="249">
        <v>0</v>
      </c>
      <c r="R500" s="407">
        <v>0</v>
      </c>
      <c r="S500" s="249">
        <v>0</v>
      </c>
      <c r="T500" s="407">
        <v>0</v>
      </c>
      <c r="U500" s="130">
        <v>0</v>
      </c>
      <c r="V500" s="407">
        <v>0</v>
      </c>
      <c r="W500" s="410">
        <v>949.2</v>
      </c>
      <c r="X500" s="407">
        <f t="shared" si="457"/>
        <v>2930958.03</v>
      </c>
      <c r="Y500" s="410">
        <v>0</v>
      </c>
      <c r="Z500" s="410">
        <v>0</v>
      </c>
      <c r="AA500" s="410">
        <v>0</v>
      </c>
      <c r="AB500" s="410">
        <v>0</v>
      </c>
      <c r="AC500" s="410">
        <v>0</v>
      </c>
      <c r="AD500" s="410">
        <v>0</v>
      </c>
      <c r="AE500" s="410">
        <v>0</v>
      </c>
      <c r="AF500" s="410">
        <v>0</v>
      </c>
      <c r="AG500" s="410">
        <v>0</v>
      </c>
      <c r="AH500" s="410">
        <v>0</v>
      </c>
      <c r="AI500" s="410">
        <v>0</v>
      </c>
      <c r="AJ500" s="410">
        <f t="shared" si="458"/>
        <v>92071.98</v>
      </c>
      <c r="AK500" s="410">
        <f t="shared" si="459"/>
        <v>46035.99</v>
      </c>
      <c r="AL500" s="410">
        <v>0</v>
      </c>
      <c r="AM500" s="446"/>
      <c r="AN500" s="446"/>
      <c r="AP500" s="486" t="e">
        <f t="shared" si="425"/>
        <v>#DIV/0!</v>
      </c>
      <c r="AQ500" s="486" t="e">
        <f t="shared" si="427"/>
        <v>#DIV/0!</v>
      </c>
      <c r="AR500" s="486" t="e">
        <f t="shared" si="428"/>
        <v>#DIV/0!</v>
      </c>
      <c r="AS500" s="486" t="e">
        <f t="shared" si="429"/>
        <v>#DIV/0!</v>
      </c>
      <c r="AT500" s="486" t="e">
        <f t="shared" si="430"/>
        <v>#DIV/0!</v>
      </c>
      <c r="AU500" s="486" t="e">
        <f t="shared" si="431"/>
        <v>#DIV/0!</v>
      </c>
      <c r="AV500" s="486" t="e">
        <f t="shared" si="432"/>
        <v>#DIV/0!</v>
      </c>
      <c r="AW500" s="486">
        <f t="shared" si="433"/>
        <v>3087.81924778761</v>
      </c>
      <c r="AX500" s="486" t="e">
        <f t="shared" si="434"/>
        <v>#DIV/0!</v>
      </c>
      <c r="AY500" s="486" t="e">
        <f t="shared" si="435"/>
        <v>#DIV/0!</v>
      </c>
      <c r="AZ500" s="486" t="e">
        <f t="shared" si="436"/>
        <v>#DIV/0!</v>
      </c>
      <c r="BA500" s="486">
        <f t="shared" si="426"/>
        <v>0</v>
      </c>
      <c r="BB500" s="494">
        <v>5155.41</v>
      </c>
      <c r="BC500" s="494">
        <v>2070.12</v>
      </c>
      <c r="BD500" s="494">
        <v>848.92</v>
      </c>
      <c r="BE500" s="494">
        <v>819.73</v>
      </c>
      <c r="BF500" s="494">
        <v>611.5</v>
      </c>
      <c r="BG500" s="494">
        <v>1080.04</v>
      </c>
      <c r="BH500" s="494">
        <v>2671800.0099999998</v>
      </c>
      <c r="BI500" s="494">
        <f t="shared" si="449"/>
        <v>4422.8500000000004</v>
      </c>
      <c r="BJ500" s="494">
        <v>14289.54</v>
      </c>
      <c r="BK500" s="494">
        <v>3389.61</v>
      </c>
      <c r="BL500" s="494">
        <v>5995.76</v>
      </c>
      <c r="BM500" s="494">
        <v>548.62</v>
      </c>
      <c r="BN500" s="495" t="e">
        <f t="shared" si="437"/>
        <v>#DIV/0!</v>
      </c>
      <c r="BO500" s="495" t="e">
        <f t="shared" si="438"/>
        <v>#DIV/0!</v>
      </c>
      <c r="BP500" s="495" t="e">
        <f t="shared" si="439"/>
        <v>#DIV/0!</v>
      </c>
      <c r="BQ500" s="495" t="e">
        <f t="shared" si="440"/>
        <v>#DIV/0!</v>
      </c>
      <c r="BR500" s="495" t="e">
        <f t="shared" si="441"/>
        <v>#DIV/0!</v>
      </c>
      <c r="BS500" s="495" t="e">
        <f t="shared" si="442"/>
        <v>#DIV/0!</v>
      </c>
      <c r="BT500" s="495" t="e">
        <f t="shared" si="443"/>
        <v>#DIV/0!</v>
      </c>
      <c r="BU500" s="495" t="str">
        <f t="shared" si="444"/>
        <v xml:space="preserve"> </v>
      </c>
      <c r="BV500" s="495" t="e">
        <f t="shared" si="445"/>
        <v>#DIV/0!</v>
      </c>
      <c r="BW500" s="495" t="e">
        <f t="shared" si="446"/>
        <v>#DIV/0!</v>
      </c>
      <c r="BX500" s="495" t="e">
        <f t="shared" si="447"/>
        <v>#DIV/0!</v>
      </c>
      <c r="BY500" s="495" t="str">
        <f t="shared" si="448"/>
        <v xml:space="preserve"> </v>
      </c>
    </row>
    <row r="501" spans="1:77" s="28" customFormat="1" ht="9" customHeight="1">
      <c r="A501" s="406">
        <v>139</v>
      </c>
      <c r="B501" s="341" t="s">
        <v>761</v>
      </c>
      <c r="C501" s="474">
        <v>1790.8</v>
      </c>
      <c r="D501" s="376"/>
      <c r="E501" s="417" t="s">
        <v>1006</v>
      </c>
      <c r="F501" s="418"/>
      <c r="G501" s="418"/>
      <c r="H501" s="345">
        <v>3654420</v>
      </c>
      <c r="I501" s="407">
        <f t="shared" si="456"/>
        <v>0</v>
      </c>
      <c r="J501" s="217">
        <v>0</v>
      </c>
      <c r="K501" s="469">
        <v>0</v>
      </c>
      <c r="L501" s="217">
        <v>0</v>
      </c>
      <c r="M501" s="469">
        <v>0</v>
      </c>
      <c r="N501" s="217">
        <v>0</v>
      </c>
      <c r="O501" s="249">
        <v>0</v>
      </c>
      <c r="P501" s="407">
        <v>0</v>
      </c>
      <c r="Q501" s="249">
        <v>0</v>
      </c>
      <c r="R501" s="407">
        <v>0</v>
      </c>
      <c r="S501" s="249">
        <v>0</v>
      </c>
      <c r="T501" s="407">
        <v>0</v>
      </c>
      <c r="U501" s="130">
        <v>0</v>
      </c>
      <c r="V501" s="407">
        <v>0</v>
      </c>
      <c r="W501" s="410">
        <v>1130</v>
      </c>
      <c r="X501" s="407">
        <f t="shared" si="457"/>
        <v>3489971.1</v>
      </c>
      <c r="Y501" s="410">
        <v>0</v>
      </c>
      <c r="Z501" s="410">
        <v>0</v>
      </c>
      <c r="AA501" s="410">
        <v>0</v>
      </c>
      <c r="AB501" s="410">
        <v>0</v>
      </c>
      <c r="AC501" s="410">
        <v>0</v>
      </c>
      <c r="AD501" s="410">
        <v>0</v>
      </c>
      <c r="AE501" s="410">
        <v>0</v>
      </c>
      <c r="AF501" s="410">
        <v>0</v>
      </c>
      <c r="AG501" s="410">
        <v>0</v>
      </c>
      <c r="AH501" s="410">
        <v>0</v>
      </c>
      <c r="AI501" s="410">
        <v>0</v>
      </c>
      <c r="AJ501" s="410">
        <f t="shared" si="458"/>
        <v>109632.6</v>
      </c>
      <c r="AK501" s="410">
        <f t="shared" si="459"/>
        <v>54816.3</v>
      </c>
      <c r="AL501" s="410">
        <v>0</v>
      </c>
      <c r="AM501" s="446"/>
      <c r="AN501" s="446"/>
      <c r="AP501" s="486" t="e">
        <f t="shared" si="425"/>
        <v>#DIV/0!</v>
      </c>
      <c r="AQ501" s="486" t="e">
        <f t="shared" si="427"/>
        <v>#DIV/0!</v>
      </c>
      <c r="AR501" s="486" t="e">
        <f t="shared" si="428"/>
        <v>#DIV/0!</v>
      </c>
      <c r="AS501" s="486" t="e">
        <f t="shared" si="429"/>
        <v>#DIV/0!</v>
      </c>
      <c r="AT501" s="486" t="e">
        <f t="shared" si="430"/>
        <v>#DIV/0!</v>
      </c>
      <c r="AU501" s="486" t="e">
        <f t="shared" si="431"/>
        <v>#DIV/0!</v>
      </c>
      <c r="AV501" s="486" t="e">
        <f t="shared" si="432"/>
        <v>#DIV/0!</v>
      </c>
      <c r="AW501" s="486">
        <f t="shared" si="433"/>
        <v>3088.4700000000003</v>
      </c>
      <c r="AX501" s="486" t="e">
        <f t="shared" si="434"/>
        <v>#DIV/0!</v>
      </c>
      <c r="AY501" s="486" t="e">
        <f t="shared" si="435"/>
        <v>#DIV/0!</v>
      </c>
      <c r="AZ501" s="486" t="e">
        <f t="shared" si="436"/>
        <v>#DIV/0!</v>
      </c>
      <c r="BA501" s="486">
        <f t="shared" si="426"/>
        <v>0</v>
      </c>
      <c r="BB501" s="494">
        <v>5155.41</v>
      </c>
      <c r="BC501" s="494">
        <v>2070.12</v>
      </c>
      <c r="BD501" s="494">
        <v>848.92</v>
      </c>
      <c r="BE501" s="494">
        <v>819.73</v>
      </c>
      <c r="BF501" s="494">
        <v>611.5</v>
      </c>
      <c r="BG501" s="494">
        <v>1080.04</v>
      </c>
      <c r="BH501" s="494">
        <v>2671800.0099999998</v>
      </c>
      <c r="BI501" s="494">
        <f t="shared" si="449"/>
        <v>4422.8500000000004</v>
      </c>
      <c r="BJ501" s="494">
        <v>14289.54</v>
      </c>
      <c r="BK501" s="494">
        <v>3389.61</v>
      </c>
      <c r="BL501" s="494">
        <v>5995.76</v>
      </c>
      <c r="BM501" s="494">
        <v>548.62</v>
      </c>
      <c r="BN501" s="495" t="e">
        <f t="shared" si="437"/>
        <v>#DIV/0!</v>
      </c>
      <c r="BO501" s="495" t="e">
        <f t="shared" si="438"/>
        <v>#DIV/0!</v>
      </c>
      <c r="BP501" s="495" t="e">
        <f t="shared" si="439"/>
        <v>#DIV/0!</v>
      </c>
      <c r="BQ501" s="495" t="e">
        <f t="shared" si="440"/>
        <v>#DIV/0!</v>
      </c>
      <c r="BR501" s="495" t="e">
        <f t="shared" si="441"/>
        <v>#DIV/0!</v>
      </c>
      <c r="BS501" s="495" t="e">
        <f t="shared" si="442"/>
        <v>#DIV/0!</v>
      </c>
      <c r="BT501" s="495" t="e">
        <f t="shared" si="443"/>
        <v>#DIV/0!</v>
      </c>
      <c r="BU501" s="495" t="str">
        <f t="shared" si="444"/>
        <v xml:space="preserve"> </v>
      </c>
      <c r="BV501" s="495" t="e">
        <f t="shared" si="445"/>
        <v>#DIV/0!</v>
      </c>
      <c r="BW501" s="495" t="e">
        <f t="shared" si="446"/>
        <v>#DIV/0!</v>
      </c>
      <c r="BX501" s="495" t="e">
        <f t="shared" si="447"/>
        <v>#DIV/0!</v>
      </c>
      <c r="BY501" s="495" t="str">
        <f t="shared" si="448"/>
        <v xml:space="preserve"> </v>
      </c>
    </row>
    <row r="502" spans="1:77" s="28" customFormat="1" ht="24.75" customHeight="1">
      <c r="A502" s="954" t="s">
        <v>222</v>
      </c>
      <c r="B502" s="954"/>
      <c r="C502" s="407">
        <f>SUM(C495:C501)</f>
        <v>19665.399999999998</v>
      </c>
      <c r="D502" s="396"/>
      <c r="E502" s="362" t="s">
        <v>391</v>
      </c>
      <c r="F502" s="374"/>
      <c r="G502" s="374"/>
      <c r="H502" s="407">
        <f>SUM(H495:H501)</f>
        <v>26325416.399999999</v>
      </c>
      <c r="I502" s="407">
        <f t="shared" ref="I502:AL502" si="460">SUM(I495:I501)</f>
        <v>0</v>
      </c>
      <c r="J502" s="407">
        <f t="shared" si="460"/>
        <v>0</v>
      </c>
      <c r="K502" s="407">
        <f t="shared" si="460"/>
        <v>0</v>
      </c>
      <c r="L502" s="407">
        <f t="shared" si="460"/>
        <v>0</v>
      </c>
      <c r="M502" s="407">
        <f t="shared" si="460"/>
        <v>0</v>
      </c>
      <c r="N502" s="407">
        <f t="shared" si="460"/>
        <v>0</v>
      </c>
      <c r="O502" s="407">
        <f t="shared" si="460"/>
        <v>0</v>
      </c>
      <c r="P502" s="407">
        <f t="shared" si="460"/>
        <v>0</v>
      </c>
      <c r="Q502" s="407">
        <f t="shared" si="460"/>
        <v>0</v>
      </c>
      <c r="R502" s="407">
        <f t="shared" si="460"/>
        <v>0</v>
      </c>
      <c r="S502" s="407">
        <f t="shared" si="460"/>
        <v>0</v>
      </c>
      <c r="T502" s="407">
        <f t="shared" si="460"/>
        <v>0</v>
      </c>
      <c r="U502" s="130">
        <f t="shared" si="460"/>
        <v>0</v>
      </c>
      <c r="V502" s="407">
        <f t="shared" si="460"/>
        <v>0</v>
      </c>
      <c r="W502" s="407">
        <f t="shared" si="460"/>
        <v>8348.4000000000015</v>
      </c>
      <c r="X502" s="407">
        <f t="shared" si="460"/>
        <v>25140772.670000002</v>
      </c>
      <c r="Y502" s="407">
        <f t="shared" si="460"/>
        <v>0</v>
      </c>
      <c r="Z502" s="407">
        <f t="shared" si="460"/>
        <v>0</v>
      </c>
      <c r="AA502" s="407">
        <f t="shared" si="460"/>
        <v>0</v>
      </c>
      <c r="AB502" s="407">
        <f t="shared" si="460"/>
        <v>0</v>
      </c>
      <c r="AC502" s="407">
        <f t="shared" si="460"/>
        <v>0</v>
      </c>
      <c r="AD502" s="407">
        <f t="shared" si="460"/>
        <v>0</v>
      </c>
      <c r="AE502" s="407">
        <f t="shared" si="460"/>
        <v>0</v>
      </c>
      <c r="AF502" s="407">
        <f t="shared" si="460"/>
        <v>0</v>
      </c>
      <c r="AG502" s="407">
        <f t="shared" si="460"/>
        <v>0</v>
      </c>
      <c r="AH502" s="407">
        <f t="shared" si="460"/>
        <v>0</v>
      </c>
      <c r="AI502" s="407">
        <f t="shared" si="460"/>
        <v>0</v>
      </c>
      <c r="AJ502" s="407">
        <f t="shared" si="460"/>
        <v>789762.49</v>
      </c>
      <c r="AK502" s="407">
        <f t="shared" si="460"/>
        <v>394881.24</v>
      </c>
      <c r="AL502" s="407">
        <f t="shared" si="460"/>
        <v>0</v>
      </c>
      <c r="AM502" s="280"/>
      <c r="AN502" s="280"/>
      <c r="AP502" s="486" t="e">
        <f t="shared" si="425"/>
        <v>#DIV/0!</v>
      </c>
      <c r="AQ502" s="486" t="e">
        <f t="shared" si="427"/>
        <v>#DIV/0!</v>
      </c>
      <c r="AR502" s="497" t="e">
        <f t="shared" si="428"/>
        <v>#DIV/0!</v>
      </c>
      <c r="AS502" s="497" t="e">
        <f t="shared" si="429"/>
        <v>#DIV/0!</v>
      </c>
      <c r="AT502" s="497" t="e">
        <f t="shared" si="430"/>
        <v>#DIV/0!</v>
      </c>
      <c r="AU502" s="497" t="e">
        <f t="shared" si="431"/>
        <v>#DIV/0!</v>
      </c>
      <c r="AV502" s="497" t="e">
        <f t="shared" si="432"/>
        <v>#DIV/0!</v>
      </c>
      <c r="AW502" s="497">
        <f t="shared" si="433"/>
        <v>3011.4480223755445</v>
      </c>
      <c r="AX502" s="497" t="e">
        <f t="shared" si="434"/>
        <v>#DIV/0!</v>
      </c>
      <c r="AY502" s="486" t="e">
        <f t="shared" si="435"/>
        <v>#DIV/0!</v>
      </c>
      <c r="AZ502" s="497" t="e">
        <f t="shared" si="436"/>
        <v>#DIV/0!</v>
      </c>
      <c r="BA502" s="486">
        <f t="shared" si="426"/>
        <v>0</v>
      </c>
      <c r="BB502" s="494">
        <v>5155.41</v>
      </c>
      <c r="BC502" s="494">
        <v>2070.12</v>
      </c>
      <c r="BD502" s="494">
        <v>848.92</v>
      </c>
      <c r="BE502" s="494">
        <v>819.73</v>
      </c>
      <c r="BF502" s="494">
        <v>611.5</v>
      </c>
      <c r="BG502" s="494">
        <v>1080.04</v>
      </c>
      <c r="BH502" s="494">
        <v>2671800.0099999998</v>
      </c>
      <c r="BI502" s="494">
        <f t="shared" si="449"/>
        <v>4422.8500000000004</v>
      </c>
      <c r="BJ502" s="494">
        <v>14289.54</v>
      </c>
      <c r="BK502" s="494">
        <v>3389.61</v>
      </c>
      <c r="BL502" s="494">
        <v>5995.76</v>
      </c>
      <c r="BM502" s="494">
        <v>548.62</v>
      </c>
      <c r="BN502" s="493" t="e">
        <f t="shared" si="437"/>
        <v>#DIV/0!</v>
      </c>
      <c r="BO502" s="493" t="e">
        <f t="shared" si="438"/>
        <v>#DIV/0!</v>
      </c>
      <c r="BP502" s="493" t="e">
        <f t="shared" si="439"/>
        <v>#DIV/0!</v>
      </c>
      <c r="BQ502" s="493" t="e">
        <f t="shared" si="440"/>
        <v>#DIV/0!</v>
      </c>
      <c r="BR502" s="493" t="e">
        <f t="shared" si="441"/>
        <v>#DIV/0!</v>
      </c>
      <c r="BS502" s="493" t="e">
        <f t="shared" si="442"/>
        <v>#DIV/0!</v>
      </c>
      <c r="BT502" s="493" t="e">
        <f t="shared" si="443"/>
        <v>#DIV/0!</v>
      </c>
      <c r="BU502" s="493" t="str">
        <f t="shared" si="444"/>
        <v xml:space="preserve"> </v>
      </c>
      <c r="BV502" s="493" t="e">
        <f t="shared" si="445"/>
        <v>#DIV/0!</v>
      </c>
      <c r="BW502" s="493" t="e">
        <f t="shared" si="446"/>
        <v>#DIV/0!</v>
      </c>
      <c r="BX502" s="493" t="e">
        <f t="shared" si="447"/>
        <v>#DIV/0!</v>
      </c>
      <c r="BY502" s="493" t="str">
        <f t="shared" si="448"/>
        <v xml:space="preserve"> </v>
      </c>
    </row>
    <row r="503" spans="1:77" s="28" customFormat="1" ht="12" customHeight="1">
      <c r="A503" s="837" t="s">
        <v>232</v>
      </c>
      <c r="B503" s="838"/>
      <c r="C503" s="838"/>
      <c r="D503" s="838"/>
      <c r="E503" s="838"/>
      <c r="F503" s="838"/>
      <c r="G503" s="838"/>
      <c r="H503" s="838"/>
      <c r="I503" s="838"/>
      <c r="J503" s="838"/>
      <c r="K503" s="838"/>
      <c r="L503" s="838"/>
      <c r="M503" s="838"/>
      <c r="N503" s="838"/>
      <c r="O503" s="838"/>
      <c r="P503" s="838"/>
      <c r="Q503" s="838"/>
      <c r="R503" s="838"/>
      <c r="S503" s="838"/>
      <c r="T503" s="838"/>
      <c r="U503" s="838"/>
      <c r="V503" s="838"/>
      <c r="W503" s="838"/>
      <c r="X503" s="838"/>
      <c r="Y503" s="838"/>
      <c r="Z503" s="838"/>
      <c r="AA503" s="838"/>
      <c r="AB503" s="838"/>
      <c r="AC503" s="838"/>
      <c r="AD503" s="838"/>
      <c r="AE503" s="838"/>
      <c r="AF503" s="838"/>
      <c r="AG503" s="838"/>
      <c r="AH503" s="838"/>
      <c r="AI503" s="838"/>
      <c r="AJ503" s="838"/>
      <c r="AK503" s="838"/>
      <c r="AL503" s="839"/>
      <c r="AM503" s="280"/>
      <c r="AN503" s="280"/>
      <c r="AP503" s="486" t="e">
        <f t="shared" si="425"/>
        <v>#DIV/0!</v>
      </c>
      <c r="AQ503" s="486" t="e">
        <f t="shared" si="427"/>
        <v>#DIV/0!</v>
      </c>
      <c r="AR503" s="497" t="e">
        <f t="shared" si="428"/>
        <v>#DIV/0!</v>
      </c>
      <c r="AS503" s="497" t="e">
        <f t="shared" si="429"/>
        <v>#DIV/0!</v>
      </c>
      <c r="AT503" s="497" t="e">
        <f t="shared" si="430"/>
        <v>#DIV/0!</v>
      </c>
      <c r="AU503" s="497" t="e">
        <f t="shared" si="431"/>
        <v>#DIV/0!</v>
      </c>
      <c r="AV503" s="497" t="e">
        <f t="shared" si="432"/>
        <v>#DIV/0!</v>
      </c>
      <c r="AW503" s="497" t="e">
        <f t="shared" si="433"/>
        <v>#DIV/0!</v>
      </c>
      <c r="AX503" s="497" t="e">
        <f t="shared" si="434"/>
        <v>#DIV/0!</v>
      </c>
      <c r="AY503" s="486" t="e">
        <f t="shared" si="435"/>
        <v>#DIV/0!</v>
      </c>
      <c r="AZ503" s="497" t="e">
        <f t="shared" si="436"/>
        <v>#DIV/0!</v>
      </c>
      <c r="BA503" s="486" t="e">
        <f t="shared" si="426"/>
        <v>#DIV/0!</v>
      </c>
      <c r="BB503" s="494">
        <v>5155.41</v>
      </c>
      <c r="BC503" s="494">
        <v>2070.12</v>
      </c>
      <c r="BD503" s="494">
        <v>848.92</v>
      </c>
      <c r="BE503" s="494">
        <v>819.73</v>
      </c>
      <c r="BF503" s="494">
        <v>611.5</v>
      </c>
      <c r="BG503" s="494">
        <v>1080.04</v>
      </c>
      <c r="BH503" s="494">
        <v>2671800.0099999998</v>
      </c>
      <c r="BI503" s="494">
        <f t="shared" si="449"/>
        <v>4422.8500000000004</v>
      </c>
      <c r="BJ503" s="494">
        <v>14289.54</v>
      </c>
      <c r="BK503" s="494">
        <v>3389.61</v>
      </c>
      <c r="BL503" s="494">
        <v>5995.76</v>
      </c>
      <c r="BM503" s="494">
        <v>548.62</v>
      </c>
      <c r="BN503" s="493" t="e">
        <f t="shared" si="437"/>
        <v>#DIV/0!</v>
      </c>
      <c r="BO503" s="493" t="e">
        <f t="shared" si="438"/>
        <v>#DIV/0!</v>
      </c>
      <c r="BP503" s="493" t="e">
        <f t="shared" si="439"/>
        <v>#DIV/0!</v>
      </c>
      <c r="BQ503" s="493" t="e">
        <f t="shared" si="440"/>
        <v>#DIV/0!</v>
      </c>
      <c r="BR503" s="493" t="e">
        <f t="shared" si="441"/>
        <v>#DIV/0!</v>
      </c>
      <c r="BS503" s="493" t="e">
        <f t="shared" si="442"/>
        <v>#DIV/0!</v>
      </c>
      <c r="BT503" s="493" t="e">
        <f t="shared" si="443"/>
        <v>#DIV/0!</v>
      </c>
      <c r="BU503" s="493" t="e">
        <f t="shared" si="444"/>
        <v>#DIV/0!</v>
      </c>
      <c r="BV503" s="493" t="e">
        <f t="shared" si="445"/>
        <v>#DIV/0!</v>
      </c>
      <c r="BW503" s="493" t="e">
        <f t="shared" si="446"/>
        <v>#DIV/0!</v>
      </c>
      <c r="BX503" s="493" t="e">
        <f t="shared" si="447"/>
        <v>#DIV/0!</v>
      </c>
      <c r="BY503" s="493" t="e">
        <f t="shared" si="448"/>
        <v>#DIV/0!</v>
      </c>
    </row>
    <row r="504" spans="1:77" s="28" customFormat="1" ht="9" customHeight="1">
      <c r="A504" s="278">
        <v>140</v>
      </c>
      <c r="B504" s="329" t="s">
        <v>777</v>
      </c>
      <c r="C504" s="475">
        <v>4065.4</v>
      </c>
      <c r="D504" s="376"/>
      <c r="E504" s="420" t="s">
        <v>1005</v>
      </c>
      <c r="F504" s="421"/>
      <c r="G504" s="421"/>
      <c r="H504" s="333">
        <v>3990798</v>
      </c>
      <c r="I504" s="407">
        <f t="shared" ref="I504:I506" si="461">J504+L504+N504+P504+R504+T504</f>
        <v>0</v>
      </c>
      <c r="J504" s="217">
        <v>0</v>
      </c>
      <c r="K504" s="469">
        <v>0</v>
      </c>
      <c r="L504" s="217">
        <v>0</v>
      </c>
      <c r="M504" s="469">
        <v>0</v>
      </c>
      <c r="N504" s="217">
        <v>0</v>
      </c>
      <c r="O504" s="249">
        <v>0</v>
      </c>
      <c r="P504" s="407">
        <v>0</v>
      </c>
      <c r="Q504" s="249">
        <v>0</v>
      </c>
      <c r="R504" s="407">
        <v>0</v>
      </c>
      <c r="S504" s="249">
        <v>0</v>
      </c>
      <c r="T504" s="407">
        <v>0</v>
      </c>
      <c r="U504" s="130">
        <v>0</v>
      </c>
      <c r="V504" s="407">
        <v>0</v>
      </c>
      <c r="W504" s="422">
        <v>1197</v>
      </c>
      <c r="X504" s="407">
        <f t="shared" ref="X504:X506" si="462">ROUND(H504/100*95.5,2)</f>
        <v>3811212.09</v>
      </c>
      <c r="Y504" s="410">
        <v>0</v>
      </c>
      <c r="Z504" s="410">
        <v>0</v>
      </c>
      <c r="AA504" s="410">
        <v>0</v>
      </c>
      <c r="AB504" s="410">
        <v>0</v>
      </c>
      <c r="AC504" s="410">
        <v>0</v>
      </c>
      <c r="AD504" s="410">
        <v>0</v>
      </c>
      <c r="AE504" s="410">
        <v>0</v>
      </c>
      <c r="AF504" s="410">
        <v>0</v>
      </c>
      <c r="AG504" s="410">
        <v>0</v>
      </c>
      <c r="AH504" s="410">
        <v>0</v>
      </c>
      <c r="AI504" s="410">
        <v>0</v>
      </c>
      <c r="AJ504" s="410">
        <f t="shared" ref="AJ504:AJ506" si="463">ROUND(H504/100*3,2)</f>
        <v>119723.94</v>
      </c>
      <c r="AK504" s="410">
        <f t="shared" ref="AK504:AK506" si="464">ROUND(H504/100*1.5,2)</f>
        <v>59861.97</v>
      </c>
      <c r="AL504" s="410">
        <v>0</v>
      </c>
      <c r="AM504" s="446"/>
      <c r="AN504" s="446"/>
      <c r="AP504" s="486" t="e">
        <f t="shared" si="425"/>
        <v>#DIV/0!</v>
      </c>
      <c r="AQ504" s="486" t="e">
        <f t="shared" si="427"/>
        <v>#DIV/0!</v>
      </c>
      <c r="AR504" s="486" t="e">
        <f t="shared" si="428"/>
        <v>#DIV/0!</v>
      </c>
      <c r="AS504" s="486" t="e">
        <f t="shared" si="429"/>
        <v>#DIV/0!</v>
      </c>
      <c r="AT504" s="486" t="e">
        <f t="shared" si="430"/>
        <v>#DIV/0!</v>
      </c>
      <c r="AU504" s="486" t="e">
        <f t="shared" si="431"/>
        <v>#DIV/0!</v>
      </c>
      <c r="AV504" s="486" t="e">
        <f t="shared" si="432"/>
        <v>#DIV/0!</v>
      </c>
      <c r="AW504" s="486">
        <f t="shared" si="433"/>
        <v>3183.97</v>
      </c>
      <c r="AX504" s="486" t="e">
        <f t="shared" si="434"/>
        <v>#DIV/0!</v>
      </c>
      <c r="AY504" s="486" t="e">
        <f t="shared" si="435"/>
        <v>#DIV/0!</v>
      </c>
      <c r="AZ504" s="486" t="e">
        <f t="shared" si="436"/>
        <v>#DIV/0!</v>
      </c>
      <c r="BA504" s="486">
        <f t="shared" si="426"/>
        <v>0</v>
      </c>
      <c r="BB504" s="494">
        <v>5155.41</v>
      </c>
      <c r="BC504" s="494">
        <v>2070.12</v>
      </c>
      <c r="BD504" s="494">
        <v>848.92</v>
      </c>
      <c r="BE504" s="494">
        <v>819.73</v>
      </c>
      <c r="BF504" s="494">
        <v>611.5</v>
      </c>
      <c r="BG504" s="494">
        <v>1080.04</v>
      </c>
      <c r="BH504" s="494">
        <v>2671800.0099999998</v>
      </c>
      <c r="BI504" s="494">
        <f t="shared" si="449"/>
        <v>4607.6000000000004</v>
      </c>
      <c r="BJ504" s="494">
        <v>14289.54</v>
      </c>
      <c r="BK504" s="494">
        <v>3389.61</v>
      </c>
      <c r="BL504" s="494">
        <v>5995.76</v>
      </c>
      <c r="BM504" s="494">
        <v>548.62</v>
      </c>
      <c r="BN504" s="495" t="e">
        <f t="shared" si="437"/>
        <v>#DIV/0!</v>
      </c>
      <c r="BO504" s="495" t="e">
        <f t="shared" si="438"/>
        <v>#DIV/0!</v>
      </c>
      <c r="BP504" s="495" t="e">
        <f t="shared" si="439"/>
        <v>#DIV/0!</v>
      </c>
      <c r="BQ504" s="495" t="e">
        <f t="shared" si="440"/>
        <v>#DIV/0!</v>
      </c>
      <c r="BR504" s="495" t="e">
        <f t="shared" si="441"/>
        <v>#DIV/0!</v>
      </c>
      <c r="BS504" s="495" t="e">
        <f t="shared" si="442"/>
        <v>#DIV/0!</v>
      </c>
      <c r="BT504" s="495" t="e">
        <f t="shared" si="443"/>
        <v>#DIV/0!</v>
      </c>
      <c r="BU504" s="495" t="str">
        <f t="shared" si="444"/>
        <v xml:space="preserve"> </v>
      </c>
      <c r="BV504" s="495" t="e">
        <f t="shared" si="445"/>
        <v>#DIV/0!</v>
      </c>
      <c r="BW504" s="495" t="e">
        <f t="shared" si="446"/>
        <v>#DIV/0!</v>
      </c>
      <c r="BX504" s="495" t="e">
        <f t="shared" si="447"/>
        <v>#DIV/0!</v>
      </c>
      <c r="BY504" s="495" t="str">
        <f t="shared" si="448"/>
        <v xml:space="preserve"> </v>
      </c>
    </row>
    <row r="505" spans="1:77" s="28" customFormat="1" ht="9" customHeight="1">
      <c r="A505" s="278">
        <v>141</v>
      </c>
      <c r="B505" s="329" t="s">
        <v>778</v>
      </c>
      <c r="C505" s="475">
        <v>1546</v>
      </c>
      <c r="D505" s="376"/>
      <c r="E505" s="420" t="s">
        <v>1005</v>
      </c>
      <c r="F505" s="421"/>
      <c r="G505" s="421"/>
      <c r="H505" s="333">
        <v>2683870</v>
      </c>
      <c r="I505" s="407">
        <f t="shared" si="461"/>
        <v>0</v>
      </c>
      <c r="J505" s="217">
        <v>0</v>
      </c>
      <c r="K505" s="469">
        <v>0</v>
      </c>
      <c r="L505" s="217">
        <v>0</v>
      </c>
      <c r="M505" s="469">
        <v>0</v>
      </c>
      <c r="N505" s="217">
        <v>0</v>
      </c>
      <c r="O505" s="249">
        <v>0</v>
      </c>
      <c r="P505" s="407">
        <v>0</v>
      </c>
      <c r="Q505" s="249">
        <v>0</v>
      </c>
      <c r="R505" s="407">
        <v>0</v>
      </c>
      <c r="S505" s="249">
        <v>0</v>
      </c>
      <c r="T505" s="407">
        <v>0</v>
      </c>
      <c r="U505" s="130">
        <v>0</v>
      </c>
      <c r="V505" s="407">
        <v>0</v>
      </c>
      <c r="W505" s="422">
        <v>805</v>
      </c>
      <c r="X505" s="407">
        <f t="shared" si="462"/>
        <v>2563095.85</v>
      </c>
      <c r="Y505" s="410">
        <v>0</v>
      </c>
      <c r="Z505" s="410">
        <v>0</v>
      </c>
      <c r="AA505" s="410">
        <v>0</v>
      </c>
      <c r="AB505" s="410">
        <v>0</v>
      </c>
      <c r="AC505" s="410">
        <v>0</v>
      </c>
      <c r="AD505" s="410">
        <v>0</v>
      </c>
      <c r="AE505" s="410">
        <v>0</v>
      </c>
      <c r="AF505" s="410">
        <v>0</v>
      </c>
      <c r="AG505" s="410">
        <v>0</v>
      </c>
      <c r="AH505" s="410">
        <v>0</v>
      </c>
      <c r="AI505" s="410">
        <v>0</v>
      </c>
      <c r="AJ505" s="410">
        <f t="shared" si="463"/>
        <v>80516.100000000006</v>
      </c>
      <c r="AK505" s="410">
        <f t="shared" si="464"/>
        <v>40258.050000000003</v>
      </c>
      <c r="AL505" s="410">
        <v>0</v>
      </c>
      <c r="AM505" s="446"/>
      <c r="AN505" s="446"/>
      <c r="AP505" s="486" t="e">
        <f t="shared" si="425"/>
        <v>#DIV/0!</v>
      </c>
      <c r="AQ505" s="486" t="e">
        <f t="shared" si="427"/>
        <v>#DIV/0!</v>
      </c>
      <c r="AR505" s="486" t="e">
        <f t="shared" si="428"/>
        <v>#DIV/0!</v>
      </c>
      <c r="AS505" s="486" t="e">
        <f t="shared" si="429"/>
        <v>#DIV/0!</v>
      </c>
      <c r="AT505" s="486" t="e">
        <f t="shared" si="430"/>
        <v>#DIV/0!</v>
      </c>
      <c r="AU505" s="486" t="e">
        <f t="shared" si="431"/>
        <v>#DIV/0!</v>
      </c>
      <c r="AV505" s="486" t="e">
        <f t="shared" si="432"/>
        <v>#DIV/0!</v>
      </c>
      <c r="AW505" s="486">
        <f t="shared" si="433"/>
        <v>3183.9700000000003</v>
      </c>
      <c r="AX505" s="486" t="e">
        <f t="shared" si="434"/>
        <v>#DIV/0!</v>
      </c>
      <c r="AY505" s="486" t="e">
        <f t="shared" si="435"/>
        <v>#DIV/0!</v>
      </c>
      <c r="AZ505" s="486" t="e">
        <f t="shared" si="436"/>
        <v>#DIV/0!</v>
      </c>
      <c r="BA505" s="486">
        <f t="shared" si="426"/>
        <v>0</v>
      </c>
      <c r="BB505" s="494">
        <v>5155.41</v>
      </c>
      <c r="BC505" s="494">
        <v>2070.12</v>
      </c>
      <c r="BD505" s="494">
        <v>848.92</v>
      </c>
      <c r="BE505" s="494">
        <v>819.73</v>
      </c>
      <c r="BF505" s="494">
        <v>611.5</v>
      </c>
      <c r="BG505" s="494">
        <v>1080.04</v>
      </c>
      <c r="BH505" s="494">
        <v>2671800.0099999998</v>
      </c>
      <c r="BI505" s="494">
        <f t="shared" si="449"/>
        <v>4607.6000000000004</v>
      </c>
      <c r="BJ505" s="494">
        <v>14289.54</v>
      </c>
      <c r="BK505" s="494">
        <v>3389.61</v>
      </c>
      <c r="BL505" s="494">
        <v>5995.76</v>
      </c>
      <c r="BM505" s="494">
        <v>548.62</v>
      </c>
      <c r="BN505" s="495" t="e">
        <f t="shared" si="437"/>
        <v>#DIV/0!</v>
      </c>
      <c r="BO505" s="495" t="e">
        <f t="shared" si="438"/>
        <v>#DIV/0!</v>
      </c>
      <c r="BP505" s="495" t="e">
        <f t="shared" si="439"/>
        <v>#DIV/0!</v>
      </c>
      <c r="BQ505" s="495" t="e">
        <f t="shared" si="440"/>
        <v>#DIV/0!</v>
      </c>
      <c r="BR505" s="495" t="e">
        <f t="shared" si="441"/>
        <v>#DIV/0!</v>
      </c>
      <c r="BS505" s="495" t="e">
        <f t="shared" si="442"/>
        <v>#DIV/0!</v>
      </c>
      <c r="BT505" s="495" t="e">
        <f t="shared" si="443"/>
        <v>#DIV/0!</v>
      </c>
      <c r="BU505" s="495" t="str">
        <f t="shared" si="444"/>
        <v xml:space="preserve"> </v>
      </c>
      <c r="BV505" s="495" t="e">
        <f t="shared" si="445"/>
        <v>#DIV/0!</v>
      </c>
      <c r="BW505" s="495" t="e">
        <f t="shared" si="446"/>
        <v>#DIV/0!</v>
      </c>
      <c r="BX505" s="495" t="e">
        <f t="shared" si="447"/>
        <v>#DIV/0!</v>
      </c>
      <c r="BY505" s="495" t="str">
        <f t="shared" si="448"/>
        <v xml:space="preserve"> </v>
      </c>
    </row>
    <row r="506" spans="1:77" s="28" customFormat="1" ht="9" customHeight="1">
      <c r="A506" s="406">
        <v>142</v>
      </c>
      <c r="B506" s="329" t="s">
        <v>779</v>
      </c>
      <c r="C506" s="475">
        <v>6406.5</v>
      </c>
      <c r="D506" s="376"/>
      <c r="E506" s="420" t="s">
        <v>1005</v>
      </c>
      <c r="F506" s="421"/>
      <c r="G506" s="421"/>
      <c r="H506" s="333">
        <v>6688004</v>
      </c>
      <c r="I506" s="407">
        <f t="shared" si="461"/>
        <v>0</v>
      </c>
      <c r="J506" s="217">
        <v>0</v>
      </c>
      <c r="K506" s="469">
        <v>0</v>
      </c>
      <c r="L506" s="217">
        <v>0</v>
      </c>
      <c r="M506" s="469">
        <v>0</v>
      </c>
      <c r="N506" s="217">
        <v>0</v>
      </c>
      <c r="O506" s="249">
        <v>0</v>
      </c>
      <c r="P506" s="407">
        <v>0</v>
      </c>
      <c r="Q506" s="249">
        <v>0</v>
      </c>
      <c r="R506" s="407">
        <v>0</v>
      </c>
      <c r="S506" s="249">
        <v>0</v>
      </c>
      <c r="T506" s="407">
        <v>0</v>
      </c>
      <c r="U506" s="130">
        <v>0</v>
      </c>
      <c r="V506" s="407">
        <v>0</v>
      </c>
      <c r="W506" s="422">
        <v>2006</v>
      </c>
      <c r="X506" s="407">
        <f t="shared" si="462"/>
        <v>6387043.8200000003</v>
      </c>
      <c r="Y506" s="410">
        <v>0</v>
      </c>
      <c r="Z506" s="410">
        <v>0</v>
      </c>
      <c r="AA506" s="410">
        <v>0</v>
      </c>
      <c r="AB506" s="410">
        <v>0</v>
      </c>
      <c r="AC506" s="410">
        <v>0</v>
      </c>
      <c r="AD506" s="410">
        <v>0</v>
      </c>
      <c r="AE506" s="410">
        <v>0</v>
      </c>
      <c r="AF506" s="410">
        <v>0</v>
      </c>
      <c r="AG506" s="410">
        <v>0</v>
      </c>
      <c r="AH506" s="410">
        <v>0</v>
      </c>
      <c r="AI506" s="410">
        <v>0</v>
      </c>
      <c r="AJ506" s="410">
        <f t="shared" si="463"/>
        <v>200640.12</v>
      </c>
      <c r="AK506" s="410">
        <f t="shared" si="464"/>
        <v>100320.06</v>
      </c>
      <c r="AL506" s="410">
        <v>0</v>
      </c>
      <c r="AM506" s="446"/>
      <c r="AN506" s="446"/>
      <c r="AP506" s="486" t="e">
        <f t="shared" si="425"/>
        <v>#DIV/0!</v>
      </c>
      <c r="AQ506" s="486" t="e">
        <f t="shared" si="427"/>
        <v>#DIV/0!</v>
      </c>
      <c r="AR506" s="486" t="e">
        <f t="shared" si="428"/>
        <v>#DIV/0!</v>
      </c>
      <c r="AS506" s="486" t="e">
        <f t="shared" si="429"/>
        <v>#DIV/0!</v>
      </c>
      <c r="AT506" s="486" t="e">
        <f t="shared" si="430"/>
        <v>#DIV/0!</v>
      </c>
      <c r="AU506" s="486" t="e">
        <f t="shared" si="431"/>
        <v>#DIV/0!</v>
      </c>
      <c r="AV506" s="486" t="e">
        <f t="shared" si="432"/>
        <v>#DIV/0!</v>
      </c>
      <c r="AW506" s="486">
        <f t="shared" si="433"/>
        <v>3183.9700000000003</v>
      </c>
      <c r="AX506" s="486" t="e">
        <f t="shared" si="434"/>
        <v>#DIV/0!</v>
      </c>
      <c r="AY506" s="486" t="e">
        <f t="shared" si="435"/>
        <v>#DIV/0!</v>
      </c>
      <c r="AZ506" s="486" t="e">
        <f t="shared" si="436"/>
        <v>#DIV/0!</v>
      </c>
      <c r="BA506" s="486">
        <f t="shared" si="426"/>
        <v>0</v>
      </c>
      <c r="BB506" s="494">
        <v>5155.41</v>
      </c>
      <c r="BC506" s="494">
        <v>2070.12</v>
      </c>
      <c r="BD506" s="494">
        <v>848.92</v>
      </c>
      <c r="BE506" s="494">
        <v>819.73</v>
      </c>
      <c r="BF506" s="494">
        <v>611.5</v>
      </c>
      <c r="BG506" s="494">
        <v>1080.04</v>
      </c>
      <c r="BH506" s="494">
        <v>2671800.0099999998</v>
      </c>
      <c r="BI506" s="494">
        <f t="shared" si="449"/>
        <v>4607.6000000000004</v>
      </c>
      <c r="BJ506" s="494">
        <v>14289.54</v>
      </c>
      <c r="BK506" s="494">
        <v>3389.61</v>
      </c>
      <c r="BL506" s="494">
        <v>5995.76</v>
      </c>
      <c r="BM506" s="494">
        <v>548.62</v>
      </c>
      <c r="BN506" s="495" t="e">
        <f t="shared" si="437"/>
        <v>#DIV/0!</v>
      </c>
      <c r="BO506" s="495" t="e">
        <f t="shared" si="438"/>
        <v>#DIV/0!</v>
      </c>
      <c r="BP506" s="495" t="e">
        <f t="shared" si="439"/>
        <v>#DIV/0!</v>
      </c>
      <c r="BQ506" s="495" t="e">
        <f t="shared" si="440"/>
        <v>#DIV/0!</v>
      </c>
      <c r="BR506" s="495" t="e">
        <f t="shared" si="441"/>
        <v>#DIV/0!</v>
      </c>
      <c r="BS506" s="495" t="e">
        <f t="shared" si="442"/>
        <v>#DIV/0!</v>
      </c>
      <c r="BT506" s="495" t="e">
        <f t="shared" si="443"/>
        <v>#DIV/0!</v>
      </c>
      <c r="BU506" s="495" t="str">
        <f t="shared" si="444"/>
        <v xml:space="preserve"> </v>
      </c>
      <c r="BV506" s="495" t="e">
        <f t="shared" si="445"/>
        <v>#DIV/0!</v>
      </c>
      <c r="BW506" s="495" t="e">
        <f t="shared" si="446"/>
        <v>#DIV/0!</v>
      </c>
      <c r="BX506" s="495" t="e">
        <f t="shared" si="447"/>
        <v>#DIV/0!</v>
      </c>
      <c r="BY506" s="495" t="str">
        <f t="shared" si="448"/>
        <v xml:space="preserve"> </v>
      </c>
    </row>
    <row r="507" spans="1:77" s="28" customFormat="1" ht="9" customHeight="1">
      <c r="A507" s="406">
        <v>143</v>
      </c>
      <c r="B507" s="329" t="s">
        <v>780</v>
      </c>
      <c r="C507" s="475">
        <v>4277</v>
      </c>
      <c r="D507" s="376"/>
      <c r="E507" s="420" t="s">
        <v>1005</v>
      </c>
      <c r="F507" s="421"/>
      <c r="G507" s="421"/>
      <c r="H507" s="333">
        <v>4044142</v>
      </c>
      <c r="I507" s="407">
        <f t="shared" ref="I507:I515" si="465">J507+L507+N507+P507+R507+T507</f>
        <v>0</v>
      </c>
      <c r="J507" s="217">
        <v>0</v>
      </c>
      <c r="K507" s="469">
        <v>0</v>
      </c>
      <c r="L507" s="217">
        <v>0</v>
      </c>
      <c r="M507" s="469">
        <v>0</v>
      </c>
      <c r="N507" s="217">
        <v>0</v>
      </c>
      <c r="O507" s="249">
        <v>0</v>
      </c>
      <c r="P507" s="407">
        <v>0</v>
      </c>
      <c r="Q507" s="249">
        <v>0</v>
      </c>
      <c r="R507" s="407">
        <v>0</v>
      </c>
      <c r="S507" s="249">
        <v>0</v>
      </c>
      <c r="T507" s="407">
        <v>0</v>
      </c>
      <c r="U507" s="130">
        <v>0</v>
      </c>
      <c r="V507" s="407">
        <v>0</v>
      </c>
      <c r="W507" s="422">
        <v>1213</v>
      </c>
      <c r="X507" s="407">
        <f t="shared" ref="X507:X515" si="466">ROUND(H507/100*95.5,2)</f>
        <v>3862155.61</v>
      </c>
      <c r="Y507" s="410">
        <v>0</v>
      </c>
      <c r="Z507" s="410">
        <v>0</v>
      </c>
      <c r="AA507" s="410">
        <v>0</v>
      </c>
      <c r="AB507" s="410">
        <v>0</v>
      </c>
      <c r="AC507" s="410">
        <v>0</v>
      </c>
      <c r="AD507" s="410">
        <v>0</v>
      </c>
      <c r="AE507" s="410">
        <v>0</v>
      </c>
      <c r="AF507" s="410">
        <v>0</v>
      </c>
      <c r="AG507" s="410">
        <v>0</v>
      </c>
      <c r="AH507" s="410">
        <v>0</v>
      </c>
      <c r="AI507" s="410">
        <v>0</v>
      </c>
      <c r="AJ507" s="410">
        <f t="shared" ref="AJ507:AJ515" si="467">ROUND(H507/100*3,2)</f>
        <v>121324.26</v>
      </c>
      <c r="AK507" s="410">
        <f t="shared" ref="AK507:AK515" si="468">ROUND(H507/100*1.5,2)</f>
        <v>60662.13</v>
      </c>
      <c r="AL507" s="410">
        <v>0</v>
      </c>
      <c r="AM507" s="446"/>
      <c r="AN507" s="446"/>
      <c r="AP507" s="486" t="e">
        <f t="shared" si="425"/>
        <v>#DIV/0!</v>
      </c>
      <c r="AQ507" s="486" t="e">
        <f t="shared" si="427"/>
        <v>#DIV/0!</v>
      </c>
      <c r="AR507" s="486" t="e">
        <f t="shared" si="428"/>
        <v>#DIV/0!</v>
      </c>
      <c r="AS507" s="486" t="e">
        <f t="shared" si="429"/>
        <v>#DIV/0!</v>
      </c>
      <c r="AT507" s="486" t="e">
        <f t="shared" si="430"/>
        <v>#DIV/0!</v>
      </c>
      <c r="AU507" s="486" t="e">
        <f t="shared" si="431"/>
        <v>#DIV/0!</v>
      </c>
      <c r="AV507" s="486" t="e">
        <f t="shared" si="432"/>
        <v>#DIV/0!</v>
      </c>
      <c r="AW507" s="486">
        <f t="shared" si="433"/>
        <v>3183.97</v>
      </c>
      <c r="AX507" s="486" t="e">
        <f t="shared" si="434"/>
        <v>#DIV/0!</v>
      </c>
      <c r="AY507" s="486" t="e">
        <f t="shared" si="435"/>
        <v>#DIV/0!</v>
      </c>
      <c r="AZ507" s="486" t="e">
        <f t="shared" si="436"/>
        <v>#DIV/0!</v>
      </c>
      <c r="BA507" s="486">
        <f t="shared" si="426"/>
        <v>0</v>
      </c>
      <c r="BB507" s="494">
        <v>5155.41</v>
      </c>
      <c r="BC507" s="494">
        <v>2070.12</v>
      </c>
      <c r="BD507" s="494">
        <v>848.92</v>
      </c>
      <c r="BE507" s="494">
        <v>819.73</v>
      </c>
      <c r="BF507" s="494">
        <v>611.5</v>
      </c>
      <c r="BG507" s="494">
        <v>1080.04</v>
      </c>
      <c r="BH507" s="494">
        <v>2671800.0099999998</v>
      </c>
      <c r="BI507" s="494">
        <f t="shared" si="449"/>
        <v>4607.6000000000004</v>
      </c>
      <c r="BJ507" s="494">
        <v>14289.54</v>
      </c>
      <c r="BK507" s="494">
        <v>3389.61</v>
      </c>
      <c r="BL507" s="494">
        <v>5995.76</v>
      </c>
      <c r="BM507" s="494">
        <v>548.62</v>
      </c>
      <c r="BN507" s="495" t="e">
        <f t="shared" si="437"/>
        <v>#DIV/0!</v>
      </c>
      <c r="BO507" s="495" t="e">
        <f t="shared" si="438"/>
        <v>#DIV/0!</v>
      </c>
      <c r="BP507" s="495" t="e">
        <f t="shared" si="439"/>
        <v>#DIV/0!</v>
      </c>
      <c r="BQ507" s="495" t="e">
        <f t="shared" si="440"/>
        <v>#DIV/0!</v>
      </c>
      <c r="BR507" s="495" t="e">
        <f t="shared" si="441"/>
        <v>#DIV/0!</v>
      </c>
      <c r="BS507" s="495" t="e">
        <f t="shared" si="442"/>
        <v>#DIV/0!</v>
      </c>
      <c r="BT507" s="495" t="e">
        <f t="shared" si="443"/>
        <v>#DIV/0!</v>
      </c>
      <c r="BU507" s="495" t="str">
        <f t="shared" si="444"/>
        <v xml:space="preserve"> </v>
      </c>
      <c r="BV507" s="495" t="e">
        <f t="shared" si="445"/>
        <v>#DIV/0!</v>
      </c>
      <c r="BW507" s="495" t="e">
        <f t="shared" si="446"/>
        <v>#DIV/0!</v>
      </c>
      <c r="BX507" s="495" t="e">
        <f t="shared" si="447"/>
        <v>#DIV/0!</v>
      </c>
      <c r="BY507" s="495" t="str">
        <f t="shared" si="448"/>
        <v xml:space="preserve"> </v>
      </c>
    </row>
    <row r="508" spans="1:77" s="28" customFormat="1" ht="9" customHeight="1">
      <c r="A508" s="406">
        <v>144</v>
      </c>
      <c r="B508" s="329" t="s">
        <v>781</v>
      </c>
      <c r="C508" s="475">
        <v>2490.1</v>
      </c>
      <c r="D508" s="376"/>
      <c r="E508" s="420" t="s">
        <v>1005</v>
      </c>
      <c r="F508" s="421"/>
      <c r="G508" s="421"/>
      <c r="H508" s="333">
        <v>2737214</v>
      </c>
      <c r="I508" s="407">
        <f t="shared" si="465"/>
        <v>0</v>
      </c>
      <c r="J508" s="217">
        <v>0</v>
      </c>
      <c r="K508" s="469">
        <v>0</v>
      </c>
      <c r="L508" s="217">
        <v>0</v>
      </c>
      <c r="M508" s="469">
        <v>0</v>
      </c>
      <c r="N508" s="217">
        <v>0</v>
      </c>
      <c r="O508" s="249">
        <v>0</v>
      </c>
      <c r="P508" s="407">
        <v>0</v>
      </c>
      <c r="Q508" s="249">
        <v>0</v>
      </c>
      <c r="R508" s="407">
        <v>0</v>
      </c>
      <c r="S508" s="249">
        <v>0</v>
      </c>
      <c r="T508" s="407">
        <v>0</v>
      </c>
      <c r="U508" s="130">
        <v>0</v>
      </c>
      <c r="V508" s="407">
        <v>0</v>
      </c>
      <c r="W508" s="422">
        <v>821</v>
      </c>
      <c r="X508" s="407">
        <f t="shared" si="466"/>
        <v>2614039.37</v>
      </c>
      <c r="Y508" s="410">
        <v>0</v>
      </c>
      <c r="Z508" s="410">
        <v>0</v>
      </c>
      <c r="AA508" s="410">
        <v>0</v>
      </c>
      <c r="AB508" s="410">
        <v>0</v>
      </c>
      <c r="AC508" s="410">
        <v>0</v>
      </c>
      <c r="AD508" s="410">
        <v>0</v>
      </c>
      <c r="AE508" s="410">
        <v>0</v>
      </c>
      <c r="AF508" s="410">
        <v>0</v>
      </c>
      <c r="AG508" s="410">
        <v>0</v>
      </c>
      <c r="AH508" s="410">
        <v>0</v>
      </c>
      <c r="AI508" s="410">
        <v>0</v>
      </c>
      <c r="AJ508" s="410">
        <f t="shared" si="467"/>
        <v>82116.42</v>
      </c>
      <c r="AK508" s="410">
        <f t="shared" si="468"/>
        <v>41058.21</v>
      </c>
      <c r="AL508" s="410">
        <v>0</v>
      </c>
      <c r="AM508" s="446"/>
      <c r="AN508" s="446"/>
      <c r="AP508" s="486" t="e">
        <f t="shared" si="425"/>
        <v>#DIV/0!</v>
      </c>
      <c r="AQ508" s="486" t="e">
        <f t="shared" si="427"/>
        <v>#DIV/0!</v>
      </c>
      <c r="AR508" s="486" t="e">
        <f t="shared" si="428"/>
        <v>#DIV/0!</v>
      </c>
      <c r="AS508" s="486" t="e">
        <f t="shared" si="429"/>
        <v>#DIV/0!</v>
      </c>
      <c r="AT508" s="486" t="e">
        <f t="shared" si="430"/>
        <v>#DIV/0!</v>
      </c>
      <c r="AU508" s="486" t="e">
        <f t="shared" si="431"/>
        <v>#DIV/0!</v>
      </c>
      <c r="AV508" s="486" t="e">
        <f t="shared" si="432"/>
        <v>#DIV/0!</v>
      </c>
      <c r="AW508" s="486">
        <f t="shared" si="433"/>
        <v>3183.9700000000003</v>
      </c>
      <c r="AX508" s="486" t="e">
        <f t="shared" si="434"/>
        <v>#DIV/0!</v>
      </c>
      <c r="AY508" s="486" t="e">
        <f t="shared" si="435"/>
        <v>#DIV/0!</v>
      </c>
      <c r="AZ508" s="486" t="e">
        <f t="shared" si="436"/>
        <v>#DIV/0!</v>
      </c>
      <c r="BA508" s="486">
        <f t="shared" si="426"/>
        <v>0</v>
      </c>
      <c r="BB508" s="494">
        <v>5155.41</v>
      </c>
      <c r="BC508" s="494">
        <v>2070.12</v>
      </c>
      <c r="BD508" s="494">
        <v>848.92</v>
      </c>
      <c r="BE508" s="494">
        <v>819.73</v>
      </c>
      <c r="BF508" s="494">
        <v>611.5</v>
      </c>
      <c r="BG508" s="494">
        <v>1080.04</v>
      </c>
      <c r="BH508" s="494">
        <v>2671800.0099999998</v>
      </c>
      <c r="BI508" s="494">
        <f t="shared" si="449"/>
        <v>4607.6000000000004</v>
      </c>
      <c r="BJ508" s="494">
        <v>14289.54</v>
      </c>
      <c r="BK508" s="494">
        <v>3389.61</v>
      </c>
      <c r="BL508" s="494">
        <v>5995.76</v>
      </c>
      <c r="BM508" s="494">
        <v>548.62</v>
      </c>
      <c r="BN508" s="495" t="e">
        <f t="shared" si="437"/>
        <v>#DIV/0!</v>
      </c>
      <c r="BO508" s="495" t="e">
        <f t="shared" si="438"/>
        <v>#DIV/0!</v>
      </c>
      <c r="BP508" s="495" t="e">
        <f t="shared" si="439"/>
        <v>#DIV/0!</v>
      </c>
      <c r="BQ508" s="495" t="e">
        <f t="shared" si="440"/>
        <v>#DIV/0!</v>
      </c>
      <c r="BR508" s="495" t="e">
        <f t="shared" si="441"/>
        <v>#DIV/0!</v>
      </c>
      <c r="BS508" s="495" t="e">
        <f t="shared" si="442"/>
        <v>#DIV/0!</v>
      </c>
      <c r="BT508" s="495" t="e">
        <f t="shared" si="443"/>
        <v>#DIV/0!</v>
      </c>
      <c r="BU508" s="495" t="str">
        <f t="shared" si="444"/>
        <v xml:space="preserve"> </v>
      </c>
      <c r="BV508" s="495" t="e">
        <f t="shared" si="445"/>
        <v>#DIV/0!</v>
      </c>
      <c r="BW508" s="495" t="e">
        <f t="shared" si="446"/>
        <v>#DIV/0!</v>
      </c>
      <c r="BX508" s="495" t="e">
        <f t="shared" si="447"/>
        <v>#DIV/0!</v>
      </c>
      <c r="BY508" s="495" t="str">
        <f t="shared" si="448"/>
        <v xml:space="preserve"> </v>
      </c>
    </row>
    <row r="509" spans="1:77" s="28" customFormat="1" ht="9" customHeight="1">
      <c r="A509" s="406">
        <v>145</v>
      </c>
      <c r="B509" s="329" t="s">
        <v>782</v>
      </c>
      <c r="C509" s="475">
        <v>5272</v>
      </c>
      <c r="D509" s="376"/>
      <c r="E509" s="420" t="s">
        <v>1005</v>
      </c>
      <c r="F509" s="421"/>
      <c r="G509" s="421"/>
      <c r="H509" s="333">
        <v>5241048</v>
      </c>
      <c r="I509" s="407">
        <f t="shared" si="465"/>
        <v>0</v>
      </c>
      <c r="J509" s="217">
        <v>0</v>
      </c>
      <c r="K509" s="469">
        <v>0</v>
      </c>
      <c r="L509" s="217">
        <v>0</v>
      </c>
      <c r="M509" s="469">
        <v>0</v>
      </c>
      <c r="N509" s="217">
        <v>0</v>
      </c>
      <c r="O509" s="249">
        <v>0</v>
      </c>
      <c r="P509" s="407">
        <v>0</v>
      </c>
      <c r="Q509" s="249">
        <v>0</v>
      </c>
      <c r="R509" s="407">
        <v>0</v>
      </c>
      <c r="S509" s="249">
        <v>0</v>
      </c>
      <c r="T509" s="407">
        <v>0</v>
      </c>
      <c r="U509" s="130">
        <v>0</v>
      </c>
      <c r="V509" s="407">
        <v>0</v>
      </c>
      <c r="W509" s="422">
        <v>1572</v>
      </c>
      <c r="X509" s="407">
        <f t="shared" si="466"/>
        <v>5005200.84</v>
      </c>
      <c r="Y509" s="410">
        <v>0</v>
      </c>
      <c r="Z509" s="410">
        <v>0</v>
      </c>
      <c r="AA509" s="410">
        <v>0</v>
      </c>
      <c r="AB509" s="410">
        <v>0</v>
      </c>
      <c r="AC509" s="410">
        <v>0</v>
      </c>
      <c r="AD509" s="410">
        <v>0</v>
      </c>
      <c r="AE509" s="410">
        <v>0</v>
      </c>
      <c r="AF509" s="410">
        <v>0</v>
      </c>
      <c r="AG509" s="410">
        <v>0</v>
      </c>
      <c r="AH509" s="410">
        <v>0</v>
      </c>
      <c r="AI509" s="410">
        <v>0</v>
      </c>
      <c r="AJ509" s="410">
        <f t="shared" si="467"/>
        <v>157231.44</v>
      </c>
      <c r="AK509" s="410">
        <f t="shared" si="468"/>
        <v>78615.72</v>
      </c>
      <c r="AL509" s="410">
        <v>0</v>
      </c>
      <c r="AM509" s="446"/>
      <c r="AN509" s="446"/>
      <c r="AP509" s="486" t="e">
        <f t="shared" si="425"/>
        <v>#DIV/0!</v>
      </c>
      <c r="AQ509" s="486" t="e">
        <f t="shared" si="427"/>
        <v>#DIV/0!</v>
      </c>
      <c r="AR509" s="486" t="e">
        <f t="shared" si="428"/>
        <v>#DIV/0!</v>
      </c>
      <c r="AS509" s="486" t="e">
        <f t="shared" si="429"/>
        <v>#DIV/0!</v>
      </c>
      <c r="AT509" s="486" t="e">
        <f t="shared" si="430"/>
        <v>#DIV/0!</v>
      </c>
      <c r="AU509" s="486" t="e">
        <f t="shared" si="431"/>
        <v>#DIV/0!</v>
      </c>
      <c r="AV509" s="486" t="e">
        <f t="shared" si="432"/>
        <v>#DIV/0!</v>
      </c>
      <c r="AW509" s="486">
        <f t="shared" si="433"/>
        <v>3183.97</v>
      </c>
      <c r="AX509" s="486" t="e">
        <f t="shared" si="434"/>
        <v>#DIV/0!</v>
      </c>
      <c r="AY509" s="486" t="e">
        <f t="shared" si="435"/>
        <v>#DIV/0!</v>
      </c>
      <c r="AZ509" s="486" t="e">
        <f t="shared" si="436"/>
        <v>#DIV/0!</v>
      </c>
      <c r="BA509" s="486">
        <f t="shared" si="426"/>
        <v>0</v>
      </c>
      <c r="BB509" s="494">
        <v>5155.41</v>
      </c>
      <c r="BC509" s="494">
        <v>2070.12</v>
      </c>
      <c r="BD509" s="494">
        <v>848.92</v>
      </c>
      <c r="BE509" s="494">
        <v>819.73</v>
      </c>
      <c r="BF509" s="494">
        <v>611.5</v>
      </c>
      <c r="BG509" s="494">
        <v>1080.04</v>
      </c>
      <c r="BH509" s="494">
        <v>2671800.0099999998</v>
      </c>
      <c r="BI509" s="494">
        <f t="shared" si="449"/>
        <v>4607.6000000000004</v>
      </c>
      <c r="BJ509" s="494">
        <v>14289.54</v>
      </c>
      <c r="BK509" s="494">
        <v>3389.61</v>
      </c>
      <c r="BL509" s="494">
        <v>5995.76</v>
      </c>
      <c r="BM509" s="494">
        <v>548.62</v>
      </c>
      <c r="BN509" s="495" t="e">
        <f t="shared" si="437"/>
        <v>#DIV/0!</v>
      </c>
      <c r="BO509" s="495" t="e">
        <f t="shared" si="438"/>
        <v>#DIV/0!</v>
      </c>
      <c r="BP509" s="495" t="e">
        <f t="shared" si="439"/>
        <v>#DIV/0!</v>
      </c>
      <c r="BQ509" s="495" t="e">
        <f t="shared" si="440"/>
        <v>#DIV/0!</v>
      </c>
      <c r="BR509" s="495" t="e">
        <f t="shared" si="441"/>
        <v>#DIV/0!</v>
      </c>
      <c r="BS509" s="495" t="e">
        <f t="shared" si="442"/>
        <v>#DIV/0!</v>
      </c>
      <c r="BT509" s="495" t="e">
        <f t="shared" si="443"/>
        <v>#DIV/0!</v>
      </c>
      <c r="BU509" s="495" t="str">
        <f t="shared" si="444"/>
        <v xml:space="preserve"> </v>
      </c>
      <c r="BV509" s="495" t="e">
        <f t="shared" si="445"/>
        <v>#DIV/0!</v>
      </c>
      <c r="BW509" s="495" t="e">
        <f t="shared" si="446"/>
        <v>#DIV/0!</v>
      </c>
      <c r="BX509" s="495" t="e">
        <f t="shared" si="447"/>
        <v>#DIV/0!</v>
      </c>
      <c r="BY509" s="495" t="str">
        <f t="shared" si="448"/>
        <v xml:space="preserve"> </v>
      </c>
    </row>
    <row r="510" spans="1:77" s="28" customFormat="1" ht="9" customHeight="1">
      <c r="A510" s="406">
        <v>146</v>
      </c>
      <c r="B510" s="329" t="s">
        <v>783</v>
      </c>
      <c r="C510" s="475">
        <v>858.2</v>
      </c>
      <c r="D510" s="376"/>
      <c r="E510" s="420" t="s">
        <v>1005</v>
      </c>
      <c r="F510" s="421"/>
      <c r="G510" s="421"/>
      <c r="H510" s="333">
        <v>2213776</v>
      </c>
      <c r="I510" s="407">
        <f t="shared" si="465"/>
        <v>0</v>
      </c>
      <c r="J510" s="217">
        <v>0</v>
      </c>
      <c r="K510" s="469">
        <v>0</v>
      </c>
      <c r="L510" s="217">
        <v>0</v>
      </c>
      <c r="M510" s="469">
        <v>0</v>
      </c>
      <c r="N510" s="217">
        <v>0</v>
      </c>
      <c r="O510" s="249">
        <v>0</v>
      </c>
      <c r="P510" s="407">
        <v>0</v>
      </c>
      <c r="Q510" s="249">
        <v>0</v>
      </c>
      <c r="R510" s="407">
        <v>0</v>
      </c>
      <c r="S510" s="249">
        <v>0</v>
      </c>
      <c r="T510" s="407">
        <v>0</v>
      </c>
      <c r="U510" s="130">
        <v>0</v>
      </c>
      <c r="V510" s="407">
        <v>0</v>
      </c>
      <c r="W510" s="422">
        <v>664</v>
      </c>
      <c r="X510" s="407">
        <f t="shared" si="466"/>
        <v>2114156.08</v>
      </c>
      <c r="Y510" s="410">
        <v>0</v>
      </c>
      <c r="Z510" s="410">
        <v>0</v>
      </c>
      <c r="AA510" s="410">
        <v>0</v>
      </c>
      <c r="AB510" s="410">
        <v>0</v>
      </c>
      <c r="AC510" s="410">
        <v>0</v>
      </c>
      <c r="AD510" s="410">
        <v>0</v>
      </c>
      <c r="AE510" s="410">
        <v>0</v>
      </c>
      <c r="AF510" s="410">
        <v>0</v>
      </c>
      <c r="AG510" s="410">
        <v>0</v>
      </c>
      <c r="AH510" s="410">
        <v>0</v>
      </c>
      <c r="AI510" s="410">
        <v>0</v>
      </c>
      <c r="AJ510" s="410">
        <f t="shared" si="467"/>
        <v>66413.279999999999</v>
      </c>
      <c r="AK510" s="410">
        <f t="shared" si="468"/>
        <v>33206.639999999999</v>
      </c>
      <c r="AL510" s="410">
        <v>0</v>
      </c>
      <c r="AM510" s="446"/>
      <c r="AN510" s="446"/>
      <c r="AP510" s="486" t="e">
        <f t="shared" si="425"/>
        <v>#DIV/0!</v>
      </c>
      <c r="AQ510" s="486" t="e">
        <f t="shared" si="427"/>
        <v>#DIV/0!</v>
      </c>
      <c r="AR510" s="486" t="e">
        <f t="shared" si="428"/>
        <v>#DIV/0!</v>
      </c>
      <c r="AS510" s="486" t="e">
        <f t="shared" si="429"/>
        <v>#DIV/0!</v>
      </c>
      <c r="AT510" s="486" t="e">
        <f t="shared" si="430"/>
        <v>#DIV/0!</v>
      </c>
      <c r="AU510" s="486" t="e">
        <f t="shared" si="431"/>
        <v>#DIV/0!</v>
      </c>
      <c r="AV510" s="486" t="e">
        <f t="shared" si="432"/>
        <v>#DIV/0!</v>
      </c>
      <c r="AW510" s="486">
        <f t="shared" si="433"/>
        <v>3183.9700000000003</v>
      </c>
      <c r="AX510" s="486" t="e">
        <f t="shared" si="434"/>
        <v>#DIV/0!</v>
      </c>
      <c r="AY510" s="486" t="e">
        <f t="shared" si="435"/>
        <v>#DIV/0!</v>
      </c>
      <c r="AZ510" s="486" t="e">
        <f t="shared" si="436"/>
        <v>#DIV/0!</v>
      </c>
      <c r="BA510" s="486">
        <f t="shared" si="426"/>
        <v>0</v>
      </c>
      <c r="BB510" s="494">
        <v>5155.41</v>
      </c>
      <c r="BC510" s="494">
        <v>2070.12</v>
      </c>
      <c r="BD510" s="494">
        <v>848.92</v>
      </c>
      <c r="BE510" s="494">
        <v>819.73</v>
      </c>
      <c r="BF510" s="494">
        <v>611.5</v>
      </c>
      <c r="BG510" s="494">
        <v>1080.04</v>
      </c>
      <c r="BH510" s="494">
        <v>2671800.0099999998</v>
      </c>
      <c r="BI510" s="494">
        <f t="shared" si="449"/>
        <v>4607.6000000000004</v>
      </c>
      <c r="BJ510" s="494">
        <v>14289.54</v>
      </c>
      <c r="BK510" s="494">
        <v>3389.61</v>
      </c>
      <c r="BL510" s="494">
        <v>5995.76</v>
      </c>
      <c r="BM510" s="494">
        <v>548.62</v>
      </c>
      <c r="BN510" s="495" t="e">
        <f t="shared" si="437"/>
        <v>#DIV/0!</v>
      </c>
      <c r="BO510" s="495" t="e">
        <f t="shared" si="438"/>
        <v>#DIV/0!</v>
      </c>
      <c r="BP510" s="495" t="e">
        <f t="shared" si="439"/>
        <v>#DIV/0!</v>
      </c>
      <c r="BQ510" s="495" t="e">
        <f t="shared" si="440"/>
        <v>#DIV/0!</v>
      </c>
      <c r="BR510" s="495" t="e">
        <f t="shared" si="441"/>
        <v>#DIV/0!</v>
      </c>
      <c r="BS510" s="495" t="e">
        <f t="shared" si="442"/>
        <v>#DIV/0!</v>
      </c>
      <c r="BT510" s="495" t="e">
        <f t="shared" si="443"/>
        <v>#DIV/0!</v>
      </c>
      <c r="BU510" s="495" t="str">
        <f t="shared" si="444"/>
        <v xml:space="preserve"> </v>
      </c>
      <c r="BV510" s="495" t="e">
        <f t="shared" si="445"/>
        <v>#DIV/0!</v>
      </c>
      <c r="BW510" s="495" t="e">
        <f t="shared" si="446"/>
        <v>#DIV/0!</v>
      </c>
      <c r="BX510" s="495" t="e">
        <f t="shared" si="447"/>
        <v>#DIV/0!</v>
      </c>
      <c r="BY510" s="495" t="str">
        <f t="shared" si="448"/>
        <v xml:space="preserve"> </v>
      </c>
    </row>
    <row r="511" spans="1:77" s="28" customFormat="1" ht="9" customHeight="1">
      <c r="A511" s="406">
        <v>147</v>
      </c>
      <c r="B511" s="329" t="s">
        <v>784</v>
      </c>
      <c r="C511" s="475">
        <v>1831.8</v>
      </c>
      <c r="D511" s="376"/>
      <c r="E511" s="420" t="s">
        <v>1005</v>
      </c>
      <c r="F511" s="421"/>
      <c r="G511" s="421"/>
      <c r="H511" s="333">
        <v>2193772</v>
      </c>
      <c r="I511" s="407">
        <f t="shared" si="465"/>
        <v>0</v>
      </c>
      <c r="J511" s="217">
        <v>0</v>
      </c>
      <c r="K511" s="469">
        <v>0</v>
      </c>
      <c r="L511" s="217">
        <v>0</v>
      </c>
      <c r="M511" s="469">
        <v>0</v>
      </c>
      <c r="N511" s="217">
        <v>0</v>
      </c>
      <c r="O511" s="249">
        <v>0</v>
      </c>
      <c r="P511" s="407">
        <v>0</v>
      </c>
      <c r="Q511" s="249">
        <v>0</v>
      </c>
      <c r="R511" s="407">
        <v>0</v>
      </c>
      <c r="S511" s="249">
        <v>0</v>
      </c>
      <c r="T511" s="407">
        <v>0</v>
      </c>
      <c r="U511" s="130">
        <v>0</v>
      </c>
      <c r="V511" s="407">
        <v>0</v>
      </c>
      <c r="W511" s="422">
        <v>658</v>
      </c>
      <c r="X511" s="407">
        <f t="shared" si="466"/>
        <v>2095052.26</v>
      </c>
      <c r="Y511" s="410">
        <v>0</v>
      </c>
      <c r="Z511" s="410">
        <v>0</v>
      </c>
      <c r="AA511" s="410">
        <v>0</v>
      </c>
      <c r="AB511" s="410">
        <v>0</v>
      </c>
      <c r="AC511" s="410">
        <v>0</v>
      </c>
      <c r="AD511" s="410">
        <v>0</v>
      </c>
      <c r="AE511" s="410">
        <v>0</v>
      </c>
      <c r="AF511" s="410">
        <v>0</v>
      </c>
      <c r="AG511" s="410">
        <v>0</v>
      </c>
      <c r="AH511" s="410">
        <v>0</v>
      </c>
      <c r="AI511" s="410">
        <v>0</v>
      </c>
      <c r="AJ511" s="410">
        <f t="shared" si="467"/>
        <v>65813.16</v>
      </c>
      <c r="AK511" s="410">
        <f t="shared" si="468"/>
        <v>32906.58</v>
      </c>
      <c r="AL511" s="410">
        <v>0</v>
      </c>
      <c r="AM511" s="446"/>
      <c r="AN511" s="446"/>
      <c r="AP511" s="486" t="e">
        <f t="shared" si="425"/>
        <v>#DIV/0!</v>
      </c>
      <c r="AQ511" s="486" t="e">
        <f t="shared" si="427"/>
        <v>#DIV/0!</v>
      </c>
      <c r="AR511" s="486" t="e">
        <f t="shared" si="428"/>
        <v>#DIV/0!</v>
      </c>
      <c r="AS511" s="486" t="e">
        <f t="shared" si="429"/>
        <v>#DIV/0!</v>
      </c>
      <c r="AT511" s="486" t="e">
        <f t="shared" si="430"/>
        <v>#DIV/0!</v>
      </c>
      <c r="AU511" s="486" t="e">
        <f t="shared" si="431"/>
        <v>#DIV/0!</v>
      </c>
      <c r="AV511" s="486" t="e">
        <f t="shared" si="432"/>
        <v>#DIV/0!</v>
      </c>
      <c r="AW511" s="486">
        <f t="shared" si="433"/>
        <v>3183.97</v>
      </c>
      <c r="AX511" s="486" t="e">
        <f t="shared" si="434"/>
        <v>#DIV/0!</v>
      </c>
      <c r="AY511" s="486" t="e">
        <f t="shared" si="435"/>
        <v>#DIV/0!</v>
      </c>
      <c r="AZ511" s="486" t="e">
        <f t="shared" si="436"/>
        <v>#DIV/0!</v>
      </c>
      <c r="BA511" s="486">
        <f t="shared" si="426"/>
        <v>0</v>
      </c>
      <c r="BB511" s="494">
        <v>5155.41</v>
      </c>
      <c r="BC511" s="494">
        <v>2070.12</v>
      </c>
      <c r="BD511" s="494">
        <v>848.92</v>
      </c>
      <c r="BE511" s="494">
        <v>819.73</v>
      </c>
      <c r="BF511" s="494">
        <v>611.5</v>
      </c>
      <c r="BG511" s="494">
        <v>1080.04</v>
      </c>
      <c r="BH511" s="494">
        <v>2671800.0099999998</v>
      </c>
      <c r="BI511" s="494">
        <f t="shared" si="449"/>
        <v>4607.6000000000004</v>
      </c>
      <c r="BJ511" s="494">
        <v>14289.54</v>
      </c>
      <c r="BK511" s="494">
        <v>3389.61</v>
      </c>
      <c r="BL511" s="494">
        <v>5995.76</v>
      </c>
      <c r="BM511" s="494">
        <v>548.62</v>
      </c>
      <c r="BN511" s="495" t="e">
        <f t="shared" si="437"/>
        <v>#DIV/0!</v>
      </c>
      <c r="BO511" s="495" t="e">
        <f t="shared" si="438"/>
        <v>#DIV/0!</v>
      </c>
      <c r="BP511" s="495" t="e">
        <f t="shared" si="439"/>
        <v>#DIV/0!</v>
      </c>
      <c r="BQ511" s="495" t="e">
        <f t="shared" si="440"/>
        <v>#DIV/0!</v>
      </c>
      <c r="BR511" s="495" t="e">
        <f t="shared" si="441"/>
        <v>#DIV/0!</v>
      </c>
      <c r="BS511" s="495" t="e">
        <f t="shared" si="442"/>
        <v>#DIV/0!</v>
      </c>
      <c r="BT511" s="495" t="e">
        <f t="shared" si="443"/>
        <v>#DIV/0!</v>
      </c>
      <c r="BU511" s="495" t="str">
        <f t="shared" si="444"/>
        <v xml:space="preserve"> </v>
      </c>
      <c r="BV511" s="495" t="e">
        <f t="shared" si="445"/>
        <v>#DIV/0!</v>
      </c>
      <c r="BW511" s="495" t="e">
        <f t="shared" si="446"/>
        <v>#DIV/0!</v>
      </c>
      <c r="BX511" s="495" t="e">
        <f t="shared" si="447"/>
        <v>#DIV/0!</v>
      </c>
      <c r="BY511" s="495" t="str">
        <f t="shared" si="448"/>
        <v xml:space="preserve"> </v>
      </c>
    </row>
    <row r="512" spans="1:77" s="28" customFormat="1" ht="9" customHeight="1">
      <c r="A512" s="406">
        <v>148</v>
      </c>
      <c r="B512" s="329" t="s">
        <v>785</v>
      </c>
      <c r="C512" s="475">
        <v>5704.3</v>
      </c>
      <c r="D512" s="376"/>
      <c r="E512" s="420" t="s">
        <v>1005</v>
      </c>
      <c r="F512" s="421"/>
      <c r="G512" s="421"/>
      <c r="H512" s="333">
        <v>5874508</v>
      </c>
      <c r="I512" s="407">
        <f t="shared" si="465"/>
        <v>0</v>
      </c>
      <c r="J512" s="217">
        <v>0</v>
      </c>
      <c r="K512" s="469">
        <v>0</v>
      </c>
      <c r="L512" s="217">
        <v>0</v>
      </c>
      <c r="M512" s="469">
        <v>0</v>
      </c>
      <c r="N512" s="217">
        <v>0</v>
      </c>
      <c r="O512" s="249">
        <v>0</v>
      </c>
      <c r="P512" s="407">
        <v>0</v>
      </c>
      <c r="Q512" s="249">
        <v>0</v>
      </c>
      <c r="R512" s="407">
        <v>0</v>
      </c>
      <c r="S512" s="249">
        <v>0</v>
      </c>
      <c r="T512" s="407">
        <v>0</v>
      </c>
      <c r="U512" s="130">
        <v>0</v>
      </c>
      <c r="V512" s="407">
        <v>0</v>
      </c>
      <c r="W512" s="422">
        <v>1762</v>
      </c>
      <c r="X512" s="407">
        <f t="shared" si="466"/>
        <v>5610155.1399999997</v>
      </c>
      <c r="Y512" s="410">
        <v>0</v>
      </c>
      <c r="Z512" s="410">
        <v>0</v>
      </c>
      <c r="AA512" s="410">
        <v>0</v>
      </c>
      <c r="AB512" s="410">
        <v>0</v>
      </c>
      <c r="AC512" s="410">
        <v>0</v>
      </c>
      <c r="AD512" s="410">
        <v>0</v>
      </c>
      <c r="AE512" s="410">
        <v>0</v>
      </c>
      <c r="AF512" s="410">
        <v>0</v>
      </c>
      <c r="AG512" s="410">
        <v>0</v>
      </c>
      <c r="AH512" s="410">
        <v>0</v>
      </c>
      <c r="AI512" s="410">
        <v>0</v>
      </c>
      <c r="AJ512" s="410">
        <f t="shared" si="467"/>
        <v>176235.24</v>
      </c>
      <c r="AK512" s="410">
        <f t="shared" si="468"/>
        <v>88117.62</v>
      </c>
      <c r="AL512" s="410">
        <v>0</v>
      </c>
      <c r="AM512" s="446"/>
      <c r="AN512" s="446"/>
      <c r="AP512" s="486" t="e">
        <f t="shared" si="425"/>
        <v>#DIV/0!</v>
      </c>
      <c r="AQ512" s="486" t="e">
        <f t="shared" si="427"/>
        <v>#DIV/0!</v>
      </c>
      <c r="AR512" s="486" t="e">
        <f t="shared" si="428"/>
        <v>#DIV/0!</v>
      </c>
      <c r="AS512" s="486" t="e">
        <f t="shared" si="429"/>
        <v>#DIV/0!</v>
      </c>
      <c r="AT512" s="486" t="e">
        <f t="shared" si="430"/>
        <v>#DIV/0!</v>
      </c>
      <c r="AU512" s="486" t="e">
        <f t="shared" si="431"/>
        <v>#DIV/0!</v>
      </c>
      <c r="AV512" s="486" t="e">
        <f t="shared" si="432"/>
        <v>#DIV/0!</v>
      </c>
      <c r="AW512" s="486">
        <f t="shared" si="433"/>
        <v>3183.97</v>
      </c>
      <c r="AX512" s="486" t="e">
        <f t="shared" si="434"/>
        <v>#DIV/0!</v>
      </c>
      <c r="AY512" s="486" t="e">
        <f t="shared" si="435"/>
        <v>#DIV/0!</v>
      </c>
      <c r="AZ512" s="486" t="e">
        <f t="shared" si="436"/>
        <v>#DIV/0!</v>
      </c>
      <c r="BA512" s="486">
        <f t="shared" si="426"/>
        <v>0</v>
      </c>
      <c r="BB512" s="494">
        <v>5155.41</v>
      </c>
      <c r="BC512" s="494">
        <v>2070.12</v>
      </c>
      <c r="BD512" s="494">
        <v>848.92</v>
      </c>
      <c r="BE512" s="494">
        <v>819.73</v>
      </c>
      <c r="BF512" s="494">
        <v>611.5</v>
      </c>
      <c r="BG512" s="494">
        <v>1080.04</v>
      </c>
      <c r="BH512" s="494">
        <v>2671800.0099999998</v>
      </c>
      <c r="BI512" s="494">
        <f t="shared" si="449"/>
        <v>4607.6000000000004</v>
      </c>
      <c r="BJ512" s="494">
        <v>14289.54</v>
      </c>
      <c r="BK512" s="494">
        <v>3389.61</v>
      </c>
      <c r="BL512" s="494">
        <v>5995.76</v>
      </c>
      <c r="BM512" s="494">
        <v>548.62</v>
      </c>
      <c r="BN512" s="495" t="e">
        <f t="shared" si="437"/>
        <v>#DIV/0!</v>
      </c>
      <c r="BO512" s="495" t="e">
        <f t="shared" si="438"/>
        <v>#DIV/0!</v>
      </c>
      <c r="BP512" s="495" t="e">
        <f t="shared" si="439"/>
        <v>#DIV/0!</v>
      </c>
      <c r="BQ512" s="495" t="e">
        <f t="shared" si="440"/>
        <v>#DIV/0!</v>
      </c>
      <c r="BR512" s="495" t="e">
        <f t="shared" si="441"/>
        <v>#DIV/0!</v>
      </c>
      <c r="BS512" s="495" t="e">
        <f t="shared" si="442"/>
        <v>#DIV/0!</v>
      </c>
      <c r="BT512" s="495" t="e">
        <f t="shared" si="443"/>
        <v>#DIV/0!</v>
      </c>
      <c r="BU512" s="495" t="str">
        <f t="shared" si="444"/>
        <v xml:space="preserve"> </v>
      </c>
      <c r="BV512" s="495" t="e">
        <f t="shared" si="445"/>
        <v>#DIV/0!</v>
      </c>
      <c r="BW512" s="495" t="e">
        <f t="shared" si="446"/>
        <v>#DIV/0!</v>
      </c>
      <c r="BX512" s="495" t="e">
        <f t="shared" si="447"/>
        <v>#DIV/0!</v>
      </c>
      <c r="BY512" s="495" t="str">
        <f t="shared" si="448"/>
        <v xml:space="preserve"> </v>
      </c>
    </row>
    <row r="513" spans="1:77" s="28" customFormat="1" ht="9" customHeight="1">
      <c r="A513" s="406">
        <v>149</v>
      </c>
      <c r="B513" s="329" t="s">
        <v>786</v>
      </c>
      <c r="C513" s="475">
        <v>5532.6</v>
      </c>
      <c r="D513" s="376"/>
      <c r="E513" s="420" t="s">
        <v>1005</v>
      </c>
      <c r="F513" s="421"/>
      <c r="G513" s="421"/>
      <c r="H513" s="333">
        <v>6084550</v>
      </c>
      <c r="I513" s="407">
        <f t="shared" si="465"/>
        <v>0</v>
      </c>
      <c r="J513" s="217">
        <v>0</v>
      </c>
      <c r="K513" s="469">
        <v>0</v>
      </c>
      <c r="L513" s="217">
        <v>0</v>
      </c>
      <c r="M513" s="469">
        <v>0</v>
      </c>
      <c r="N513" s="217">
        <v>0</v>
      </c>
      <c r="O513" s="249">
        <v>0</v>
      </c>
      <c r="P513" s="407">
        <v>0</v>
      </c>
      <c r="Q513" s="249">
        <v>0</v>
      </c>
      <c r="R513" s="407">
        <v>0</v>
      </c>
      <c r="S513" s="249">
        <v>0</v>
      </c>
      <c r="T513" s="407">
        <v>0</v>
      </c>
      <c r="U513" s="130">
        <v>0</v>
      </c>
      <c r="V513" s="407">
        <v>0</v>
      </c>
      <c r="W513" s="422">
        <v>1825</v>
      </c>
      <c r="X513" s="407">
        <f t="shared" si="466"/>
        <v>5810745.25</v>
      </c>
      <c r="Y513" s="410">
        <v>0</v>
      </c>
      <c r="Z513" s="410">
        <v>0</v>
      </c>
      <c r="AA513" s="410">
        <v>0</v>
      </c>
      <c r="AB513" s="410">
        <v>0</v>
      </c>
      <c r="AC513" s="410">
        <v>0</v>
      </c>
      <c r="AD513" s="410">
        <v>0</v>
      </c>
      <c r="AE513" s="410">
        <v>0</v>
      </c>
      <c r="AF513" s="410">
        <v>0</v>
      </c>
      <c r="AG513" s="410">
        <v>0</v>
      </c>
      <c r="AH513" s="410">
        <v>0</v>
      </c>
      <c r="AI513" s="410">
        <v>0</v>
      </c>
      <c r="AJ513" s="410">
        <f t="shared" si="467"/>
        <v>182536.5</v>
      </c>
      <c r="AK513" s="410">
        <f t="shared" si="468"/>
        <v>91268.25</v>
      </c>
      <c r="AL513" s="410">
        <v>0</v>
      </c>
      <c r="AM513" s="446"/>
      <c r="AN513" s="446"/>
      <c r="AP513" s="486" t="e">
        <f t="shared" si="425"/>
        <v>#DIV/0!</v>
      </c>
      <c r="AQ513" s="486" t="e">
        <f t="shared" si="427"/>
        <v>#DIV/0!</v>
      </c>
      <c r="AR513" s="486" t="e">
        <f t="shared" si="428"/>
        <v>#DIV/0!</v>
      </c>
      <c r="AS513" s="486" t="e">
        <f t="shared" si="429"/>
        <v>#DIV/0!</v>
      </c>
      <c r="AT513" s="486" t="e">
        <f t="shared" si="430"/>
        <v>#DIV/0!</v>
      </c>
      <c r="AU513" s="486" t="e">
        <f t="shared" si="431"/>
        <v>#DIV/0!</v>
      </c>
      <c r="AV513" s="486" t="e">
        <f t="shared" si="432"/>
        <v>#DIV/0!</v>
      </c>
      <c r="AW513" s="486">
        <f t="shared" si="433"/>
        <v>3183.97</v>
      </c>
      <c r="AX513" s="486" t="e">
        <f t="shared" si="434"/>
        <v>#DIV/0!</v>
      </c>
      <c r="AY513" s="486" t="e">
        <f t="shared" si="435"/>
        <v>#DIV/0!</v>
      </c>
      <c r="AZ513" s="486" t="e">
        <f t="shared" si="436"/>
        <v>#DIV/0!</v>
      </c>
      <c r="BA513" s="486">
        <f t="shared" si="426"/>
        <v>0</v>
      </c>
      <c r="BB513" s="494">
        <v>5155.41</v>
      </c>
      <c r="BC513" s="494">
        <v>2070.12</v>
      </c>
      <c r="BD513" s="494">
        <v>848.92</v>
      </c>
      <c r="BE513" s="494">
        <v>819.73</v>
      </c>
      <c r="BF513" s="494">
        <v>611.5</v>
      </c>
      <c r="BG513" s="494">
        <v>1080.04</v>
      </c>
      <c r="BH513" s="494">
        <v>2671800.0099999998</v>
      </c>
      <c r="BI513" s="494">
        <f t="shared" si="449"/>
        <v>4607.6000000000004</v>
      </c>
      <c r="BJ513" s="494">
        <v>14289.54</v>
      </c>
      <c r="BK513" s="494">
        <v>3389.61</v>
      </c>
      <c r="BL513" s="494">
        <v>5995.76</v>
      </c>
      <c r="BM513" s="494">
        <v>548.62</v>
      </c>
      <c r="BN513" s="495" t="e">
        <f t="shared" si="437"/>
        <v>#DIV/0!</v>
      </c>
      <c r="BO513" s="495" t="e">
        <f t="shared" si="438"/>
        <v>#DIV/0!</v>
      </c>
      <c r="BP513" s="495" t="e">
        <f t="shared" si="439"/>
        <v>#DIV/0!</v>
      </c>
      <c r="BQ513" s="495" t="e">
        <f t="shared" si="440"/>
        <v>#DIV/0!</v>
      </c>
      <c r="BR513" s="495" t="e">
        <f t="shared" si="441"/>
        <v>#DIV/0!</v>
      </c>
      <c r="BS513" s="495" t="e">
        <f t="shared" si="442"/>
        <v>#DIV/0!</v>
      </c>
      <c r="BT513" s="495" t="e">
        <f t="shared" si="443"/>
        <v>#DIV/0!</v>
      </c>
      <c r="BU513" s="495" t="str">
        <f t="shared" si="444"/>
        <v xml:space="preserve"> </v>
      </c>
      <c r="BV513" s="495" t="e">
        <f t="shared" si="445"/>
        <v>#DIV/0!</v>
      </c>
      <c r="BW513" s="495" t="e">
        <f t="shared" si="446"/>
        <v>#DIV/0!</v>
      </c>
      <c r="BX513" s="495" t="e">
        <f t="shared" si="447"/>
        <v>#DIV/0!</v>
      </c>
      <c r="BY513" s="495" t="str">
        <f t="shared" si="448"/>
        <v xml:space="preserve"> </v>
      </c>
    </row>
    <row r="514" spans="1:77" s="28" customFormat="1" ht="9" customHeight="1">
      <c r="A514" s="406">
        <v>150</v>
      </c>
      <c r="B514" s="329" t="s">
        <v>787</v>
      </c>
      <c r="C514" s="475">
        <v>2443.3000000000002</v>
      </c>
      <c r="D514" s="376"/>
      <c r="E514" s="420" t="s">
        <v>1005</v>
      </c>
      <c r="F514" s="421"/>
      <c r="G514" s="421"/>
      <c r="H514" s="333">
        <v>2747216</v>
      </c>
      <c r="I514" s="407">
        <f t="shared" si="465"/>
        <v>0</v>
      </c>
      <c r="J514" s="217">
        <v>0</v>
      </c>
      <c r="K514" s="469">
        <v>0</v>
      </c>
      <c r="L514" s="217">
        <v>0</v>
      </c>
      <c r="M514" s="469">
        <v>0</v>
      </c>
      <c r="N514" s="217">
        <v>0</v>
      </c>
      <c r="O514" s="249">
        <v>0</v>
      </c>
      <c r="P514" s="407">
        <v>0</v>
      </c>
      <c r="Q514" s="249">
        <v>0</v>
      </c>
      <c r="R514" s="407">
        <v>0</v>
      </c>
      <c r="S514" s="249">
        <v>0</v>
      </c>
      <c r="T514" s="407">
        <v>0</v>
      </c>
      <c r="U514" s="130">
        <v>0</v>
      </c>
      <c r="V514" s="407">
        <v>0</v>
      </c>
      <c r="W514" s="422">
        <v>824</v>
      </c>
      <c r="X514" s="407">
        <f t="shared" si="466"/>
        <v>2623591.2799999998</v>
      </c>
      <c r="Y514" s="410">
        <v>0</v>
      </c>
      <c r="Z514" s="410">
        <v>0</v>
      </c>
      <c r="AA514" s="410">
        <v>0</v>
      </c>
      <c r="AB514" s="410">
        <v>0</v>
      </c>
      <c r="AC514" s="410">
        <v>0</v>
      </c>
      <c r="AD514" s="410">
        <v>0</v>
      </c>
      <c r="AE514" s="410">
        <v>0</v>
      </c>
      <c r="AF514" s="410">
        <v>0</v>
      </c>
      <c r="AG514" s="410">
        <v>0</v>
      </c>
      <c r="AH514" s="410">
        <v>0</v>
      </c>
      <c r="AI514" s="410">
        <v>0</v>
      </c>
      <c r="AJ514" s="410">
        <f t="shared" si="467"/>
        <v>82416.479999999996</v>
      </c>
      <c r="AK514" s="410">
        <f t="shared" si="468"/>
        <v>41208.239999999998</v>
      </c>
      <c r="AL514" s="410">
        <v>0</v>
      </c>
      <c r="AM514" s="446"/>
      <c r="AN514" s="446"/>
      <c r="AP514" s="486" t="e">
        <f t="shared" si="425"/>
        <v>#DIV/0!</v>
      </c>
      <c r="AQ514" s="486" t="e">
        <f t="shared" si="427"/>
        <v>#DIV/0!</v>
      </c>
      <c r="AR514" s="486" t="e">
        <f t="shared" si="428"/>
        <v>#DIV/0!</v>
      </c>
      <c r="AS514" s="486" t="e">
        <f t="shared" si="429"/>
        <v>#DIV/0!</v>
      </c>
      <c r="AT514" s="486" t="e">
        <f t="shared" si="430"/>
        <v>#DIV/0!</v>
      </c>
      <c r="AU514" s="486" t="e">
        <f t="shared" si="431"/>
        <v>#DIV/0!</v>
      </c>
      <c r="AV514" s="486" t="e">
        <f t="shared" si="432"/>
        <v>#DIV/0!</v>
      </c>
      <c r="AW514" s="486">
        <f t="shared" si="433"/>
        <v>3183.97</v>
      </c>
      <c r="AX514" s="486" t="e">
        <f t="shared" si="434"/>
        <v>#DIV/0!</v>
      </c>
      <c r="AY514" s="486" t="e">
        <f t="shared" si="435"/>
        <v>#DIV/0!</v>
      </c>
      <c r="AZ514" s="486" t="e">
        <f t="shared" si="436"/>
        <v>#DIV/0!</v>
      </c>
      <c r="BA514" s="486">
        <f t="shared" si="426"/>
        <v>0</v>
      </c>
      <c r="BB514" s="494">
        <v>5155.41</v>
      </c>
      <c r="BC514" s="494">
        <v>2070.12</v>
      </c>
      <c r="BD514" s="494">
        <v>848.92</v>
      </c>
      <c r="BE514" s="494">
        <v>819.73</v>
      </c>
      <c r="BF514" s="494">
        <v>611.5</v>
      </c>
      <c r="BG514" s="494">
        <v>1080.04</v>
      </c>
      <c r="BH514" s="494">
        <v>2671800.0099999998</v>
      </c>
      <c r="BI514" s="494">
        <f t="shared" si="449"/>
        <v>4607.6000000000004</v>
      </c>
      <c r="BJ514" s="494">
        <v>14289.54</v>
      </c>
      <c r="BK514" s="494">
        <v>3389.61</v>
      </c>
      <c r="BL514" s="494">
        <v>5995.76</v>
      </c>
      <c r="BM514" s="494">
        <v>548.62</v>
      </c>
      <c r="BN514" s="495" t="e">
        <f t="shared" si="437"/>
        <v>#DIV/0!</v>
      </c>
      <c r="BO514" s="495" t="e">
        <f t="shared" si="438"/>
        <v>#DIV/0!</v>
      </c>
      <c r="BP514" s="495" t="e">
        <f t="shared" si="439"/>
        <v>#DIV/0!</v>
      </c>
      <c r="BQ514" s="495" t="e">
        <f t="shared" si="440"/>
        <v>#DIV/0!</v>
      </c>
      <c r="BR514" s="495" t="e">
        <f t="shared" si="441"/>
        <v>#DIV/0!</v>
      </c>
      <c r="BS514" s="495" t="e">
        <f t="shared" si="442"/>
        <v>#DIV/0!</v>
      </c>
      <c r="BT514" s="495" t="e">
        <f t="shared" si="443"/>
        <v>#DIV/0!</v>
      </c>
      <c r="BU514" s="495" t="str">
        <f t="shared" si="444"/>
        <v xml:space="preserve"> </v>
      </c>
      <c r="BV514" s="495" t="e">
        <f t="shared" si="445"/>
        <v>#DIV/0!</v>
      </c>
      <c r="BW514" s="495" t="e">
        <f t="shared" si="446"/>
        <v>#DIV/0!</v>
      </c>
      <c r="BX514" s="495" t="e">
        <f t="shared" si="447"/>
        <v>#DIV/0!</v>
      </c>
      <c r="BY514" s="495" t="str">
        <f t="shared" si="448"/>
        <v xml:space="preserve"> </v>
      </c>
    </row>
    <row r="515" spans="1:77" s="28" customFormat="1" ht="9" customHeight="1">
      <c r="A515" s="406">
        <v>151</v>
      </c>
      <c r="B515" s="213" t="s">
        <v>762</v>
      </c>
      <c r="C515" s="469">
        <v>210.2</v>
      </c>
      <c r="D515" s="376"/>
      <c r="E515" s="420" t="s">
        <v>1006</v>
      </c>
      <c r="F515" s="423"/>
      <c r="G515" s="423"/>
      <c r="H515" s="217">
        <v>721182</v>
      </c>
      <c r="I515" s="407">
        <f t="shared" si="465"/>
        <v>0</v>
      </c>
      <c r="J515" s="217">
        <v>0</v>
      </c>
      <c r="K515" s="469">
        <v>0</v>
      </c>
      <c r="L515" s="217">
        <v>0</v>
      </c>
      <c r="M515" s="469">
        <v>0</v>
      </c>
      <c r="N515" s="217">
        <v>0</v>
      </c>
      <c r="O515" s="249">
        <v>0</v>
      </c>
      <c r="P515" s="407">
        <v>0</v>
      </c>
      <c r="Q515" s="249">
        <v>0</v>
      </c>
      <c r="R515" s="407">
        <v>0</v>
      </c>
      <c r="S515" s="249">
        <v>0</v>
      </c>
      <c r="T515" s="407">
        <v>0</v>
      </c>
      <c r="U515" s="130">
        <v>0</v>
      </c>
      <c r="V515" s="407">
        <v>0</v>
      </c>
      <c r="W515" s="422">
        <v>223</v>
      </c>
      <c r="X515" s="407">
        <f t="shared" si="466"/>
        <v>688728.81</v>
      </c>
      <c r="Y515" s="410">
        <v>0</v>
      </c>
      <c r="Z515" s="410">
        <v>0</v>
      </c>
      <c r="AA515" s="410">
        <v>0</v>
      </c>
      <c r="AB515" s="410">
        <v>0</v>
      </c>
      <c r="AC515" s="410">
        <v>0</v>
      </c>
      <c r="AD515" s="410">
        <v>0</v>
      </c>
      <c r="AE515" s="410">
        <v>0</v>
      </c>
      <c r="AF515" s="410">
        <v>0</v>
      </c>
      <c r="AG515" s="410">
        <v>0</v>
      </c>
      <c r="AH515" s="410">
        <v>0</v>
      </c>
      <c r="AI515" s="410">
        <v>0</v>
      </c>
      <c r="AJ515" s="410">
        <f t="shared" si="467"/>
        <v>21635.46</v>
      </c>
      <c r="AK515" s="410">
        <f t="shared" si="468"/>
        <v>10817.73</v>
      </c>
      <c r="AL515" s="410">
        <v>0</v>
      </c>
      <c r="AM515" s="446"/>
      <c r="AN515" s="446"/>
      <c r="AP515" s="486" t="e">
        <f t="shared" si="425"/>
        <v>#DIV/0!</v>
      </c>
      <c r="AQ515" s="486" t="e">
        <f t="shared" si="427"/>
        <v>#DIV/0!</v>
      </c>
      <c r="AR515" s="486" t="e">
        <f t="shared" si="428"/>
        <v>#DIV/0!</v>
      </c>
      <c r="AS515" s="486" t="e">
        <f t="shared" si="429"/>
        <v>#DIV/0!</v>
      </c>
      <c r="AT515" s="486" t="e">
        <f t="shared" si="430"/>
        <v>#DIV/0!</v>
      </c>
      <c r="AU515" s="486" t="e">
        <f t="shared" si="431"/>
        <v>#DIV/0!</v>
      </c>
      <c r="AV515" s="486" t="e">
        <f t="shared" si="432"/>
        <v>#DIV/0!</v>
      </c>
      <c r="AW515" s="486">
        <f t="shared" si="433"/>
        <v>3088.4700000000003</v>
      </c>
      <c r="AX515" s="486" t="e">
        <f t="shared" si="434"/>
        <v>#DIV/0!</v>
      </c>
      <c r="AY515" s="486" t="e">
        <f t="shared" si="435"/>
        <v>#DIV/0!</v>
      </c>
      <c r="AZ515" s="486" t="e">
        <f t="shared" si="436"/>
        <v>#DIV/0!</v>
      </c>
      <c r="BA515" s="486">
        <f t="shared" si="426"/>
        <v>0</v>
      </c>
      <c r="BB515" s="494">
        <v>5155.41</v>
      </c>
      <c r="BC515" s="494">
        <v>2070.12</v>
      </c>
      <c r="BD515" s="494">
        <v>848.92</v>
      </c>
      <c r="BE515" s="494">
        <v>819.73</v>
      </c>
      <c r="BF515" s="494">
        <v>611.5</v>
      </c>
      <c r="BG515" s="494">
        <v>1080.04</v>
      </c>
      <c r="BH515" s="494">
        <v>2671800.0099999998</v>
      </c>
      <c r="BI515" s="494">
        <f t="shared" si="449"/>
        <v>4422.8500000000004</v>
      </c>
      <c r="BJ515" s="494">
        <v>14289.54</v>
      </c>
      <c r="BK515" s="494">
        <v>3389.61</v>
      </c>
      <c r="BL515" s="494">
        <v>5995.76</v>
      </c>
      <c r="BM515" s="494">
        <v>548.62</v>
      </c>
      <c r="BN515" s="495" t="e">
        <f t="shared" si="437"/>
        <v>#DIV/0!</v>
      </c>
      <c r="BO515" s="495" t="e">
        <f t="shared" si="438"/>
        <v>#DIV/0!</v>
      </c>
      <c r="BP515" s="495" t="e">
        <f t="shared" si="439"/>
        <v>#DIV/0!</v>
      </c>
      <c r="BQ515" s="495" t="e">
        <f t="shared" si="440"/>
        <v>#DIV/0!</v>
      </c>
      <c r="BR515" s="495" t="e">
        <f t="shared" si="441"/>
        <v>#DIV/0!</v>
      </c>
      <c r="BS515" s="495" t="e">
        <f t="shared" si="442"/>
        <v>#DIV/0!</v>
      </c>
      <c r="BT515" s="495" t="e">
        <f t="shared" si="443"/>
        <v>#DIV/0!</v>
      </c>
      <c r="BU515" s="495" t="str">
        <f t="shared" si="444"/>
        <v xml:space="preserve"> </v>
      </c>
      <c r="BV515" s="495" t="e">
        <f t="shared" si="445"/>
        <v>#DIV/0!</v>
      </c>
      <c r="BW515" s="495" t="e">
        <f t="shared" si="446"/>
        <v>#DIV/0!</v>
      </c>
      <c r="BX515" s="495" t="e">
        <f t="shared" si="447"/>
        <v>#DIV/0!</v>
      </c>
      <c r="BY515" s="495" t="str">
        <f t="shared" si="448"/>
        <v xml:space="preserve"> </v>
      </c>
    </row>
    <row r="516" spans="1:77" s="28" customFormat="1" ht="27" customHeight="1">
      <c r="A516" s="954" t="s">
        <v>231</v>
      </c>
      <c r="B516" s="954"/>
      <c r="C516" s="407">
        <f>SUM(C504:C515)</f>
        <v>40637.4</v>
      </c>
      <c r="D516" s="396"/>
      <c r="E516" s="362" t="s">
        <v>391</v>
      </c>
      <c r="F516" s="374"/>
      <c r="G516" s="374"/>
      <c r="H516" s="407">
        <f>SUM(H504:H515)</f>
        <v>45220080</v>
      </c>
      <c r="I516" s="407">
        <f t="shared" ref="I516:AL516" si="469">SUM(I504:I515)</f>
        <v>0</v>
      </c>
      <c r="J516" s="407">
        <f t="shared" si="469"/>
        <v>0</v>
      </c>
      <c r="K516" s="407">
        <f t="shared" si="469"/>
        <v>0</v>
      </c>
      <c r="L516" s="407">
        <f t="shared" si="469"/>
        <v>0</v>
      </c>
      <c r="M516" s="407">
        <f t="shared" si="469"/>
        <v>0</v>
      </c>
      <c r="N516" s="407">
        <f t="shared" si="469"/>
        <v>0</v>
      </c>
      <c r="O516" s="407">
        <f t="shared" si="469"/>
        <v>0</v>
      </c>
      <c r="P516" s="407">
        <f t="shared" si="469"/>
        <v>0</v>
      </c>
      <c r="Q516" s="407">
        <f t="shared" si="469"/>
        <v>0</v>
      </c>
      <c r="R516" s="407">
        <f t="shared" si="469"/>
        <v>0</v>
      </c>
      <c r="S516" s="407">
        <f t="shared" si="469"/>
        <v>0</v>
      </c>
      <c r="T516" s="407">
        <f t="shared" si="469"/>
        <v>0</v>
      </c>
      <c r="U516" s="130">
        <f t="shared" si="469"/>
        <v>0</v>
      </c>
      <c r="V516" s="407">
        <f t="shared" si="469"/>
        <v>0</v>
      </c>
      <c r="W516" s="407">
        <f t="shared" si="469"/>
        <v>13570</v>
      </c>
      <c r="X516" s="407">
        <f t="shared" si="469"/>
        <v>43185176.399999999</v>
      </c>
      <c r="Y516" s="407">
        <f t="shared" si="469"/>
        <v>0</v>
      </c>
      <c r="Z516" s="407">
        <f t="shared" si="469"/>
        <v>0</v>
      </c>
      <c r="AA516" s="407">
        <f t="shared" si="469"/>
        <v>0</v>
      </c>
      <c r="AB516" s="407">
        <f t="shared" si="469"/>
        <v>0</v>
      </c>
      <c r="AC516" s="407">
        <f t="shared" si="469"/>
        <v>0</v>
      </c>
      <c r="AD516" s="407">
        <f t="shared" si="469"/>
        <v>0</v>
      </c>
      <c r="AE516" s="407">
        <f t="shared" si="469"/>
        <v>0</v>
      </c>
      <c r="AF516" s="407">
        <f t="shared" si="469"/>
        <v>0</v>
      </c>
      <c r="AG516" s="407">
        <f t="shared" si="469"/>
        <v>0</v>
      </c>
      <c r="AH516" s="407">
        <f t="shared" si="469"/>
        <v>0</v>
      </c>
      <c r="AI516" s="407">
        <f t="shared" si="469"/>
        <v>0</v>
      </c>
      <c r="AJ516" s="407">
        <f t="shared" si="469"/>
        <v>1356602.4</v>
      </c>
      <c r="AK516" s="407">
        <f t="shared" si="469"/>
        <v>678301.2</v>
      </c>
      <c r="AL516" s="407">
        <f t="shared" si="469"/>
        <v>0</v>
      </c>
      <c r="AM516" s="280"/>
      <c r="AN516" s="280"/>
      <c r="AP516" s="486" t="e">
        <f t="shared" si="425"/>
        <v>#DIV/0!</v>
      </c>
      <c r="AQ516" s="486" t="e">
        <f t="shared" si="427"/>
        <v>#DIV/0!</v>
      </c>
      <c r="AR516" s="497" t="e">
        <f t="shared" si="428"/>
        <v>#DIV/0!</v>
      </c>
      <c r="AS516" s="497" t="e">
        <f t="shared" si="429"/>
        <v>#DIV/0!</v>
      </c>
      <c r="AT516" s="497" t="e">
        <f t="shared" si="430"/>
        <v>#DIV/0!</v>
      </c>
      <c r="AU516" s="497" t="e">
        <f t="shared" si="431"/>
        <v>#DIV/0!</v>
      </c>
      <c r="AV516" s="497" t="e">
        <f t="shared" si="432"/>
        <v>#DIV/0!</v>
      </c>
      <c r="AW516" s="497">
        <f t="shared" si="433"/>
        <v>3182.4006190125274</v>
      </c>
      <c r="AX516" s="497" t="e">
        <f t="shared" si="434"/>
        <v>#DIV/0!</v>
      </c>
      <c r="AY516" s="486" t="e">
        <f t="shared" si="435"/>
        <v>#DIV/0!</v>
      </c>
      <c r="AZ516" s="497" t="e">
        <f t="shared" si="436"/>
        <v>#DIV/0!</v>
      </c>
      <c r="BA516" s="486">
        <f t="shared" si="426"/>
        <v>0</v>
      </c>
      <c r="BB516" s="494">
        <v>5155.41</v>
      </c>
      <c r="BC516" s="494">
        <v>2070.12</v>
      </c>
      <c r="BD516" s="494">
        <v>848.92</v>
      </c>
      <c r="BE516" s="494">
        <v>819.73</v>
      </c>
      <c r="BF516" s="494">
        <v>611.5</v>
      </c>
      <c r="BG516" s="494">
        <v>1080.04</v>
      </c>
      <c r="BH516" s="494">
        <v>2671800.0099999998</v>
      </c>
      <c r="BI516" s="494">
        <f t="shared" si="449"/>
        <v>4422.8500000000004</v>
      </c>
      <c r="BJ516" s="494">
        <v>14289.54</v>
      </c>
      <c r="BK516" s="494">
        <v>3389.61</v>
      </c>
      <c r="BL516" s="494">
        <v>5995.76</v>
      </c>
      <c r="BM516" s="494">
        <v>548.62</v>
      </c>
      <c r="BN516" s="493" t="e">
        <f t="shared" si="437"/>
        <v>#DIV/0!</v>
      </c>
      <c r="BO516" s="493" t="e">
        <f t="shared" si="438"/>
        <v>#DIV/0!</v>
      </c>
      <c r="BP516" s="493" t="e">
        <f t="shared" si="439"/>
        <v>#DIV/0!</v>
      </c>
      <c r="BQ516" s="493" t="e">
        <f t="shared" si="440"/>
        <v>#DIV/0!</v>
      </c>
      <c r="BR516" s="493" t="e">
        <f t="shared" si="441"/>
        <v>#DIV/0!</v>
      </c>
      <c r="BS516" s="493" t="e">
        <f t="shared" si="442"/>
        <v>#DIV/0!</v>
      </c>
      <c r="BT516" s="493" t="e">
        <f t="shared" si="443"/>
        <v>#DIV/0!</v>
      </c>
      <c r="BU516" s="493" t="str">
        <f t="shared" si="444"/>
        <v xml:space="preserve"> </v>
      </c>
      <c r="BV516" s="493" t="e">
        <f t="shared" si="445"/>
        <v>#DIV/0!</v>
      </c>
      <c r="BW516" s="493" t="e">
        <f t="shared" si="446"/>
        <v>#DIV/0!</v>
      </c>
      <c r="BX516" s="493" t="e">
        <f t="shared" si="447"/>
        <v>#DIV/0!</v>
      </c>
      <c r="BY516" s="493" t="str">
        <f t="shared" si="448"/>
        <v xml:space="preserve"> </v>
      </c>
    </row>
    <row r="517" spans="1:77" s="28" customFormat="1" ht="13.5" customHeight="1">
      <c r="A517" s="837" t="s">
        <v>242</v>
      </c>
      <c r="B517" s="838"/>
      <c r="C517" s="838"/>
      <c r="D517" s="838"/>
      <c r="E517" s="838"/>
      <c r="F517" s="838"/>
      <c r="G517" s="838"/>
      <c r="H517" s="838"/>
      <c r="I517" s="838"/>
      <c r="J517" s="838"/>
      <c r="K517" s="838"/>
      <c r="L517" s="838"/>
      <c r="M517" s="838"/>
      <c r="N517" s="838"/>
      <c r="O517" s="838"/>
      <c r="P517" s="838"/>
      <c r="Q517" s="838"/>
      <c r="R517" s="838"/>
      <c r="S517" s="838"/>
      <c r="T517" s="838"/>
      <c r="U517" s="838"/>
      <c r="V517" s="838"/>
      <c r="W517" s="838"/>
      <c r="X517" s="838"/>
      <c r="Y517" s="838"/>
      <c r="Z517" s="838"/>
      <c r="AA517" s="838"/>
      <c r="AB517" s="838"/>
      <c r="AC517" s="838"/>
      <c r="AD517" s="838"/>
      <c r="AE517" s="838"/>
      <c r="AF517" s="838"/>
      <c r="AG517" s="838"/>
      <c r="AH517" s="838"/>
      <c r="AI517" s="838"/>
      <c r="AJ517" s="838"/>
      <c r="AK517" s="838"/>
      <c r="AL517" s="839"/>
      <c r="AM517" s="280"/>
      <c r="AN517" s="280"/>
      <c r="AP517" s="486" t="e">
        <f t="shared" si="425"/>
        <v>#DIV/0!</v>
      </c>
      <c r="AQ517" s="486" t="e">
        <f t="shared" si="427"/>
        <v>#DIV/0!</v>
      </c>
      <c r="AR517" s="497" t="e">
        <f t="shared" si="428"/>
        <v>#DIV/0!</v>
      </c>
      <c r="AS517" s="497" t="e">
        <f t="shared" si="429"/>
        <v>#DIV/0!</v>
      </c>
      <c r="AT517" s="497" t="e">
        <f t="shared" si="430"/>
        <v>#DIV/0!</v>
      </c>
      <c r="AU517" s="497" t="e">
        <f t="shared" si="431"/>
        <v>#DIV/0!</v>
      </c>
      <c r="AV517" s="497" t="e">
        <f t="shared" si="432"/>
        <v>#DIV/0!</v>
      </c>
      <c r="AW517" s="497" t="e">
        <f t="shared" si="433"/>
        <v>#DIV/0!</v>
      </c>
      <c r="AX517" s="497" t="e">
        <f t="shared" si="434"/>
        <v>#DIV/0!</v>
      </c>
      <c r="AY517" s="486" t="e">
        <f t="shared" si="435"/>
        <v>#DIV/0!</v>
      </c>
      <c r="AZ517" s="497" t="e">
        <f t="shared" si="436"/>
        <v>#DIV/0!</v>
      </c>
      <c r="BA517" s="486" t="e">
        <f t="shared" si="426"/>
        <v>#DIV/0!</v>
      </c>
      <c r="BB517" s="494">
        <v>5155.41</v>
      </c>
      <c r="BC517" s="494">
        <v>2070.12</v>
      </c>
      <c r="BD517" s="494">
        <v>848.92</v>
      </c>
      <c r="BE517" s="494">
        <v>819.73</v>
      </c>
      <c r="BF517" s="494">
        <v>611.5</v>
      </c>
      <c r="BG517" s="494">
        <v>1080.04</v>
      </c>
      <c r="BH517" s="494">
        <v>2671800.0099999998</v>
      </c>
      <c r="BI517" s="494">
        <f t="shared" si="449"/>
        <v>4422.8500000000004</v>
      </c>
      <c r="BJ517" s="494">
        <v>14289.54</v>
      </c>
      <c r="BK517" s="494">
        <v>3389.61</v>
      </c>
      <c r="BL517" s="494">
        <v>5995.76</v>
      </c>
      <c r="BM517" s="494">
        <v>548.62</v>
      </c>
      <c r="BN517" s="493" t="e">
        <f t="shared" si="437"/>
        <v>#DIV/0!</v>
      </c>
      <c r="BO517" s="493" t="e">
        <f t="shared" si="438"/>
        <v>#DIV/0!</v>
      </c>
      <c r="BP517" s="493" t="e">
        <f t="shared" si="439"/>
        <v>#DIV/0!</v>
      </c>
      <c r="BQ517" s="493" t="e">
        <f t="shared" si="440"/>
        <v>#DIV/0!</v>
      </c>
      <c r="BR517" s="493" t="e">
        <f t="shared" si="441"/>
        <v>#DIV/0!</v>
      </c>
      <c r="BS517" s="493" t="e">
        <f t="shared" si="442"/>
        <v>#DIV/0!</v>
      </c>
      <c r="BT517" s="493" t="e">
        <f t="shared" si="443"/>
        <v>#DIV/0!</v>
      </c>
      <c r="BU517" s="493" t="e">
        <f t="shared" si="444"/>
        <v>#DIV/0!</v>
      </c>
      <c r="BV517" s="493" t="e">
        <f t="shared" si="445"/>
        <v>#DIV/0!</v>
      </c>
      <c r="BW517" s="493" t="e">
        <f t="shared" si="446"/>
        <v>#DIV/0!</v>
      </c>
      <c r="BX517" s="493" t="e">
        <f t="shared" si="447"/>
        <v>#DIV/0!</v>
      </c>
      <c r="BY517" s="493" t="e">
        <f t="shared" si="448"/>
        <v>#DIV/0!</v>
      </c>
    </row>
    <row r="518" spans="1:77" s="28" customFormat="1" ht="9" customHeight="1">
      <c r="A518" s="278">
        <v>152</v>
      </c>
      <c r="B518" s="334" t="s">
        <v>1019</v>
      </c>
      <c r="C518" s="476">
        <v>895.2</v>
      </c>
      <c r="D518" s="376"/>
      <c r="E518" s="424" t="s">
        <v>1006</v>
      </c>
      <c r="F518" s="425"/>
      <c r="G518" s="425"/>
      <c r="H518" s="338">
        <v>1681680</v>
      </c>
      <c r="I518" s="407">
        <f t="shared" ref="I518:I520" si="470">J518+L518+N518+P518+R518+T518</f>
        <v>0</v>
      </c>
      <c r="J518" s="217">
        <v>0</v>
      </c>
      <c r="K518" s="469">
        <v>0</v>
      </c>
      <c r="L518" s="217">
        <v>0</v>
      </c>
      <c r="M518" s="469">
        <v>0</v>
      </c>
      <c r="N518" s="217">
        <v>0</v>
      </c>
      <c r="O518" s="249">
        <v>0</v>
      </c>
      <c r="P518" s="407">
        <v>0</v>
      </c>
      <c r="Q518" s="249">
        <v>0</v>
      </c>
      <c r="R518" s="407">
        <v>0</v>
      </c>
      <c r="S518" s="249">
        <v>0</v>
      </c>
      <c r="T518" s="407">
        <v>0</v>
      </c>
      <c r="U518" s="130">
        <v>0</v>
      </c>
      <c r="V518" s="407">
        <v>0</v>
      </c>
      <c r="W518" s="410">
        <v>520</v>
      </c>
      <c r="X518" s="407">
        <f t="shared" ref="X518:X520" si="471">ROUND(H518/100*95.5,2)</f>
        <v>1606004.4</v>
      </c>
      <c r="Y518" s="410">
        <v>0</v>
      </c>
      <c r="Z518" s="410">
        <v>0</v>
      </c>
      <c r="AA518" s="410">
        <v>0</v>
      </c>
      <c r="AB518" s="410">
        <v>0</v>
      </c>
      <c r="AC518" s="410">
        <v>0</v>
      </c>
      <c r="AD518" s="410">
        <v>0</v>
      </c>
      <c r="AE518" s="410">
        <v>0</v>
      </c>
      <c r="AF518" s="410">
        <v>0</v>
      </c>
      <c r="AG518" s="410">
        <v>0</v>
      </c>
      <c r="AH518" s="410">
        <v>0</v>
      </c>
      <c r="AI518" s="410">
        <v>0</v>
      </c>
      <c r="AJ518" s="410">
        <f t="shared" ref="AJ518:AJ520" si="472">ROUND(H518/100*3,2)</f>
        <v>50450.400000000001</v>
      </c>
      <c r="AK518" s="410">
        <f t="shared" ref="AK518:AK520" si="473">ROUND(H518/100*1.5,2)</f>
        <v>25225.200000000001</v>
      </c>
      <c r="AL518" s="410">
        <v>0</v>
      </c>
      <c r="AM518" s="446"/>
      <c r="AN518" s="446"/>
      <c r="AP518" s="486" t="e">
        <f t="shared" si="425"/>
        <v>#DIV/0!</v>
      </c>
      <c r="AQ518" s="486" t="e">
        <f t="shared" si="427"/>
        <v>#DIV/0!</v>
      </c>
      <c r="AR518" s="486" t="e">
        <f t="shared" si="428"/>
        <v>#DIV/0!</v>
      </c>
      <c r="AS518" s="486" t="e">
        <f t="shared" si="429"/>
        <v>#DIV/0!</v>
      </c>
      <c r="AT518" s="486" t="e">
        <f t="shared" si="430"/>
        <v>#DIV/0!</v>
      </c>
      <c r="AU518" s="486" t="e">
        <f t="shared" si="431"/>
        <v>#DIV/0!</v>
      </c>
      <c r="AV518" s="486" t="e">
        <f t="shared" si="432"/>
        <v>#DIV/0!</v>
      </c>
      <c r="AW518" s="486">
        <f t="shared" si="433"/>
        <v>3088.47</v>
      </c>
      <c r="AX518" s="486" t="e">
        <f t="shared" si="434"/>
        <v>#DIV/0!</v>
      </c>
      <c r="AY518" s="486" t="e">
        <f t="shared" si="435"/>
        <v>#DIV/0!</v>
      </c>
      <c r="AZ518" s="486" t="e">
        <f t="shared" si="436"/>
        <v>#DIV/0!</v>
      </c>
      <c r="BA518" s="486">
        <f t="shared" si="426"/>
        <v>0</v>
      </c>
      <c r="BB518" s="494">
        <v>5155.41</v>
      </c>
      <c r="BC518" s="494">
        <v>2070.12</v>
      </c>
      <c r="BD518" s="494">
        <v>848.92</v>
      </c>
      <c r="BE518" s="494">
        <v>819.73</v>
      </c>
      <c r="BF518" s="494">
        <v>611.5</v>
      </c>
      <c r="BG518" s="494">
        <v>1080.04</v>
      </c>
      <c r="BH518" s="494">
        <v>2671800.0099999998</v>
      </c>
      <c r="BI518" s="494">
        <f t="shared" si="449"/>
        <v>4422.8500000000004</v>
      </c>
      <c r="BJ518" s="494">
        <v>14289.54</v>
      </c>
      <c r="BK518" s="494">
        <v>3389.61</v>
      </c>
      <c r="BL518" s="494">
        <v>5995.76</v>
      </c>
      <c r="BM518" s="494">
        <v>548.62</v>
      </c>
      <c r="BN518" s="495" t="e">
        <f t="shared" si="437"/>
        <v>#DIV/0!</v>
      </c>
      <c r="BO518" s="495" t="e">
        <f t="shared" si="438"/>
        <v>#DIV/0!</v>
      </c>
      <c r="BP518" s="495" t="e">
        <f t="shared" si="439"/>
        <v>#DIV/0!</v>
      </c>
      <c r="BQ518" s="495" t="e">
        <f t="shared" si="440"/>
        <v>#DIV/0!</v>
      </c>
      <c r="BR518" s="495" t="e">
        <f t="shared" si="441"/>
        <v>#DIV/0!</v>
      </c>
      <c r="BS518" s="495" t="e">
        <f t="shared" si="442"/>
        <v>#DIV/0!</v>
      </c>
      <c r="BT518" s="495" t="e">
        <f t="shared" si="443"/>
        <v>#DIV/0!</v>
      </c>
      <c r="BU518" s="495" t="str">
        <f t="shared" si="444"/>
        <v xml:space="preserve"> </v>
      </c>
      <c r="BV518" s="495" t="e">
        <f t="shared" si="445"/>
        <v>#DIV/0!</v>
      </c>
      <c r="BW518" s="495" t="e">
        <f t="shared" si="446"/>
        <v>#DIV/0!</v>
      </c>
      <c r="BX518" s="495" t="e">
        <f t="shared" si="447"/>
        <v>#DIV/0!</v>
      </c>
      <c r="BY518" s="495" t="str">
        <f t="shared" si="448"/>
        <v xml:space="preserve"> </v>
      </c>
    </row>
    <row r="519" spans="1:77" s="28" customFormat="1" ht="9" customHeight="1">
      <c r="A519" s="278">
        <v>153</v>
      </c>
      <c r="B519" s="334" t="s">
        <v>1020</v>
      </c>
      <c r="C519" s="476">
        <v>3823.3</v>
      </c>
      <c r="D519" s="376"/>
      <c r="E519" s="424" t="s">
        <v>1005</v>
      </c>
      <c r="F519" s="425"/>
      <c r="G519" s="425"/>
      <c r="H519" s="338">
        <v>3027272</v>
      </c>
      <c r="I519" s="407">
        <f t="shared" si="470"/>
        <v>0</v>
      </c>
      <c r="J519" s="217">
        <v>0</v>
      </c>
      <c r="K519" s="469">
        <v>0</v>
      </c>
      <c r="L519" s="217">
        <v>0</v>
      </c>
      <c r="M519" s="469">
        <v>0</v>
      </c>
      <c r="N519" s="217">
        <v>0</v>
      </c>
      <c r="O519" s="249">
        <v>0</v>
      </c>
      <c r="P519" s="407">
        <v>0</v>
      </c>
      <c r="Q519" s="249">
        <v>0</v>
      </c>
      <c r="R519" s="407">
        <v>0</v>
      </c>
      <c r="S519" s="249">
        <v>0</v>
      </c>
      <c r="T519" s="407">
        <v>0</v>
      </c>
      <c r="U519" s="130">
        <v>0</v>
      </c>
      <c r="V519" s="407">
        <v>0</v>
      </c>
      <c r="W519" s="410">
        <v>908</v>
      </c>
      <c r="X519" s="407">
        <f t="shared" si="471"/>
        <v>2891044.76</v>
      </c>
      <c r="Y519" s="410">
        <v>0</v>
      </c>
      <c r="Z519" s="410">
        <v>0</v>
      </c>
      <c r="AA519" s="410">
        <v>0</v>
      </c>
      <c r="AB519" s="410">
        <v>0</v>
      </c>
      <c r="AC519" s="410">
        <v>0</v>
      </c>
      <c r="AD519" s="410">
        <v>0</v>
      </c>
      <c r="AE519" s="410">
        <v>0</v>
      </c>
      <c r="AF519" s="410">
        <v>0</v>
      </c>
      <c r="AG519" s="410">
        <v>0</v>
      </c>
      <c r="AH519" s="410">
        <v>0</v>
      </c>
      <c r="AI519" s="410">
        <v>0</v>
      </c>
      <c r="AJ519" s="410">
        <f t="shared" si="472"/>
        <v>90818.16</v>
      </c>
      <c r="AK519" s="410">
        <f t="shared" si="473"/>
        <v>45409.08</v>
      </c>
      <c r="AL519" s="410">
        <v>0</v>
      </c>
      <c r="AM519" s="446"/>
      <c r="AN519" s="446"/>
      <c r="AP519" s="486" t="e">
        <f t="shared" si="425"/>
        <v>#DIV/0!</v>
      </c>
      <c r="AQ519" s="486" t="e">
        <f t="shared" si="427"/>
        <v>#DIV/0!</v>
      </c>
      <c r="AR519" s="486" t="e">
        <f t="shared" si="428"/>
        <v>#DIV/0!</v>
      </c>
      <c r="AS519" s="486" t="e">
        <f t="shared" si="429"/>
        <v>#DIV/0!</v>
      </c>
      <c r="AT519" s="486" t="e">
        <f t="shared" si="430"/>
        <v>#DIV/0!</v>
      </c>
      <c r="AU519" s="486" t="e">
        <f t="shared" si="431"/>
        <v>#DIV/0!</v>
      </c>
      <c r="AV519" s="486" t="e">
        <f t="shared" si="432"/>
        <v>#DIV/0!</v>
      </c>
      <c r="AW519" s="486">
        <f t="shared" si="433"/>
        <v>3183.97</v>
      </c>
      <c r="AX519" s="486" t="e">
        <f t="shared" si="434"/>
        <v>#DIV/0!</v>
      </c>
      <c r="AY519" s="486" t="e">
        <f t="shared" si="435"/>
        <v>#DIV/0!</v>
      </c>
      <c r="AZ519" s="486" t="e">
        <f t="shared" si="436"/>
        <v>#DIV/0!</v>
      </c>
      <c r="BA519" s="486">
        <f t="shared" si="426"/>
        <v>0</v>
      </c>
      <c r="BB519" s="494">
        <v>5155.41</v>
      </c>
      <c r="BC519" s="494">
        <v>2070.12</v>
      </c>
      <c r="BD519" s="494">
        <v>848.92</v>
      </c>
      <c r="BE519" s="494">
        <v>819.73</v>
      </c>
      <c r="BF519" s="494">
        <v>611.5</v>
      </c>
      <c r="BG519" s="494">
        <v>1080.04</v>
      </c>
      <c r="BH519" s="494">
        <v>2671800.0099999998</v>
      </c>
      <c r="BI519" s="494">
        <f t="shared" si="449"/>
        <v>4607.6000000000004</v>
      </c>
      <c r="BJ519" s="494">
        <v>14289.54</v>
      </c>
      <c r="BK519" s="494">
        <v>3389.61</v>
      </c>
      <c r="BL519" s="494">
        <v>5995.76</v>
      </c>
      <c r="BM519" s="494">
        <v>548.62</v>
      </c>
      <c r="BN519" s="495" t="e">
        <f t="shared" si="437"/>
        <v>#DIV/0!</v>
      </c>
      <c r="BO519" s="495" t="e">
        <f t="shared" si="438"/>
        <v>#DIV/0!</v>
      </c>
      <c r="BP519" s="495" t="e">
        <f t="shared" si="439"/>
        <v>#DIV/0!</v>
      </c>
      <c r="BQ519" s="495" t="e">
        <f t="shared" si="440"/>
        <v>#DIV/0!</v>
      </c>
      <c r="BR519" s="495" t="e">
        <f t="shared" si="441"/>
        <v>#DIV/0!</v>
      </c>
      <c r="BS519" s="495" t="e">
        <f t="shared" si="442"/>
        <v>#DIV/0!</v>
      </c>
      <c r="BT519" s="495" t="e">
        <f t="shared" si="443"/>
        <v>#DIV/0!</v>
      </c>
      <c r="BU519" s="495" t="str">
        <f t="shared" si="444"/>
        <v xml:space="preserve"> </v>
      </c>
      <c r="BV519" s="495" t="e">
        <f t="shared" si="445"/>
        <v>#DIV/0!</v>
      </c>
      <c r="BW519" s="495" t="e">
        <f t="shared" si="446"/>
        <v>#DIV/0!</v>
      </c>
      <c r="BX519" s="495" t="e">
        <f t="shared" si="447"/>
        <v>#DIV/0!</v>
      </c>
      <c r="BY519" s="495" t="str">
        <f t="shared" si="448"/>
        <v xml:space="preserve"> </v>
      </c>
    </row>
    <row r="520" spans="1:77" s="28" customFormat="1" ht="9" customHeight="1">
      <c r="A520" s="278">
        <v>154</v>
      </c>
      <c r="B520" s="315" t="s">
        <v>1069</v>
      </c>
      <c r="C520" s="477">
        <v>2764.1</v>
      </c>
      <c r="D520" s="376"/>
      <c r="E520" s="424" t="s">
        <v>1005</v>
      </c>
      <c r="F520" s="426"/>
      <c r="G520" s="426"/>
      <c r="H520" s="320">
        <v>2787224</v>
      </c>
      <c r="I520" s="407">
        <f t="shared" si="470"/>
        <v>0</v>
      </c>
      <c r="J520" s="217">
        <v>0</v>
      </c>
      <c r="K520" s="469">
        <v>0</v>
      </c>
      <c r="L520" s="217">
        <v>0</v>
      </c>
      <c r="M520" s="469">
        <v>0</v>
      </c>
      <c r="N520" s="217">
        <v>0</v>
      </c>
      <c r="O520" s="249">
        <v>0</v>
      </c>
      <c r="P520" s="407">
        <v>0</v>
      </c>
      <c r="Q520" s="249">
        <v>0</v>
      </c>
      <c r="R520" s="407">
        <v>0</v>
      </c>
      <c r="S520" s="249">
        <v>0</v>
      </c>
      <c r="T520" s="407">
        <v>0</v>
      </c>
      <c r="U520" s="130">
        <v>0</v>
      </c>
      <c r="V520" s="407">
        <v>0</v>
      </c>
      <c r="W520" s="410">
        <v>836</v>
      </c>
      <c r="X520" s="407">
        <f t="shared" si="471"/>
        <v>2661798.92</v>
      </c>
      <c r="Y520" s="410">
        <v>0</v>
      </c>
      <c r="Z520" s="410">
        <v>0</v>
      </c>
      <c r="AA520" s="410">
        <v>0</v>
      </c>
      <c r="AB520" s="410">
        <v>0</v>
      </c>
      <c r="AC520" s="410">
        <v>0</v>
      </c>
      <c r="AD520" s="410">
        <v>0</v>
      </c>
      <c r="AE520" s="410">
        <v>0</v>
      </c>
      <c r="AF520" s="410">
        <v>0</v>
      </c>
      <c r="AG520" s="410">
        <v>0</v>
      </c>
      <c r="AH520" s="410">
        <v>0</v>
      </c>
      <c r="AI520" s="410">
        <v>0</v>
      </c>
      <c r="AJ520" s="410">
        <f t="shared" si="472"/>
        <v>83616.72</v>
      </c>
      <c r="AK520" s="410">
        <f t="shared" si="473"/>
        <v>41808.36</v>
      </c>
      <c r="AL520" s="410">
        <v>0</v>
      </c>
      <c r="AM520" s="446"/>
      <c r="AN520" s="446"/>
      <c r="AP520" s="486" t="e">
        <f t="shared" si="425"/>
        <v>#DIV/0!</v>
      </c>
      <c r="AQ520" s="486" t="e">
        <f t="shared" si="427"/>
        <v>#DIV/0!</v>
      </c>
      <c r="AR520" s="486" t="e">
        <f t="shared" si="428"/>
        <v>#DIV/0!</v>
      </c>
      <c r="AS520" s="486" t="e">
        <f t="shared" si="429"/>
        <v>#DIV/0!</v>
      </c>
      <c r="AT520" s="486" t="e">
        <f t="shared" si="430"/>
        <v>#DIV/0!</v>
      </c>
      <c r="AU520" s="486" t="e">
        <f t="shared" si="431"/>
        <v>#DIV/0!</v>
      </c>
      <c r="AV520" s="486" t="e">
        <f t="shared" si="432"/>
        <v>#DIV/0!</v>
      </c>
      <c r="AW520" s="486">
        <f t="shared" si="433"/>
        <v>3183.97</v>
      </c>
      <c r="AX520" s="486" t="e">
        <f t="shared" si="434"/>
        <v>#DIV/0!</v>
      </c>
      <c r="AY520" s="486" t="e">
        <f t="shared" si="435"/>
        <v>#DIV/0!</v>
      </c>
      <c r="AZ520" s="486" t="e">
        <f t="shared" si="436"/>
        <v>#DIV/0!</v>
      </c>
      <c r="BA520" s="486">
        <f t="shared" si="426"/>
        <v>0</v>
      </c>
      <c r="BB520" s="494">
        <v>5155.41</v>
      </c>
      <c r="BC520" s="494">
        <v>2070.12</v>
      </c>
      <c r="BD520" s="494">
        <v>848.92</v>
      </c>
      <c r="BE520" s="494">
        <v>819.73</v>
      </c>
      <c r="BF520" s="494">
        <v>611.5</v>
      </c>
      <c r="BG520" s="494">
        <v>1080.04</v>
      </c>
      <c r="BH520" s="494">
        <v>2671800.0099999998</v>
      </c>
      <c r="BI520" s="494">
        <f t="shared" si="449"/>
        <v>4607.6000000000004</v>
      </c>
      <c r="BJ520" s="494">
        <v>14289.54</v>
      </c>
      <c r="BK520" s="494">
        <v>3389.61</v>
      </c>
      <c r="BL520" s="494">
        <v>5995.76</v>
      </c>
      <c r="BM520" s="494">
        <v>548.62</v>
      </c>
      <c r="BN520" s="495" t="e">
        <f t="shared" si="437"/>
        <v>#DIV/0!</v>
      </c>
      <c r="BO520" s="495" t="e">
        <f t="shared" si="438"/>
        <v>#DIV/0!</v>
      </c>
      <c r="BP520" s="495" t="e">
        <f t="shared" si="439"/>
        <v>#DIV/0!</v>
      </c>
      <c r="BQ520" s="495" t="e">
        <f t="shared" si="440"/>
        <v>#DIV/0!</v>
      </c>
      <c r="BR520" s="495" t="e">
        <f t="shared" si="441"/>
        <v>#DIV/0!</v>
      </c>
      <c r="BS520" s="495" t="e">
        <f t="shared" si="442"/>
        <v>#DIV/0!</v>
      </c>
      <c r="BT520" s="495" t="e">
        <f t="shared" si="443"/>
        <v>#DIV/0!</v>
      </c>
      <c r="BU520" s="495" t="str">
        <f t="shared" si="444"/>
        <v xml:space="preserve"> </v>
      </c>
      <c r="BV520" s="495" t="e">
        <f t="shared" si="445"/>
        <v>#DIV/0!</v>
      </c>
      <c r="BW520" s="495" t="e">
        <f t="shared" si="446"/>
        <v>#DIV/0!</v>
      </c>
      <c r="BX520" s="495" t="e">
        <f t="shared" si="447"/>
        <v>#DIV/0!</v>
      </c>
      <c r="BY520" s="495" t="str">
        <f t="shared" si="448"/>
        <v xml:space="preserve"> </v>
      </c>
    </row>
    <row r="521" spans="1:77" s="28" customFormat="1" ht="24.75" customHeight="1">
      <c r="A521" s="954" t="s">
        <v>426</v>
      </c>
      <c r="B521" s="954"/>
      <c r="C521" s="407">
        <f>SUM(C518:C520)</f>
        <v>7482.6</v>
      </c>
      <c r="D521" s="396"/>
      <c r="E521" s="407" t="s">
        <v>391</v>
      </c>
      <c r="F521" s="249"/>
      <c r="G521" s="249"/>
      <c r="H521" s="407">
        <f>SUM(H518:H520)</f>
        <v>7496176</v>
      </c>
      <c r="I521" s="407">
        <f t="shared" ref="I521:AL521" si="474">SUM(I518:I520)</f>
        <v>0</v>
      </c>
      <c r="J521" s="407">
        <f t="shared" si="474"/>
        <v>0</v>
      </c>
      <c r="K521" s="407">
        <f t="shared" si="474"/>
        <v>0</v>
      </c>
      <c r="L521" s="407">
        <f t="shared" si="474"/>
        <v>0</v>
      </c>
      <c r="M521" s="407">
        <f t="shared" si="474"/>
        <v>0</v>
      </c>
      <c r="N521" s="407">
        <f t="shared" si="474"/>
        <v>0</v>
      </c>
      <c r="O521" s="407">
        <f t="shared" si="474"/>
        <v>0</v>
      </c>
      <c r="P521" s="407">
        <f t="shared" si="474"/>
        <v>0</v>
      </c>
      <c r="Q521" s="407">
        <f t="shared" si="474"/>
        <v>0</v>
      </c>
      <c r="R521" s="407">
        <f t="shared" si="474"/>
        <v>0</v>
      </c>
      <c r="S521" s="407">
        <f t="shared" si="474"/>
        <v>0</v>
      </c>
      <c r="T521" s="407">
        <f t="shared" si="474"/>
        <v>0</v>
      </c>
      <c r="U521" s="130">
        <f t="shared" si="474"/>
        <v>0</v>
      </c>
      <c r="V521" s="407">
        <f t="shared" si="474"/>
        <v>0</v>
      </c>
      <c r="W521" s="407">
        <f t="shared" si="474"/>
        <v>2264</v>
      </c>
      <c r="X521" s="407">
        <f t="shared" si="474"/>
        <v>7158848.0800000001</v>
      </c>
      <c r="Y521" s="407">
        <f t="shared" si="474"/>
        <v>0</v>
      </c>
      <c r="Z521" s="407">
        <f t="shared" si="474"/>
        <v>0</v>
      </c>
      <c r="AA521" s="407">
        <f t="shared" si="474"/>
        <v>0</v>
      </c>
      <c r="AB521" s="407">
        <f t="shared" si="474"/>
        <v>0</v>
      </c>
      <c r="AC521" s="407">
        <f t="shared" si="474"/>
        <v>0</v>
      </c>
      <c r="AD521" s="407">
        <f t="shared" si="474"/>
        <v>0</v>
      </c>
      <c r="AE521" s="407">
        <f t="shared" si="474"/>
        <v>0</v>
      </c>
      <c r="AF521" s="407">
        <f t="shared" si="474"/>
        <v>0</v>
      </c>
      <c r="AG521" s="407">
        <f t="shared" si="474"/>
        <v>0</v>
      </c>
      <c r="AH521" s="407">
        <f t="shared" si="474"/>
        <v>0</v>
      </c>
      <c r="AI521" s="407">
        <f t="shared" si="474"/>
        <v>0</v>
      </c>
      <c r="AJ521" s="407">
        <f t="shared" si="474"/>
        <v>224885.28</v>
      </c>
      <c r="AK521" s="407">
        <f t="shared" si="474"/>
        <v>112442.64</v>
      </c>
      <c r="AL521" s="407">
        <f t="shared" si="474"/>
        <v>0</v>
      </c>
      <c r="AM521" s="280"/>
      <c r="AN521" s="280"/>
      <c r="AP521" s="486" t="e">
        <f t="shared" si="425"/>
        <v>#DIV/0!</v>
      </c>
      <c r="AQ521" s="486" t="e">
        <f t="shared" si="427"/>
        <v>#DIV/0!</v>
      </c>
      <c r="AR521" s="497" t="e">
        <f t="shared" si="428"/>
        <v>#DIV/0!</v>
      </c>
      <c r="AS521" s="497" t="e">
        <f t="shared" si="429"/>
        <v>#DIV/0!</v>
      </c>
      <c r="AT521" s="497" t="e">
        <f t="shared" si="430"/>
        <v>#DIV/0!</v>
      </c>
      <c r="AU521" s="497" t="e">
        <f t="shared" si="431"/>
        <v>#DIV/0!</v>
      </c>
      <c r="AV521" s="497" t="e">
        <f t="shared" si="432"/>
        <v>#DIV/0!</v>
      </c>
      <c r="AW521" s="497">
        <f t="shared" si="433"/>
        <v>3162.035371024735</v>
      </c>
      <c r="AX521" s="497" t="e">
        <f t="shared" si="434"/>
        <v>#DIV/0!</v>
      </c>
      <c r="AY521" s="486" t="e">
        <f t="shared" si="435"/>
        <v>#DIV/0!</v>
      </c>
      <c r="AZ521" s="497" t="e">
        <f t="shared" si="436"/>
        <v>#DIV/0!</v>
      </c>
      <c r="BA521" s="486">
        <f t="shared" si="426"/>
        <v>0</v>
      </c>
      <c r="BB521" s="494">
        <v>5155.41</v>
      </c>
      <c r="BC521" s="494">
        <v>2070.12</v>
      </c>
      <c r="BD521" s="494">
        <v>848.92</v>
      </c>
      <c r="BE521" s="494">
        <v>819.73</v>
      </c>
      <c r="BF521" s="494">
        <v>611.5</v>
      </c>
      <c r="BG521" s="494">
        <v>1080.04</v>
      </c>
      <c r="BH521" s="494">
        <v>2671800.0099999998</v>
      </c>
      <c r="BI521" s="494">
        <f t="shared" si="449"/>
        <v>4422.8500000000004</v>
      </c>
      <c r="BJ521" s="494">
        <v>14289.54</v>
      </c>
      <c r="BK521" s="494">
        <v>3389.61</v>
      </c>
      <c r="BL521" s="494">
        <v>5995.76</v>
      </c>
      <c r="BM521" s="494">
        <v>548.62</v>
      </c>
      <c r="BN521" s="493" t="e">
        <f t="shared" si="437"/>
        <v>#DIV/0!</v>
      </c>
      <c r="BO521" s="493" t="e">
        <f t="shared" si="438"/>
        <v>#DIV/0!</v>
      </c>
      <c r="BP521" s="493" t="e">
        <f t="shared" si="439"/>
        <v>#DIV/0!</v>
      </c>
      <c r="BQ521" s="493" t="e">
        <f t="shared" si="440"/>
        <v>#DIV/0!</v>
      </c>
      <c r="BR521" s="493" t="e">
        <f t="shared" si="441"/>
        <v>#DIV/0!</v>
      </c>
      <c r="BS521" s="493" t="e">
        <f t="shared" si="442"/>
        <v>#DIV/0!</v>
      </c>
      <c r="BT521" s="493" t="e">
        <f t="shared" si="443"/>
        <v>#DIV/0!</v>
      </c>
      <c r="BU521" s="493" t="str">
        <f t="shared" si="444"/>
        <v xml:space="preserve"> </v>
      </c>
      <c r="BV521" s="493" t="e">
        <f t="shared" si="445"/>
        <v>#DIV/0!</v>
      </c>
      <c r="BW521" s="493" t="e">
        <f t="shared" si="446"/>
        <v>#DIV/0!</v>
      </c>
      <c r="BX521" s="493" t="e">
        <f t="shared" si="447"/>
        <v>#DIV/0!</v>
      </c>
      <c r="BY521" s="493" t="str">
        <f t="shared" si="448"/>
        <v xml:space="preserve"> </v>
      </c>
    </row>
    <row r="522" spans="1:77" s="28" customFormat="1" ht="15" customHeight="1">
      <c r="A522" s="837" t="s">
        <v>251</v>
      </c>
      <c r="B522" s="838"/>
      <c r="C522" s="838"/>
      <c r="D522" s="838"/>
      <c r="E522" s="838"/>
      <c r="F522" s="838"/>
      <c r="G522" s="838"/>
      <c r="H522" s="838"/>
      <c r="I522" s="838"/>
      <c r="J522" s="838"/>
      <c r="K522" s="838"/>
      <c r="L522" s="838"/>
      <c r="M522" s="838"/>
      <c r="N522" s="838"/>
      <c r="O522" s="838"/>
      <c r="P522" s="838"/>
      <c r="Q522" s="838"/>
      <c r="R522" s="838"/>
      <c r="S522" s="838"/>
      <c r="T522" s="838"/>
      <c r="U522" s="838"/>
      <c r="V522" s="838"/>
      <c r="W522" s="838"/>
      <c r="X522" s="838"/>
      <c r="Y522" s="838"/>
      <c r="Z522" s="838"/>
      <c r="AA522" s="838"/>
      <c r="AB522" s="838"/>
      <c r="AC522" s="838"/>
      <c r="AD522" s="838"/>
      <c r="AE522" s="838"/>
      <c r="AF522" s="838"/>
      <c r="AG522" s="838"/>
      <c r="AH522" s="838"/>
      <c r="AI522" s="838"/>
      <c r="AJ522" s="838"/>
      <c r="AK522" s="838"/>
      <c r="AL522" s="839"/>
      <c r="AM522" s="280"/>
      <c r="AN522" s="280"/>
      <c r="AP522" s="486" t="e">
        <f t="shared" si="425"/>
        <v>#DIV/0!</v>
      </c>
      <c r="AQ522" s="486" t="e">
        <f t="shared" si="427"/>
        <v>#DIV/0!</v>
      </c>
      <c r="AR522" s="497" t="e">
        <f t="shared" si="428"/>
        <v>#DIV/0!</v>
      </c>
      <c r="AS522" s="497" t="e">
        <f t="shared" si="429"/>
        <v>#DIV/0!</v>
      </c>
      <c r="AT522" s="497" t="e">
        <f t="shared" si="430"/>
        <v>#DIV/0!</v>
      </c>
      <c r="AU522" s="497" t="e">
        <f t="shared" si="431"/>
        <v>#DIV/0!</v>
      </c>
      <c r="AV522" s="497" t="e">
        <f t="shared" si="432"/>
        <v>#DIV/0!</v>
      </c>
      <c r="AW522" s="497" t="e">
        <f t="shared" si="433"/>
        <v>#DIV/0!</v>
      </c>
      <c r="AX522" s="497" t="e">
        <f t="shared" si="434"/>
        <v>#DIV/0!</v>
      </c>
      <c r="AY522" s="486" t="e">
        <f t="shared" si="435"/>
        <v>#DIV/0!</v>
      </c>
      <c r="AZ522" s="497" t="e">
        <f t="shared" si="436"/>
        <v>#DIV/0!</v>
      </c>
      <c r="BA522" s="486" t="e">
        <f t="shared" si="426"/>
        <v>#DIV/0!</v>
      </c>
      <c r="BB522" s="494">
        <v>5155.41</v>
      </c>
      <c r="BC522" s="494">
        <v>2070.12</v>
      </c>
      <c r="BD522" s="494">
        <v>848.92</v>
      </c>
      <c r="BE522" s="494">
        <v>819.73</v>
      </c>
      <c r="BF522" s="494">
        <v>611.5</v>
      </c>
      <c r="BG522" s="494">
        <v>1080.04</v>
      </c>
      <c r="BH522" s="494">
        <v>2671800.0099999998</v>
      </c>
      <c r="BI522" s="494">
        <f t="shared" si="449"/>
        <v>4422.8500000000004</v>
      </c>
      <c r="BJ522" s="494">
        <v>14289.54</v>
      </c>
      <c r="BK522" s="494">
        <v>3389.61</v>
      </c>
      <c r="BL522" s="494">
        <v>5995.76</v>
      </c>
      <c r="BM522" s="494">
        <v>548.62</v>
      </c>
      <c r="BN522" s="493" t="e">
        <f t="shared" si="437"/>
        <v>#DIV/0!</v>
      </c>
      <c r="BO522" s="493" t="e">
        <f t="shared" si="438"/>
        <v>#DIV/0!</v>
      </c>
      <c r="BP522" s="493" t="e">
        <f t="shared" si="439"/>
        <v>#DIV/0!</v>
      </c>
      <c r="BQ522" s="493" t="e">
        <f t="shared" si="440"/>
        <v>#DIV/0!</v>
      </c>
      <c r="BR522" s="493" t="e">
        <f t="shared" si="441"/>
        <v>#DIV/0!</v>
      </c>
      <c r="BS522" s="493" t="e">
        <f t="shared" si="442"/>
        <v>#DIV/0!</v>
      </c>
      <c r="BT522" s="493" t="e">
        <f t="shared" si="443"/>
        <v>#DIV/0!</v>
      </c>
      <c r="BU522" s="493" t="e">
        <f t="shared" si="444"/>
        <v>#DIV/0!</v>
      </c>
      <c r="BV522" s="493" t="e">
        <f t="shared" si="445"/>
        <v>#DIV/0!</v>
      </c>
      <c r="BW522" s="493" t="e">
        <f t="shared" si="446"/>
        <v>#DIV/0!</v>
      </c>
      <c r="BX522" s="493" t="e">
        <f t="shared" si="447"/>
        <v>#DIV/0!</v>
      </c>
      <c r="BY522" s="493" t="e">
        <f t="shared" si="448"/>
        <v>#DIV/0!</v>
      </c>
    </row>
    <row r="523" spans="1:77" s="28" customFormat="1" ht="9" customHeight="1">
      <c r="A523" s="278">
        <v>155</v>
      </c>
      <c r="B523" s="339" t="s">
        <v>798</v>
      </c>
      <c r="C523" s="249">
        <v>622.20000000000005</v>
      </c>
      <c r="D523" s="376"/>
      <c r="E523" s="424" t="s">
        <v>1006</v>
      </c>
      <c r="F523" s="249"/>
      <c r="G523" s="249"/>
      <c r="H523" s="407">
        <v>1781934</v>
      </c>
      <c r="I523" s="407">
        <f t="shared" ref="I523:I527" si="475">J523+L523+N523+P523+R523+T523</f>
        <v>0</v>
      </c>
      <c r="J523" s="217">
        <v>0</v>
      </c>
      <c r="K523" s="469">
        <v>0</v>
      </c>
      <c r="L523" s="217">
        <v>0</v>
      </c>
      <c r="M523" s="469">
        <v>0</v>
      </c>
      <c r="N523" s="217">
        <v>0</v>
      </c>
      <c r="O523" s="249">
        <v>0</v>
      </c>
      <c r="P523" s="407">
        <v>0</v>
      </c>
      <c r="Q523" s="249">
        <v>0</v>
      </c>
      <c r="R523" s="407">
        <v>0</v>
      </c>
      <c r="S523" s="249">
        <v>0</v>
      </c>
      <c r="T523" s="407">
        <v>0</v>
      </c>
      <c r="U523" s="130">
        <v>0</v>
      </c>
      <c r="V523" s="407">
        <v>0</v>
      </c>
      <c r="W523" s="411">
        <v>551</v>
      </c>
      <c r="X523" s="407">
        <f t="shared" ref="X523:X527" si="476">ROUND(H523/100*95.5,2)</f>
        <v>1701746.97</v>
      </c>
      <c r="Y523" s="410">
        <v>0</v>
      </c>
      <c r="Z523" s="410">
        <v>0</v>
      </c>
      <c r="AA523" s="410">
        <v>0</v>
      </c>
      <c r="AB523" s="410">
        <v>0</v>
      </c>
      <c r="AC523" s="410">
        <v>0</v>
      </c>
      <c r="AD523" s="410">
        <v>0</v>
      </c>
      <c r="AE523" s="410">
        <v>0</v>
      </c>
      <c r="AF523" s="410">
        <v>0</v>
      </c>
      <c r="AG523" s="410">
        <v>0</v>
      </c>
      <c r="AH523" s="410">
        <v>0</v>
      </c>
      <c r="AI523" s="410">
        <v>0</v>
      </c>
      <c r="AJ523" s="410">
        <f t="shared" ref="AJ523:AJ527" si="477">ROUND(H523/100*3,2)</f>
        <v>53458.02</v>
      </c>
      <c r="AK523" s="410">
        <f t="shared" ref="AK523:AK527" si="478">ROUND(H523/100*1.5,2)</f>
        <v>26729.01</v>
      </c>
      <c r="AL523" s="410">
        <v>0</v>
      </c>
      <c r="AM523" s="446"/>
      <c r="AN523" s="446"/>
      <c r="AP523" s="486" t="e">
        <f t="shared" si="425"/>
        <v>#DIV/0!</v>
      </c>
      <c r="AQ523" s="486" t="e">
        <f t="shared" si="427"/>
        <v>#DIV/0!</v>
      </c>
      <c r="AR523" s="486" t="e">
        <f t="shared" si="428"/>
        <v>#DIV/0!</v>
      </c>
      <c r="AS523" s="486" t="e">
        <f t="shared" si="429"/>
        <v>#DIV/0!</v>
      </c>
      <c r="AT523" s="486" t="e">
        <f t="shared" si="430"/>
        <v>#DIV/0!</v>
      </c>
      <c r="AU523" s="486" t="e">
        <f t="shared" si="431"/>
        <v>#DIV/0!</v>
      </c>
      <c r="AV523" s="486" t="e">
        <f t="shared" si="432"/>
        <v>#DIV/0!</v>
      </c>
      <c r="AW523" s="486">
        <f t="shared" si="433"/>
        <v>3088.47</v>
      </c>
      <c r="AX523" s="486" t="e">
        <f t="shared" si="434"/>
        <v>#DIV/0!</v>
      </c>
      <c r="AY523" s="486" t="e">
        <f t="shared" si="435"/>
        <v>#DIV/0!</v>
      </c>
      <c r="AZ523" s="486" t="e">
        <f t="shared" si="436"/>
        <v>#DIV/0!</v>
      </c>
      <c r="BA523" s="486">
        <f t="shared" si="426"/>
        <v>0</v>
      </c>
      <c r="BB523" s="494">
        <v>5155.41</v>
      </c>
      <c r="BC523" s="494">
        <v>2070.12</v>
      </c>
      <c r="BD523" s="494">
        <v>848.92</v>
      </c>
      <c r="BE523" s="494">
        <v>819.73</v>
      </c>
      <c r="BF523" s="494">
        <v>611.5</v>
      </c>
      <c r="BG523" s="494">
        <v>1080.04</v>
      </c>
      <c r="BH523" s="494">
        <v>2671800.0099999998</v>
      </c>
      <c r="BI523" s="494">
        <f t="shared" si="449"/>
        <v>4422.8500000000004</v>
      </c>
      <c r="BJ523" s="494">
        <v>14289.54</v>
      </c>
      <c r="BK523" s="494">
        <v>3389.61</v>
      </c>
      <c r="BL523" s="494">
        <v>5995.76</v>
      </c>
      <c r="BM523" s="494">
        <v>548.62</v>
      </c>
      <c r="BN523" s="495" t="e">
        <f t="shared" si="437"/>
        <v>#DIV/0!</v>
      </c>
      <c r="BO523" s="495" t="e">
        <f t="shared" si="438"/>
        <v>#DIV/0!</v>
      </c>
      <c r="BP523" s="495" t="e">
        <f t="shared" si="439"/>
        <v>#DIV/0!</v>
      </c>
      <c r="BQ523" s="495" t="e">
        <f t="shared" si="440"/>
        <v>#DIV/0!</v>
      </c>
      <c r="BR523" s="495" t="e">
        <f t="shared" si="441"/>
        <v>#DIV/0!</v>
      </c>
      <c r="BS523" s="495" t="e">
        <f t="shared" si="442"/>
        <v>#DIV/0!</v>
      </c>
      <c r="BT523" s="495" t="e">
        <f t="shared" si="443"/>
        <v>#DIV/0!</v>
      </c>
      <c r="BU523" s="495" t="str">
        <f t="shared" si="444"/>
        <v xml:space="preserve"> </v>
      </c>
      <c r="BV523" s="495" t="e">
        <f t="shared" si="445"/>
        <v>#DIV/0!</v>
      </c>
      <c r="BW523" s="495" t="e">
        <f t="shared" si="446"/>
        <v>#DIV/0!</v>
      </c>
      <c r="BX523" s="495" t="e">
        <f t="shared" si="447"/>
        <v>#DIV/0!</v>
      </c>
      <c r="BY523" s="495" t="str">
        <f t="shared" si="448"/>
        <v xml:space="preserve"> </v>
      </c>
    </row>
    <row r="524" spans="1:77" s="28" customFormat="1" ht="9" customHeight="1">
      <c r="A524" s="278">
        <v>156</v>
      </c>
      <c r="B524" s="339" t="s">
        <v>799</v>
      </c>
      <c r="C524" s="249">
        <v>610.79999999999995</v>
      </c>
      <c r="D524" s="376"/>
      <c r="E524" s="424" t="s">
        <v>1006</v>
      </c>
      <c r="F524" s="249"/>
      <c r="G524" s="249"/>
      <c r="H524" s="407">
        <v>336012.6</v>
      </c>
      <c r="I524" s="407">
        <f t="shared" si="475"/>
        <v>0</v>
      </c>
      <c r="J524" s="217">
        <v>0</v>
      </c>
      <c r="K524" s="469">
        <v>0</v>
      </c>
      <c r="L524" s="217">
        <v>0</v>
      </c>
      <c r="M524" s="469">
        <v>0</v>
      </c>
      <c r="N524" s="217">
        <v>0</v>
      </c>
      <c r="O524" s="249">
        <v>0</v>
      </c>
      <c r="P524" s="407">
        <v>0</v>
      </c>
      <c r="Q524" s="249">
        <v>0</v>
      </c>
      <c r="R524" s="407">
        <v>0</v>
      </c>
      <c r="S524" s="249">
        <v>0</v>
      </c>
      <c r="T524" s="407">
        <v>0</v>
      </c>
      <c r="U524" s="130">
        <v>0</v>
      </c>
      <c r="V524" s="407">
        <v>0</v>
      </c>
      <c r="W524" s="410">
        <v>103.9</v>
      </c>
      <c r="X524" s="407">
        <f t="shared" si="476"/>
        <v>320892.03000000003</v>
      </c>
      <c r="Y524" s="410">
        <v>0</v>
      </c>
      <c r="Z524" s="410">
        <v>0</v>
      </c>
      <c r="AA524" s="410">
        <v>0</v>
      </c>
      <c r="AB524" s="410">
        <v>0</v>
      </c>
      <c r="AC524" s="410">
        <v>0</v>
      </c>
      <c r="AD524" s="410">
        <v>0</v>
      </c>
      <c r="AE524" s="410">
        <v>0</v>
      </c>
      <c r="AF524" s="410">
        <v>0</v>
      </c>
      <c r="AG524" s="410">
        <v>0</v>
      </c>
      <c r="AH524" s="410">
        <v>0</v>
      </c>
      <c r="AI524" s="410">
        <v>0</v>
      </c>
      <c r="AJ524" s="410">
        <f t="shared" si="477"/>
        <v>10080.379999999999</v>
      </c>
      <c r="AK524" s="410">
        <f t="shared" si="478"/>
        <v>5040.1899999999996</v>
      </c>
      <c r="AL524" s="410">
        <v>0</v>
      </c>
      <c r="AM524" s="446"/>
      <c r="AN524" s="446"/>
      <c r="AP524" s="486" t="e">
        <f t="shared" si="425"/>
        <v>#DIV/0!</v>
      </c>
      <c r="AQ524" s="486" t="e">
        <f t="shared" si="427"/>
        <v>#DIV/0!</v>
      </c>
      <c r="AR524" s="486" t="e">
        <f t="shared" si="428"/>
        <v>#DIV/0!</v>
      </c>
      <c r="AS524" s="486" t="e">
        <f t="shared" si="429"/>
        <v>#DIV/0!</v>
      </c>
      <c r="AT524" s="486" t="e">
        <f t="shared" si="430"/>
        <v>#DIV/0!</v>
      </c>
      <c r="AU524" s="486" t="e">
        <f t="shared" si="431"/>
        <v>#DIV/0!</v>
      </c>
      <c r="AV524" s="486" t="e">
        <f t="shared" si="432"/>
        <v>#DIV/0!</v>
      </c>
      <c r="AW524" s="486">
        <f t="shared" si="433"/>
        <v>3088.4699711260828</v>
      </c>
      <c r="AX524" s="486" t="e">
        <f t="shared" si="434"/>
        <v>#DIV/0!</v>
      </c>
      <c r="AY524" s="486" t="e">
        <f t="shared" si="435"/>
        <v>#DIV/0!</v>
      </c>
      <c r="AZ524" s="486" t="e">
        <f t="shared" si="436"/>
        <v>#DIV/0!</v>
      </c>
      <c r="BA524" s="486">
        <f t="shared" si="426"/>
        <v>0</v>
      </c>
      <c r="BB524" s="494">
        <v>5155.41</v>
      </c>
      <c r="BC524" s="494">
        <v>2070.12</v>
      </c>
      <c r="BD524" s="494">
        <v>848.92</v>
      </c>
      <c r="BE524" s="494">
        <v>819.73</v>
      </c>
      <c r="BF524" s="494">
        <v>611.5</v>
      </c>
      <c r="BG524" s="494">
        <v>1080.04</v>
      </c>
      <c r="BH524" s="494">
        <v>2671800.0099999998</v>
      </c>
      <c r="BI524" s="494">
        <f t="shared" si="449"/>
        <v>4422.8500000000004</v>
      </c>
      <c r="BJ524" s="494">
        <v>14289.54</v>
      </c>
      <c r="BK524" s="494">
        <v>3389.61</v>
      </c>
      <c r="BL524" s="494">
        <v>5995.76</v>
      </c>
      <c r="BM524" s="494">
        <v>548.62</v>
      </c>
      <c r="BN524" s="495" t="e">
        <f t="shared" si="437"/>
        <v>#DIV/0!</v>
      </c>
      <c r="BO524" s="495" t="e">
        <f t="shared" si="438"/>
        <v>#DIV/0!</v>
      </c>
      <c r="BP524" s="495" t="e">
        <f t="shared" si="439"/>
        <v>#DIV/0!</v>
      </c>
      <c r="BQ524" s="495" t="e">
        <f t="shared" si="440"/>
        <v>#DIV/0!</v>
      </c>
      <c r="BR524" s="495" t="e">
        <f t="shared" si="441"/>
        <v>#DIV/0!</v>
      </c>
      <c r="BS524" s="495" t="e">
        <f t="shared" si="442"/>
        <v>#DIV/0!</v>
      </c>
      <c r="BT524" s="495" t="e">
        <f t="shared" si="443"/>
        <v>#DIV/0!</v>
      </c>
      <c r="BU524" s="495" t="str">
        <f t="shared" si="444"/>
        <v xml:space="preserve"> </v>
      </c>
      <c r="BV524" s="495" t="e">
        <f t="shared" si="445"/>
        <v>#DIV/0!</v>
      </c>
      <c r="BW524" s="495" t="e">
        <f t="shared" si="446"/>
        <v>#DIV/0!</v>
      </c>
      <c r="BX524" s="495" t="e">
        <f t="shared" si="447"/>
        <v>#DIV/0!</v>
      </c>
      <c r="BY524" s="495" t="str">
        <f t="shared" si="448"/>
        <v xml:space="preserve"> </v>
      </c>
    </row>
    <row r="525" spans="1:77" s="28" customFormat="1" ht="9" customHeight="1">
      <c r="A525" s="406">
        <v>157</v>
      </c>
      <c r="B525" s="339" t="s">
        <v>800</v>
      </c>
      <c r="C525" s="249">
        <v>635.4</v>
      </c>
      <c r="D525" s="376"/>
      <c r="E525" s="424" t="s">
        <v>1006</v>
      </c>
      <c r="F525" s="249"/>
      <c r="G525" s="249"/>
      <c r="H525" s="407">
        <v>1969506</v>
      </c>
      <c r="I525" s="407">
        <f t="shared" si="475"/>
        <v>0</v>
      </c>
      <c r="J525" s="217">
        <v>0</v>
      </c>
      <c r="K525" s="469">
        <v>0</v>
      </c>
      <c r="L525" s="217">
        <v>0</v>
      </c>
      <c r="M525" s="469">
        <v>0</v>
      </c>
      <c r="N525" s="217">
        <v>0</v>
      </c>
      <c r="O525" s="249">
        <v>0</v>
      </c>
      <c r="P525" s="407">
        <v>0</v>
      </c>
      <c r="Q525" s="249">
        <v>0</v>
      </c>
      <c r="R525" s="407">
        <v>0</v>
      </c>
      <c r="S525" s="249">
        <v>0</v>
      </c>
      <c r="T525" s="407">
        <v>0</v>
      </c>
      <c r="U525" s="130">
        <v>0</v>
      </c>
      <c r="V525" s="407">
        <v>0</v>
      </c>
      <c r="W525" s="410">
        <v>609</v>
      </c>
      <c r="X525" s="407">
        <f t="shared" si="476"/>
        <v>1880878.23</v>
      </c>
      <c r="Y525" s="410">
        <v>0</v>
      </c>
      <c r="Z525" s="410">
        <v>0</v>
      </c>
      <c r="AA525" s="410">
        <v>0</v>
      </c>
      <c r="AB525" s="410">
        <v>0</v>
      </c>
      <c r="AC525" s="410">
        <v>0</v>
      </c>
      <c r="AD525" s="410">
        <v>0</v>
      </c>
      <c r="AE525" s="410">
        <v>0</v>
      </c>
      <c r="AF525" s="410">
        <v>0</v>
      </c>
      <c r="AG525" s="410">
        <v>0</v>
      </c>
      <c r="AH525" s="410">
        <v>0</v>
      </c>
      <c r="AI525" s="410">
        <v>0</v>
      </c>
      <c r="AJ525" s="410">
        <f t="shared" si="477"/>
        <v>59085.18</v>
      </c>
      <c r="AK525" s="410">
        <f t="shared" si="478"/>
        <v>29542.59</v>
      </c>
      <c r="AL525" s="410">
        <v>0</v>
      </c>
      <c r="AM525" s="446"/>
      <c r="AN525" s="446"/>
      <c r="AP525" s="486" t="e">
        <f t="shared" si="425"/>
        <v>#DIV/0!</v>
      </c>
      <c r="AQ525" s="486" t="e">
        <f t="shared" si="427"/>
        <v>#DIV/0!</v>
      </c>
      <c r="AR525" s="486" t="e">
        <f t="shared" si="428"/>
        <v>#DIV/0!</v>
      </c>
      <c r="AS525" s="486" t="e">
        <f t="shared" si="429"/>
        <v>#DIV/0!</v>
      </c>
      <c r="AT525" s="486" t="e">
        <f t="shared" si="430"/>
        <v>#DIV/0!</v>
      </c>
      <c r="AU525" s="486" t="e">
        <f t="shared" si="431"/>
        <v>#DIV/0!</v>
      </c>
      <c r="AV525" s="486" t="e">
        <f t="shared" si="432"/>
        <v>#DIV/0!</v>
      </c>
      <c r="AW525" s="486">
        <f t="shared" si="433"/>
        <v>3088.47</v>
      </c>
      <c r="AX525" s="486" t="e">
        <f t="shared" si="434"/>
        <v>#DIV/0!</v>
      </c>
      <c r="AY525" s="486" t="e">
        <f t="shared" si="435"/>
        <v>#DIV/0!</v>
      </c>
      <c r="AZ525" s="486" t="e">
        <f t="shared" si="436"/>
        <v>#DIV/0!</v>
      </c>
      <c r="BA525" s="486">
        <f t="shared" si="426"/>
        <v>0</v>
      </c>
      <c r="BB525" s="494">
        <v>5155.41</v>
      </c>
      <c r="BC525" s="494">
        <v>2070.12</v>
      </c>
      <c r="BD525" s="494">
        <v>848.92</v>
      </c>
      <c r="BE525" s="494">
        <v>819.73</v>
      </c>
      <c r="BF525" s="494">
        <v>611.5</v>
      </c>
      <c r="BG525" s="494">
        <v>1080.04</v>
      </c>
      <c r="BH525" s="494">
        <v>2671800.0099999998</v>
      </c>
      <c r="BI525" s="494">
        <f t="shared" si="449"/>
        <v>4422.8500000000004</v>
      </c>
      <c r="BJ525" s="494">
        <v>14289.54</v>
      </c>
      <c r="BK525" s="494">
        <v>3389.61</v>
      </c>
      <c r="BL525" s="494">
        <v>5995.76</v>
      </c>
      <c r="BM525" s="494">
        <v>548.62</v>
      </c>
      <c r="BN525" s="495" t="e">
        <f t="shared" si="437"/>
        <v>#DIV/0!</v>
      </c>
      <c r="BO525" s="495" t="e">
        <f t="shared" si="438"/>
        <v>#DIV/0!</v>
      </c>
      <c r="BP525" s="495" t="e">
        <f t="shared" si="439"/>
        <v>#DIV/0!</v>
      </c>
      <c r="BQ525" s="495" t="e">
        <f t="shared" si="440"/>
        <v>#DIV/0!</v>
      </c>
      <c r="BR525" s="495" t="e">
        <f t="shared" si="441"/>
        <v>#DIV/0!</v>
      </c>
      <c r="BS525" s="495" t="e">
        <f t="shared" si="442"/>
        <v>#DIV/0!</v>
      </c>
      <c r="BT525" s="495" t="e">
        <f t="shared" si="443"/>
        <v>#DIV/0!</v>
      </c>
      <c r="BU525" s="495" t="str">
        <f t="shared" si="444"/>
        <v xml:space="preserve"> </v>
      </c>
      <c r="BV525" s="495" t="e">
        <f t="shared" si="445"/>
        <v>#DIV/0!</v>
      </c>
      <c r="BW525" s="495" t="e">
        <f t="shared" si="446"/>
        <v>#DIV/0!</v>
      </c>
      <c r="BX525" s="495" t="e">
        <f t="shared" si="447"/>
        <v>#DIV/0!</v>
      </c>
      <c r="BY525" s="495" t="str">
        <f t="shared" si="448"/>
        <v xml:space="preserve"> </v>
      </c>
    </row>
    <row r="526" spans="1:77" s="28" customFormat="1" ht="9" customHeight="1">
      <c r="A526" s="406">
        <v>158</v>
      </c>
      <c r="B526" s="339" t="s">
        <v>801</v>
      </c>
      <c r="C526" s="249">
        <v>623.5</v>
      </c>
      <c r="D526" s="376"/>
      <c r="E526" s="424" t="s">
        <v>1006</v>
      </c>
      <c r="F526" s="249"/>
      <c r="G526" s="249"/>
      <c r="H526" s="407">
        <v>2108568</v>
      </c>
      <c r="I526" s="407">
        <f t="shared" si="475"/>
        <v>0</v>
      </c>
      <c r="J526" s="217">
        <v>0</v>
      </c>
      <c r="K526" s="469">
        <v>0</v>
      </c>
      <c r="L526" s="217">
        <v>0</v>
      </c>
      <c r="M526" s="469">
        <v>0</v>
      </c>
      <c r="N526" s="217">
        <v>0</v>
      </c>
      <c r="O526" s="249">
        <v>0</v>
      </c>
      <c r="P526" s="407">
        <v>0</v>
      </c>
      <c r="Q526" s="249">
        <v>0</v>
      </c>
      <c r="R526" s="407">
        <v>0</v>
      </c>
      <c r="S526" s="249">
        <v>0</v>
      </c>
      <c r="T526" s="407">
        <v>0</v>
      </c>
      <c r="U526" s="130">
        <v>0</v>
      </c>
      <c r="V526" s="407">
        <v>0</v>
      </c>
      <c r="W526" s="410">
        <v>652</v>
      </c>
      <c r="X526" s="407">
        <f t="shared" si="476"/>
        <v>2013682.44</v>
      </c>
      <c r="Y526" s="410">
        <v>0</v>
      </c>
      <c r="Z526" s="410">
        <v>0</v>
      </c>
      <c r="AA526" s="410">
        <v>0</v>
      </c>
      <c r="AB526" s="410">
        <v>0</v>
      </c>
      <c r="AC526" s="410">
        <v>0</v>
      </c>
      <c r="AD526" s="410">
        <v>0</v>
      </c>
      <c r="AE526" s="410">
        <v>0</v>
      </c>
      <c r="AF526" s="410">
        <v>0</v>
      </c>
      <c r="AG526" s="410">
        <v>0</v>
      </c>
      <c r="AH526" s="410">
        <v>0</v>
      </c>
      <c r="AI526" s="410">
        <v>0</v>
      </c>
      <c r="AJ526" s="410">
        <f t="shared" si="477"/>
        <v>63257.04</v>
      </c>
      <c r="AK526" s="410">
        <f t="shared" si="478"/>
        <v>31628.52</v>
      </c>
      <c r="AL526" s="410">
        <v>0</v>
      </c>
      <c r="AM526" s="446"/>
      <c r="AN526" s="446"/>
      <c r="AP526" s="486" t="e">
        <f t="shared" si="425"/>
        <v>#DIV/0!</v>
      </c>
      <c r="AQ526" s="486" t="e">
        <f t="shared" si="427"/>
        <v>#DIV/0!</v>
      </c>
      <c r="AR526" s="486" t="e">
        <f t="shared" si="428"/>
        <v>#DIV/0!</v>
      </c>
      <c r="AS526" s="486" t="e">
        <f t="shared" si="429"/>
        <v>#DIV/0!</v>
      </c>
      <c r="AT526" s="486" t="e">
        <f t="shared" si="430"/>
        <v>#DIV/0!</v>
      </c>
      <c r="AU526" s="486" t="e">
        <f t="shared" si="431"/>
        <v>#DIV/0!</v>
      </c>
      <c r="AV526" s="486" t="e">
        <f t="shared" si="432"/>
        <v>#DIV/0!</v>
      </c>
      <c r="AW526" s="486">
        <f t="shared" si="433"/>
        <v>3088.47</v>
      </c>
      <c r="AX526" s="486" t="e">
        <f t="shared" si="434"/>
        <v>#DIV/0!</v>
      </c>
      <c r="AY526" s="486" t="e">
        <f t="shared" si="435"/>
        <v>#DIV/0!</v>
      </c>
      <c r="AZ526" s="486" t="e">
        <f t="shared" si="436"/>
        <v>#DIV/0!</v>
      </c>
      <c r="BA526" s="486">
        <f t="shared" si="426"/>
        <v>0</v>
      </c>
      <c r="BB526" s="494">
        <v>5155.41</v>
      </c>
      <c r="BC526" s="494">
        <v>2070.12</v>
      </c>
      <c r="BD526" s="494">
        <v>848.92</v>
      </c>
      <c r="BE526" s="494">
        <v>819.73</v>
      </c>
      <c r="BF526" s="494">
        <v>611.5</v>
      </c>
      <c r="BG526" s="494">
        <v>1080.04</v>
      </c>
      <c r="BH526" s="494">
        <v>2671800.0099999998</v>
      </c>
      <c r="BI526" s="494">
        <f t="shared" si="449"/>
        <v>4422.8500000000004</v>
      </c>
      <c r="BJ526" s="494">
        <v>14289.54</v>
      </c>
      <c r="BK526" s="494">
        <v>3389.61</v>
      </c>
      <c r="BL526" s="494">
        <v>5995.76</v>
      </c>
      <c r="BM526" s="494">
        <v>548.62</v>
      </c>
      <c r="BN526" s="495" t="e">
        <f t="shared" si="437"/>
        <v>#DIV/0!</v>
      </c>
      <c r="BO526" s="495" t="e">
        <f t="shared" si="438"/>
        <v>#DIV/0!</v>
      </c>
      <c r="BP526" s="495" t="e">
        <f t="shared" si="439"/>
        <v>#DIV/0!</v>
      </c>
      <c r="BQ526" s="495" t="e">
        <f t="shared" si="440"/>
        <v>#DIV/0!</v>
      </c>
      <c r="BR526" s="495" t="e">
        <f t="shared" si="441"/>
        <v>#DIV/0!</v>
      </c>
      <c r="BS526" s="495" t="e">
        <f t="shared" si="442"/>
        <v>#DIV/0!</v>
      </c>
      <c r="BT526" s="495" t="e">
        <f t="shared" si="443"/>
        <v>#DIV/0!</v>
      </c>
      <c r="BU526" s="495" t="str">
        <f t="shared" si="444"/>
        <v xml:space="preserve"> </v>
      </c>
      <c r="BV526" s="495" t="e">
        <f t="shared" si="445"/>
        <v>#DIV/0!</v>
      </c>
      <c r="BW526" s="495" t="e">
        <f t="shared" si="446"/>
        <v>#DIV/0!</v>
      </c>
      <c r="BX526" s="495" t="e">
        <f t="shared" si="447"/>
        <v>#DIV/0!</v>
      </c>
      <c r="BY526" s="495" t="str">
        <f t="shared" si="448"/>
        <v xml:space="preserve"> </v>
      </c>
    </row>
    <row r="527" spans="1:77" s="28" customFormat="1" ht="9" customHeight="1">
      <c r="A527" s="406">
        <v>159</v>
      </c>
      <c r="B527" s="339" t="s">
        <v>802</v>
      </c>
      <c r="C527" s="249">
        <v>530.1</v>
      </c>
      <c r="D527" s="376"/>
      <c r="E527" s="424" t="s">
        <v>1006</v>
      </c>
      <c r="F527" s="249"/>
      <c r="G527" s="249"/>
      <c r="H527" s="407">
        <v>1465002</v>
      </c>
      <c r="I527" s="407">
        <f t="shared" si="475"/>
        <v>0</v>
      </c>
      <c r="J527" s="217">
        <v>0</v>
      </c>
      <c r="K527" s="469">
        <v>0</v>
      </c>
      <c r="L527" s="217">
        <v>0</v>
      </c>
      <c r="M527" s="469">
        <v>0</v>
      </c>
      <c r="N527" s="217">
        <v>0</v>
      </c>
      <c r="O527" s="249">
        <v>0</v>
      </c>
      <c r="P527" s="407">
        <v>0</v>
      </c>
      <c r="Q527" s="249">
        <v>0</v>
      </c>
      <c r="R527" s="407">
        <v>0</v>
      </c>
      <c r="S527" s="249">
        <v>0</v>
      </c>
      <c r="T527" s="407">
        <v>0</v>
      </c>
      <c r="U527" s="130">
        <v>0</v>
      </c>
      <c r="V527" s="407">
        <v>0</v>
      </c>
      <c r="W527" s="410">
        <v>453</v>
      </c>
      <c r="X527" s="407">
        <f t="shared" si="476"/>
        <v>1399076.91</v>
      </c>
      <c r="Y527" s="410">
        <v>0</v>
      </c>
      <c r="Z527" s="410">
        <v>0</v>
      </c>
      <c r="AA527" s="410">
        <v>0</v>
      </c>
      <c r="AB527" s="410">
        <v>0</v>
      </c>
      <c r="AC527" s="410">
        <v>0</v>
      </c>
      <c r="AD527" s="410">
        <v>0</v>
      </c>
      <c r="AE527" s="410">
        <v>0</v>
      </c>
      <c r="AF527" s="410">
        <v>0</v>
      </c>
      <c r="AG527" s="410">
        <v>0</v>
      </c>
      <c r="AH527" s="410">
        <v>0</v>
      </c>
      <c r="AI527" s="410">
        <v>0</v>
      </c>
      <c r="AJ527" s="410">
        <f t="shared" si="477"/>
        <v>43950.06</v>
      </c>
      <c r="AK527" s="410">
        <f t="shared" si="478"/>
        <v>21975.03</v>
      </c>
      <c r="AL527" s="410">
        <v>0</v>
      </c>
      <c r="AM527" s="446"/>
      <c r="AN527" s="446"/>
      <c r="AP527" s="486" t="e">
        <f t="shared" si="425"/>
        <v>#DIV/0!</v>
      </c>
      <c r="AQ527" s="486" t="e">
        <f t="shared" si="427"/>
        <v>#DIV/0!</v>
      </c>
      <c r="AR527" s="486" t="e">
        <f t="shared" si="428"/>
        <v>#DIV/0!</v>
      </c>
      <c r="AS527" s="486" t="e">
        <f t="shared" si="429"/>
        <v>#DIV/0!</v>
      </c>
      <c r="AT527" s="486" t="e">
        <f t="shared" si="430"/>
        <v>#DIV/0!</v>
      </c>
      <c r="AU527" s="486" t="e">
        <f t="shared" si="431"/>
        <v>#DIV/0!</v>
      </c>
      <c r="AV527" s="486" t="e">
        <f t="shared" si="432"/>
        <v>#DIV/0!</v>
      </c>
      <c r="AW527" s="486">
        <f t="shared" si="433"/>
        <v>3088.47</v>
      </c>
      <c r="AX527" s="486" t="e">
        <f t="shared" si="434"/>
        <v>#DIV/0!</v>
      </c>
      <c r="AY527" s="486" t="e">
        <f t="shared" si="435"/>
        <v>#DIV/0!</v>
      </c>
      <c r="AZ527" s="486" t="e">
        <f t="shared" si="436"/>
        <v>#DIV/0!</v>
      </c>
      <c r="BA527" s="486">
        <f t="shared" si="426"/>
        <v>0</v>
      </c>
      <c r="BB527" s="494">
        <v>5155.41</v>
      </c>
      <c r="BC527" s="494">
        <v>2070.12</v>
      </c>
      <c r="BD527" s="494">
        <v>848.92</v>
      </c>
      <c r="BE527" s="494">
        <v>819.73</v>
      </c>
      <c r="BF527" s="494">
        <v>611.5</v>
      </c>
      <c r="BG527" s="494">
        <v>1080.04</v>
      </c>
      <c r="BH527" s="494">
        <v>2671800.0099999998</v>
      </c>
      <c r="BI527" s="494">
        <f t="shared" si="449"/>
        <v>4422.8500000000004</v>
      </c>
      <c r="BJ527" s="494">
        <v>14289.54</v>
      </c>
      <c r="BK527" s="494">
        <v>3389.61</v>
      </c>
      <c r="BL527" s="494">
        <v>5995.76</v>
      </c>
      <c r="BM527" s="494">
        <v>548.62</v>
      </c>
      <c r="BN527" s="495" t="e">
        <f t="shared" si="437"/>
        <v>#DIV/0!</v>
      </c>
      <c r="BO527" s="495" t="e">
        <f t="shared" si="438"/>
        <v>#DIV/0!</v>
      </c>
      <c r="BP527" s="495" t="e">
        <f t="shared" si="439"/>
        <v>#DIV/0!</v>
      </c>
      <c r="BQ527" s="495" t="e">
        <f t="shared" si="440"/>
        <v>#DIV/0!</v>
      </c>
      <c r="BR527" s="495" t="e">
        <f t="shared" si="441"/>
        <v>#DIV/0!</v>
      </c>
      <c r="BS527" s="495" t="e">
        <f t="shared" si="442"/>
        <v>#DIV/0!</v>
      </c>
      <c r="BT527" s="495" t="e">
        <f t="shared" si="443"/>
        <v>#DIV/0!</v>
      </c>
      <c r="BU527" s="495" t="str">
        <f t="shared" si="444"/>
        <v xml:space="preserve"> </v>
      </c>
      <c r="BV527" s="495" t="e">
        <f t="shared" si="445"/>
        <v>#DIV/0!</v>
      </c>
      <c r="BW527" s="495" t="e">
        <f t="shared" si="446"/>
        <v>#DIV/0!</v>
      </c>
      <c r="BX527" s="495" t="e">
        <f t="shared" si="447"/>
        <v>#DIV/0!</v>
      </c>
      <c r="BY527" s="495" t="str">
        <f t="shared" si="448"/>
        <v xml:space="preserve"> </v>
      </c>
    </row>
    <row r="528" spans="1:77" s="28" customFormat="1" ht="25.5" customHeight="1">
      <c r="A528" s="954" t="s">
        <v>250</v>
      </c>
      <c r="B528" s="954"/>
      <c r="C528" s="407">
        <f>SUM(C523:C527)</f>
        <v>3022</v>
      </c>
      <c r="D528" s="396"/>
      <c r="E528" s="407" t="s">
        <v>391</v>
      </c>
      <c r="F528" s="249"/>
      <c r="G528" s="249"/>
      <c r="H528" s="407">
        <f>SUM(H523:H527)</f>
        <v>7661022.5999999996</v>
      </c>
      <c r="I528" s="407">
        <f t="shared" ref="I528:AL528" si="479">SUM(I523:I527)</f>
        <v>0</v>
      </c>
      <c r="J528" s="407">
        <f t="shared" si="479"/>
        <v>0</v>
      </c>
      <c r="K528" s="407">
        <f t="shared" si="479"/>
        <v>0</v>
      </c>
      <c r="L528" s="407">
        <f t="shared" si="479"/>
        <v>0</v>
      </c>
      <c r="M528" s="407">
        <f t="shared" si="479"/>
        <v>0</v>
      </c>
      <c r="N528" s="407">
        <f t="shared" si="479"/>
        <v>0</v>
      </c>
      <c r="O528" s="407">
        <f t="shared" si="479"/>
        <v>0</v>
      </c>
      <c r="P528" s="407">
        <f t="shared" si="479"/>
        <v>0</v>
      </c>
      <c r="Q528" s="407">
        <f t="shared" si="479"/>
        <v>0</v>
      </c>
      <c r="R528" s="407">
        <f t="shared" si="479"/>
        <v>0</v>
      </c>
      <c r="S528" s="407">
        <f t="shared" si="479"/>
        <v>0</v>
      </c>
      <c r="T528" s="407">
        <f t="shared" si="479"/>
        <v>0</v>
      </c>
      <c r="U528" s="130">
        <f t="shared" si="479"/>
        <v>0</v>
      </c>
      <c r="V528" s="407">
        <f t="shared" si="479"/>
        <v>0</v>
      </c>
      <c r="W528" s="407">
        <f t="shared" si="479"/>
        <v>2368.9</v>
      </c>
      <c r="X528" s="407">
        <f t="shared" si="479"/>
        <v>7316276.5800000001</v>
      </c>
      <c r="Y528" s="407">
        <f t="shared" si="479"/>
        <v>0</v>
      </c>
      <c r="Z528" s="407">
        <f t="shared" si="479"/>
        <v>0</v>
      </c>
      <c r="AA528" s="407">
        <f t="shared" si="479"/>
        <v>0</v>
      </c>
      <c r="AB528" s="407">
        <f t="shared" si="479"/>
        <v>0</v>
      </c>
      <c r="AC528" s="407">
        <f t="shared" si="479"/>
        <v>0</v>
      </c>
      <c r="AD528" s="407">
        <f t="shared" si="479"/>
        <v>0</v>
      </c>
      <c r="AE528" s="407">
        <f t="shared" si="479"/>
        <v>0</v>
      </c>
      <c r="AF528" s="407">
        <f t="shared" si="479"/>
        <v>0</v>
      </c>
      <c r="AG528" s="407">
        <f t="shared" si="479"/>
        <v>0</v>
      </c>
      <c r="AH528" s="407">
        <f t="shared" si="479"/>
        <v>0</v>
      </c>
      <c r="AI528" s="407">
        <f t="shared" si="479"/>
        <v>0</v>
      </c>
      <c r="AJ528" s="407">
        <f t="shared" si="479"/>
        <v>229830.68</v>
      </c>
      <c r="AK528" s="407">
        <f t="shared" si="479"/>
        <v>114915.34</v>
      </c>
      <c r="AL528" s="407">
        <f t="shared" si="479"/>
        <v>0</v>
      </c>
      <c r="AM528" s="280"/>
      <c r="AN528" s="280"/>
      <c r="AP528" s="486" t="e">
        <f t="shared" si="425"/>
        <v>#DIV/0!</v>
      </c>
      <c r="AQ528" s="486" t="e">
        <f t="shared" si="427"/>
        <v>#DIV/0!</v>
      </c>
      <c r="AR528" s="497" t="e">
        <f t="shared" si="428"/>
        <v>#DIV/0!</v>
      </c>
      <c r="AS528" s="497" t="e">
        <f t="shared" si="429"/>
        <v>#DIV/0!</v>
      </c>
      <c r="AT528" s="497" t="e">
        <f t="shared" si="430"/>
        <v>#DIV/0!</v>
      </c>
      <c r="AU528" s="497" t="e">
        <f t="shared" si="431"/>
        <v>#DIV/0!</v>
      </c>
      <c r="AV528" s="497" t="e">
        <f t="shared" si="432"/>
        <v>#DIV/0!</v>
      </c>
      <c r="AW528" s="497">
        <f t="shared" si="433"/>
        <v>3088.4699987335894</v>
      </c>
      <c r="AX528" s="497" t="e">
        <f t="shared" si="434"/>
        <v>#DIV/0!</v>
      </c>
      <c r="AY528" s="486" t="e">
        <f t="shared" si="435"/>
        <v>#DIV/0!</v>
      </c>
      <c r="AZ528" s="497" t="e">
        <f t="shared" si="436"/>
        <v>#DIV/0!</v>
      </c>
      <c r="BA528" s="486">
        <f t="shared" si="426"/>
        <v>0</v>
      </c>
      <c r="BB528" s="494">
        <v>5155.41</v>
      </c>
      <c r="BC528" s="494">
        <v>2070.12</v>
      </c>
      <c r="BD528" s="494">
        <v>848.92</v>
      </c>
      <c r="BE528" s="494">
        <v>819.73</v>
      </c>
      <c r="BF528" s="494">
        <v>611.5</v>
      </c>
      <c r="BG528" s="494">
        <v>1080.04</v>
      </c>
      <c r="BH528" s="494">
        <v>2671800.0099999998</v>
      </c>
      <c r="BI528" s="494">
        <f t="shared" si="449"/>
        <v>4422.8500000000004</v>
      </c>
      <c r="BJ528" s="494">
        <v>14289.54</v>
      </c>
      <c r="BK528" s="494">
        <v>3389.61</v>
      </c>
      <c r="BL528" s="494">
        <v>5995.76</v>
      </c>
      <c r="BM528" s="494">
        <v>548.62</v>
      </c>
      <c r="BN528" s="493" t="e">
        <f t="shared" si="437"/>
        <v>#DIV/0!</v>
      </c>
      <c r="BO528" s="493" t="e">
        <f t="shared" si="438"/>
        <v>#DIV/0!</v>
      </c>
      <c r="BP528" s="493" t="e">
        <f t="shared" si="439"/>
        <v>#DIV/0!</v>
      </c>
      <c r="BQ528" s="493" t="e">
        <f t="shared" si="440"/>
        <v>#DIV/0!</v>
      </c>
      <c r="BR528" s="493" t="e">
        <f t="shared" si="441"/>
        <v>#DIV/0!</v>
      </c>
      <c r="BS528" s="493" t="e">
        <f t="shared" si="442"/>
        <v>#DIV/0!</v>
      </c>
      <c r="BT528" s="493" t="e">
        <f t="shared" si="443"/>
        <v>#DIV/0!</v>
      </c>
      <c r="BU528" s="493" t="str">
        <f t="shared" si="444"/>
        <v xml:space="preserve"> </v>
      </c>
      <c r="BV528" s="493" t="e">
        <f t="shared" si="445"/>
        <v>#DIV/0!</v>
      </c>
      <c r="BW528" s="493" t="e">
        <f t="shared" si="446"/>
        <v>#DIV/0!</v>
      </c>
      <c r="BX528" s="493" t="e">
        <f t="shared" si="447"/>
        <v>#DIV/0!</v>
      </c>
      <c r="BY528" s="493" t="str">
        <f t="shared" si="448"/>
        <v xml:space="preserve"> </v>
      </c>
    </row>
    <row r="529" spans="1:77" s="28" customFormat="1" ht="14.25" customHeight="1">
      <c r="A529" s="833" t="s">
        <v>259</v>
      </c>
      <c r="B529" s="834"/>
      <c r="C529" s="834"/>
      <c r="D529" s="834"/>
      <c r="E529" s="834"/>
      <c r="F529" s="834"/>
      <c r="G529" s="834"/>
      <c r="H529" s="834"/>
      <c r="I529" s="834"/>
      <c r="J529" s="834"/>
      <c r="K529" s="834"/>
      <c r="L529" s="834"/>
      <c r="M529" s="834"/>
      <c r="N529" s="834"/>
      <c r="O529" s="834"/>
      <c r="P529" s="834"/>
      <c r="Q529" s="834"/>
      <c r="R529" s="834"/>
      <c r="S529" s="834"/>
      <c r="T529" s="834"/>
      <c r="U529" s="834"/>
      <c r="V529" s="834"/>
      <c r="W529" s="834"/>
      <c r="X529" s="834"/>
      <c r="Y529" s="834"/>
      <c r="Z529" s="834"/>
      <c r="AA529" s="834"/>
      <c r="AB529" s="834"/>
      <c r="AC529" s="834"/>
      <c r="AD529" s="834"/>
      <c r="AE529" s="834"/>
      <c r="AF529" s="834"/>
      <c r="AG529" s="834"/>
      <c r="AH529" s="834"/>
      <c r="AI529" s="834"/>
      <c r="AJ529" s="834"/>
      <c r="AK529" s="834"/>
      <c r="AL529" s="835"/>
      <c r="AM529" s="280"/>
      <c r="AN529" s="280"/>
      <c r="AP529" s="486" t="e">
        <f t="shared" ref="AP529:AP592" si="480">J529/D529</f>
        <v>#DIV/0!</v>
      </c>
      <c r="AQ529" s="486" t="e">
        <f t="shared" si="427"/>
        <v>#DIV/0!</v>
      </c>
      <c r="AR529" s="497" t="e">
        <f t="shared" si="428"/>
        <v>#DIV/0!</v>
      </c>
      <c r="AS529" s="497" t="e">
        <f t="shared" si="429"/>
        <v>#DIV/0!</v>
      </c>
      <c r="AT529" s="497" t="e">
        <f t="shared" si="430"/>
        <v>#DIV/0!</v>
      </c>
      <c r="AU529" s="497" t="e">
        <f t="shared" si="431"/>
        <v>#DIV/0!</v>
      </c>
      <c r="AV529" s="497" t="e">
        <f t="shared" si="432"/>
        <v>#DIV/0!</v>
      </c>
      <c r="AW529" s="497" t="e">
        <f t="shared" si="433"/>
        <v>#DIV/0!</v>
      </c>
      <c r="AX529" s="497" t="e">
        <f t="shared" si="434"/>
        <v>#DIV/0!</v>
      </c>
      <c r="AY529" s="486" t="e">
        <f t="shared" si="435"/>
        <v>#DIV/0!</v>
      </c>
      <c r="AZ529" s="497" t="e">
        <f t="shared" si="436"/>
        <v>#DIV/0!</v>
      </c>
      <c r="BA529" s="486" t="e">
        <f t="shared" ref="BA529:BA592" si="481">AI529/C529</f>
        <v>#DIV/0!</v>
      </c>
      <c r="BB529" s="494">
        <v>5155.41</v>
      </c>
      <c r="BC529" s="494">
        <v>2070.12</v>
      </c>
      <c r="BD529" s="494">
        <v>848.92</v>
      </c>
      <c r="BE529" s="494">
        <v>819.73</v>
      </c>
      <c r="BF529" s="494">
        <v>611.5</v>
      </c>
      <c r="BG529" s="494">
        <v>1080.04</v>
      </c>
      <c r="BH529" s="494">
        <v>2671800.0099999998</v>
      </c>
      <c r="BI529" s="494">
        <f t="shared" si="449"/>
        <v>4422.8500000000004</v>
      </c>
      <c r="BJ529" s="494">
        <v>14289.54</v>
      </c>
      <c r="BK529" s="494">
        <v>3389.61</v>
      </c>
      <c r="BL529" s="494">
        <v>5995.76</v>
      </c>
      <c r="BM529" s="494">
        <v>548.62</v>
      </c>
      <c r="BN529" s="493" t="e">
        <f t="shared" si="437"/>
        <v>#DIV/0!</v>
      </c>
      <c r="BO529" s="493" t="e">
        <f t="shared" si="438"/>
        <v>#DIV/0!</v>
      </c>
      <c r="BP529" s="493" t="e">
        <f t="shared" si="439"/>
        <v>#DIV/0!</v>
      </c>
      <c r="BQ529" s="493" t="e">
        <f t="shared" si="440"/>
        <v>#DIV/0!</v>
      </c>
      <c r="BR529" s="493" t="e">
        <f t="shared" si="441"/>
        <v>#DIV/0!</v>
      </c>
      <c r="BS529" s="493" t="e">
        <f t="shared" si="442"/>
        <v>#DIV/0!</v>
      </c>
      <c r="BT529" s="493" t="e">
        <f t="shared" si="443"/>
        <v>#DIV/0!</v>
      </c>
      <c r="BU529" s="493" t="e">
        <f t="shared" si="444"/>
        <v>#DIV/0!</v>
      </c>
      <c r="BV529" s="493" t="e">
        <f t="shared" si="445"/>
        <v>#DIV/0!</v>
      </c>
      <c r="BW529" s="493" t="e">
        <f t="shared" si="446"/>
        <v>#DIV/0!</v>
      </c>
      <c r="BX529" s="493" t="e">
        <f t="shared" si="447"/>
        <v>#DIV/0!</v>
      </c>
      <c r="BY529" s="493" t="e">
        <f t="shared" si="448"/>
        <v>#DIV/0!</v>
      </c>
    </row>
    <row r="530" spans="1:77" s="28" customFormat="1" ht="9" customHeight="1">
      <c r="A530" s="166">
        <v>160</v>
      </c>
      <c r="B530" s="276" t="s">
        <v>807</v>
      </c>
      <c r="C530" s="249">
        <v>702.8</v>
      </c>
      <c r="D530" s="376"/>
      <c r="E530" s="424" t="s">
        <v>1006</v>
      </c>
      <c r="F530" s="249"/>
      <c r="G530" s="249"/>
      <c r="H530" s="407">
        <v>2076616.08</v>
      </c>
      <c r="I530" s="407">
        <f t="shared" ref="I530:I531" si="482">J530+L530+N530+P530+R530+T530</f>
        <v>0</v>
      </c>
      <c r="J530" s="217">
        <v>0</v>
      </c>
      <c r="K530" s="469">
        <v>0</v>
      </c>
      <c r="L530" s="217">
        <v>0</v>
      </c>
      <c r="M530" s="469">
        <v>0</v>
      </c>
      <c r="N530" s="217">
        <v>0</v>
      </c>
      <c r="O530" s="249">
        <v>0</v>
      </c>
      <c r="P530" s="407">
        <v>0</v>
      </c>
      <c r="Q530" s="249">
        <v>0</v>
      </c>
      <c r="R530" s="407">
        <v>0</v>
      </c>
      <c r="S530" s="249">
        <v>0</v>
      </c>
      <c r="T530" s="407">
        <v>0</v>
      </c>
      <c r="U530" s="130">
        <v>0</v>
      </c>
      <c r="V530" s="407">
        <v>0</v>
      </c>
      <c r="W530" s="47">
        <v>642.12</v>
      </c>
      <c r="X530" s="407">
        <f t="shared" ref="X530:X531" si="483">ROUND(H530/100*95.5,2)</f>
        <v>1983168.36</v>
      </c>
      <c r="Y530" s="410">
        <v>0</v>
      </c>
      <c r="Z530" s="410">
        <v>0</v>
      </c>
      <c r="AA530" s="410">
        <v>0</v>
      </c>
      <c r="AB530" s="410">
        <v>0</v>
      </c>
      <c r="AC530" s="410">
        <v>0</v>
      </c>
      <c r="AD530" s="410">
        <v>0</v>
      </c>
      <c r="AE530" s="410">
        <v>0</v>
      </c>
      <c r="AF530" s="410">
        <v>0</v>
      </c>
      <c r="AG530" s="410">
        <v>0</v>
      </c>
      <c r="AH530" s="410">
        <v>0</v>
      </c>
      <c r="AI530" s="410">
        <v>0</v>
      </c>
      <c r="AJ530" s="410">
        <f t="shared" ref="AJ530:AJ531" si="484">ROUND(H530/100*3,2)</f>
        <v>62298.48</v>
      </c>
      <c r="AK530" s="410">
        <f t="shared" ref="AK530:AK531" si="485">ROUND(H530/100*1.5,2)</f>
        <v>31149.24</v>
      </c>
      <c r="AL530" s="410">
        <v>0</v>
      </c>
      <c r="AM530" s="446"/>
      <c r="AN530" s="446"/>
      <c r="AP530" s="486" t="e">
        <f t="shared" si="480"/>
        <v>#DIV/0!</v>
      </c>
      <c r="AQ530" s="486" t="e">
        <f t="shared" ref="AQ530:AQ593" si="486">L530/K530</f>
        <v>#DIV/0!</v>
      </c>
      <c r="AR530" s="486" t="e">
        <f t="shared" ref="AR530:AR593" si="487">N530/M530</f>
        <v>#DIV/0!</v>
      </c>
      <c r="AS530" s="486" t="e">
        <f t="shared" ref="AS530:AS593" si="488">P530/O530</f>
        <v>#DIV/0!</v>
      </c>
      <c r="AT530" s="486" t="e">
        <f t="shared" ref="AT530:AT593" si="489">R530/Q530</f>
        <v>#DIV/0!</v>
      </c>
      <c r="AU530" s="486" t="e">
        <f t="shared" ref="AU530:AU593" si="490">T530/S530</f>
        <v>#DIV/0!</v>
      </c>
      <c r="AV530" s="486" t="e">
        <f t="shared" ref="AV530:AV593" si="491">V530/U530</f>
        <v>#DIV/0!</v>
      </c>
      <c r="AW530" s="486">
        <f t="shared" ref="AW530:AW593" si="492">X530/W530</f>
        <v>3088.4700056064289</v>
      </c>
      <c r="AX530" s="486" t="e">
        <f t="shared" ref="AX530:AX593" si="493">Z530/Y530</f>
        <v>#DIV/0!</v>
      </c>
      <c r="AY530" s="486" t="e">
        <f t="shared" ref="AY530:AY593" si="494">AB530/AA530</f>
        <v>#DIV/0!</v>
      </c>
      <c r="AZ530" s="486" t="e">
        <f t="shared" ref="AZ530:AZ593" si="495">AH530/AG530</f>
        <v>#DIV/0!</v>
      </c>
      <c r="BA530" s="486">
        <f t="shared" si="481"/>
        <v>0</v>
      </c>
      <c r="BB530" s="494">
        <v>5155.41</v>
      </c>
      <c r="BC530" s="494">
        <v>2070.12</v>
      </c>
      <c r="BD530" s="494">
        <v>848.92</v>
      </c>
      <c r="BE530" s="494">
        <v>819.73</v>
      </c>
      <c r="BF530" s="494">
        <v>611.5</v>
      </c>
      <c r="BG530" s="494">
        <v>1080.04</v>
      </c>
      <c r="BH530" s="494">
        <v>2671800.0099999998</v>
      </c>
      <c r="BI530" s="494">
        <f t="shared" si="449"/>
        <v>4422.8500000000004</v>
      </c>
      <c r="BJ530" s="494">
        <v>14289.54</v>
      </c>
      <c r="BK530" s="494">
        <v>3389.61</v>
      </c>
      <c r="BL530" s="494">
        <v>5995.76</v>
      </c>
      <c r="BM530" s="494">
        <v>548.62</v>
      </c>
      <c r="BN530" s="495" t="e">
        <f t="shared" ref="BN530:BN593" si="496">IF(AP530&gt;BB530, "+", " ")</f>
        <v>#DIV/0!</v>
      </c>
      <c r="BO530" s="495" t="e">
        <f t="shared" ref="BO530:BO593" si="497">IF(AQ530&gt;BC530, "+", " ")</f>
        <v>#DIV/0!</v>
      </c>
      <c r="BP530" s="495" t="e">
        <f t="shared" ref="BP530:BP593" si="498">IF(AR530&gt;BD530, "+", " ")</f>
        <v>#DIV/0!</v>
      </c>
      <c r="BQ530" s="495" t="e">
        <f t="shared" ref="BQ530:BQ593" si="499">IF(AS530&gt;BE530, "+", " ")</f>
        <v>#DIV/0!</v>
      </c>
      <c r="BR530" s="495" t="e">
        <f t="shared" ref="BR530:BR593" si="500">IF(AT530&gt;BF530, "+", " ")</f>
        <v>#DIV/0!</v>
      </c>
      <c r="BS530" s="495" t="e">
        <f t="shared" ref="BS530:BS593" si="501">IF(AU530&gt;BG530, "+", " ")</f>
        <v>#DIV/0!</v>
      </c>
      <c r="BT530" s="495" t="e">
        <f t="shared" ref="BT530:BT593" si="502">IF(AV530&gt;BH530, "+", " ")</f>
        <v>#DIV/0!</v>
      </c>
      <c r="BU530" s="495" t="str">
        <f t="shared" ref="BU530:BU593" si="503">IF(AW530&gt;BI530, "+", " ")</f>
        <v xml:space="preserve"> </v>
      </c>
      <c r="BV530" s="495" t="e">
        <f t="shared" ref="BV530:BV593" si="504">IF(AX530&gt;BJ530, "+", " ")</f>
        <v>#DIV/0!</v>
      </c>
      <c r="BW530" s="495" t="e">
        <f t="shared" ref="BW530:BW593" si="505">IF(AY530&gt;BK530, "+", " ")</f>
        <v>#DIV/0!</v>
      </c>
      <c r="BX530" s="495" t="e">
        <f t="shared" ref="BX530:BX593" si="506">IF(AZ530&gt;BL530, "+", " ")</f>
        <v>#DIV/0!</v>
      </c>
      <c r="BY530" s="495" t="str">
        <f t="shared" ref="BY530:BY593" si="507">IF(BA530&gt;BM530, "+", " ")</f>
        <v xml:space="preserve"> </v>
      </c>
    </row>
    <row r="531" spans="1:77" s="28" customFormat="1" ht="9" customHeight="1">
      <c r="A531" s="166">
        <v>161</v>
      </c>
      <c r="B531" s="276" t="s">
        <v>808</v>
      </c>
      <c r="C531" s="249">
        <v>1798.2</v>
      </c>
      <c r="D531" s="376"/>
      <c r="E531" s="424" t="s">
        <v>1006</v>
      </c>
      <c r="F531" s="249"/>
      <c r="G531" s="249"/>
      <c r="H531" s="407">
        <v>3104640</v>
      </c>
      <c r="I531" s="407">
        <f t="shared" si="482"/>
        <v>0</v>
      </c>
      <c r="J531" s="217">
        <v>0</v>
      </c>
      <c r="K531" s="469">
        <v>0</v>
      </c>
      <c r="L531" s="217">
        <v>0</v>
      </c>
      <c r="M531" s="469">
        <v>0</v>
      </c>
      <c r="N531" s="217">
        <v>0</v>
      </c>
      <c r="O531" s="249">
        <v>0</v>
      </c>
      <c r="P531" s="407">
        <v>0</v>
      </c>
      <c r="Q531" s="249">
        <v>0</v>
      </c>
      <c r="R531" s="407">
        <v>0</v>
      </c>
      <c r="S531" s="249">
        <v>0</v>
      </c>
      <c r="T531" s="407">
        <v>0</v>
      </c>
      <c r="U531" s="130">
        <v>0</v>
      </c>
      <c r="V531" s="407">
        <v>0</v>
      </c>
      <c r="W531" s="47">
        <v>960</v>
      </c>
      <c r="X531" s="407">
        <f t="shared" si="483"/>
        <v>2964931.2</v>
      </c>
      <c r="Y531" s="410">
        <v>0</v>
      </c>
      <c r="Z531" s="410">
        <v>0</v>
      </c>
      <c r="AA531" s="410">
        <v>0</v>
      </c>
      <c r="AB531" s="410">
        <v>0</v>
      </c>
      <c r="AC531" s="410">
        <v>0</v>
      </c>
      <c r="AD531" s="410">
        <v>0</v>
      </c>
      <c r="AE531" s="410">
        <v>0</v>
      </c>
      <c r="AF531" s="410">
        <v>0</v>
      </c>
      <c r="AG531" s="410">
        <v>0</v>
      </c>
      <c r="AH531" s="410">
        <v>0</v>
      </c>
      <c r="AI531" s="410">
        <v>0</v>
      </c>
      <c r="AJ531" s="410">
        <f t="shared" si="484"/>
        <v>93139.199999999997</v>
      </c>
      <c r="AK531" s="410">
        <f t="shared" si="485"/>
        <v>46569.599999999999</v>
      </c>
      <c r="AL531" s="410">
        <v>0</v>
      </c>
      <c r="AM531" s="446"/>
      <c r="AN531" s="446"/>
      <c r="AP531" s="486" t="e">
        <f t="shared" si="480"/>
        <v>#DIV/0!</v>
      </c>
      <c r="AQ531" s="486" t="e">
        <f t="shared" si="486"/>
        <v>#DIV/0!</v>
      </c>
      <c r="AR531" s="486" t="e">
        <f t="shared" si="487"/>
        <v>#DIV/0!</v>
      </c>
      <c r="AS531" s="486" t="e">
        <f t="shared" si="488"/>
        <v>#DIV/0!</v>
      </c>
      <c r="AT531" s="486" t="e">
        <f t="shared" si="489"/>
        <v>#DIV/0!</v>
      </c>
      <c r="AU531" s="486" t="e">
        <f t="shared" si="490"/>
        <v>#DIV/0!</v>
      </c>
      <c r="AV531" s="486" t="e">
        <f t="shared" si="491"/>
        <v>#DIV/0!</v>
      </c>
      <c r="AW531" s="486">
        <f t="shared" si="492"/>
        <v>3088.4700000000003</v>
      </c>
      <c r="AX531" s="486" t="e">
        <f t="shared" si="493"/>
        <v>#DIV/0!</v>
      </c>
      <c r="AY531" s="486" t="e">
        <f t="shared" si="494"/>
        <v>#DIV/0!</v>
      </c>
      <c r="AZ531" s="486" t="e">
        <f t="shared" si="495"/>
        <v>#DIV/0!</v>
      </c>
      <c r="BA531" s="486">
        <f t="shared" si="481"/>
        <v>0</v>
      </c>
      <c r="BB531" s="494">
        <v>5155.41</v>
      </c>
      <c r="BC531" s="494">
        <v>2070.12</v>
      </c>
      <c r="BD531" s="494">
        <v>848.92</v>
      </c>
      <c r="BE531" s="494">
        <v>819.73</v>
      </c>
      <c r="BF531" s="494">
        <v>611.5</v>
      </c>
      <c r="BG531" s="494">
        <v>1080.04</v>
      </c>
      <c r="BH531" s="494">
        <v>2671800.0099999998</v>
      </c>
      <c r="BI531" s="494">
        <f t="shared" si="449"/>
        <v>4422.8500000000004</v>
      </c>
      <c r="BJ531" s="494">
        <v>14289.54</v>
      </c>
      <c r="BK531" s="494">
        <v>3389.61</v>
      </c>
      <c r="BL531" s="494">
        <v>5995.76</v>
      </c>
      <c r="BM531" s="494">
        <v>548.62</v>
      </c>
      <c r="BN531" s="495" t="e">
        <f t="shared" si="496"/>
        <v>#DIV/0!</v>
      </c>
      <c r="BO531" s="495" t="e">
        <f t="shared" si="497"/>
        <v>#DIV/0!</v>
      </c>
      <c r="BP531" s="495" t="e">
        <f t="shared" si="498"/>
        <v>#DIV/0!</v>
      </c>
      <c r="BQ531" s="495" t="e">
        <f t="shared" si="499"/>
        <v>#DIV/0!</v>
      </c>
      <c r="BR531" s="495" t="e">
        <f t="shared" si="500"/>
        <v>#DIV/0!</v>
      </c>
      <c r="BS531" s="495" t="e">
        <f t="shared" si="501"/>
        <v>#DIV/0!</v>
      </c>
      <c r="BT531" s="495" t="e">
        <f t="shared" si="502"/>
        <v>#DIV/0!</v>
      </c>
      <c r="BU531" s="495" t="str">
        <f t="shared" si="503"/>
        <v xml:space="preserve"> </v>
      </c>
      <c r="BV531" s="495" t="e">
        <f t="shared" si="504"/>
        <v>#DIV/0!</v>
      </c>
      <c r="BW531" s="495" t="e">
        <f t="shared" si="505"/>
        <v>#DIV/0!</v>
      </c>
      <c r="BX531" s="495" t="e">
        <f t="shared" si="506"/>
        <v>#DIV/0!</v>
      </c>
      <c r="BY531" s="495" t="str">
        <f t="shared" si="507"/>
        <v xml:space="preserve"> </v>
      </c>
    </row>
    <row r="532" spans="1:77" s="28" customFormat="1" ht="28.5" customHeight="1">
      <c r="A532" s="956" t="s">
        <v>261</v>
      </c>
      <c r="B532" s="956"/>
      <c r="C532" s="167">
        <f>SUM(C530:C531)</f>
        <v>2501</v>
      </c>
      <c r="D532" s="397"/>
      <c r="E532" s="407" t="s">
        <v>391</v>
      </c>
      <c r="F532" s="249"/>
      <c r="G532" s="249"/>
      <c r="H532" s="167">
        <f>SUM(H530:H531)</f>
        <v>5181256.08</v>
      </c>
      <c r="I532" s="167">
        <f t="shared" ref="I532:AN532" si="508">SUM(I530:I531)</f>
        <v>0</v>
      </c>
      <c r="J532" s="167">
        <f t="shared" si="508"/>
        <v>0</v>
      </c>
      <c r="K532" s="167">
        <f t="shared" si="508"/>
        <v>0</v>
      </c>
      <c r="L532" s="167">
        <f t="shared" si="508"/>
        <v>0</v>
      </c>
      <c r="M532" s="167">
        <f t="shared" si="508"/>
        <v>0</v>
      </c>
      <c r="N532" s="167">
        <f t="shared" si="508"/>
        <v>0</v>
      </c>
      <c r="O532" s="167">
        <f t="shared" si="508"/>
        <v>0</v>
      </c>
      <c r="P532" s="167">
        <f t="shared" si="508"/>
        <v>0</v>
      </c>
      <c r="Q532" s="167">
        <f t="shared" si="508"/>
        <v>0</v>
      </c>
      <c r="R532" s="167">
        <f t="shared" si="508"/>
        <v>0</v>
      </c>
      <c r="S532" s="167">
        <f t="shared" si="508"/>
        <v>0</v>
      </c>
      <c r="T532" s="167">
        <f t="shared" si="508"/>
        <v>0</v>
      </c>
      <c r="U532" s="190">
        <f t="shared" si="508"/>
        <v>0</v>
      </c>
      <c r="V532" s="167">
        <f t="shared" si="508"/>
        <v>0</v>
      </c>
      <c r="W532" s="167">
        <f t="shared" si="508"/>
        <v>1602.12</v>
      </c>
      <c r="X532" s="167">
        <f t="shared" si="508"/>
        <v>4948099.5600000005</v>
      </c>
      <c r="Y532" s="167">
        <f t="shared" si="508"/>
        <v>0</v>
      </c>
      <c r="Z532" s="167">
        <f t="shared" si="508"/>
        <v>0</v>
      </c>
      <c r="AA532" s="167">
        <f t="shared" si="508"/>
        <v>0</v>
      </c>
      <c r="AB532" s="167">
        <f t="shared" si="508"/>
        <v>0</v>
      </c>
      <c r="AC532" s="167">
        <f t="shared" si="508"/>
        <v>0</v>
      </c>
      <c r="AD532" s="167">
        <f t="shared" si="508"/>
        <v>0</v>
      </c>
      <c r="AE532" s="167">
        <f t="shared" si="508"/>
        <v>0</v>
      </c>
      <c r="AF532" s="167">
        <f t="shared" si="508"/>
        <v>0</v>
      </c>
      <c r="AG532" s="167">
        <f t="shared" si="508"/>
        <v>0</v>
      </c>
      <c r="AH532" s="167">
        <f t="shared" si="508"/>
        <v>0</v>
      </c>
      <c r="AI532" s="167">
        <f t="shared" si="508"/>
        <v>0</v>
      </c>
      <c r="AJ532" s="167">
        <f t="shared" si="508"/>
        <v>155437.68</v>
      </c>
      <c r="AK532" s="167">
        <f t="shared" si="508"/>
        <v>77718.84</v>
      </c>
      <c r="AL532" s="167">
        <f t="shared" si="508"/>
        <v>0</v>
      </c>
      <c r="AM532" s="167">
        <f t="shared" si="508"/>
        <v>0</v>
      </c>
      <c r="AN532" s="167">
        <f t="shared" si="508"/>
        <v>0</v>
      </c>
      <c r="AP532" s="486" t="e">
        <f t="shared" si="480"/>
        <v>#DIV/0!</v>
      </c>
      <c r="AQ532" s="486" t="e">
        <f t="shared" si="486"/>
        <v>#DIV/0!</v>
      </c>
      <c r="AR532" s="497" t="e">
        <f t="shared" si="487"/>
        <v>#DIV/0!</v>
      </c>
      <c r="AS532" s="497" t="e">
        <f t="shared" si="488"/>
        <v>#DIV/0!</v>
      </c>
      <c r="AT532" s="497" t="e">
        <f t="shared" si="489"/>
        <v>#DIV/0!</v>
      </c>
      <c r="AU532" s="497" t="e">
        <f t="shared" si="490"/>
        <v>#DIV/0!</v>
      </c>
      <c r="AV532" s="497" t="e">
        <f t="shared" si="491"/>
        <v>#DIV/0!</v>
      </c>
      <c r="AW532" s="497">
        <f t="shared" si="492"/>
        <v>3088.4700022470233</v>
      </c>
      <c r="AX532" s="497" t="e">
        <f t="shared" si="493"/>
        <v>#DIV/0!</v>
      </c>
      <c r="AY532" s="486" t="e">
        <f t="shared" si="494"/>
        <v>#DIV/0!</v>
      </c>
      <c r="AZ532" s="497" t="e">
        <f t="shared" si="495"/>
        <v>#DIV/0!</v>
      </c>
      <c r="BA532" s="486">
        <f t="shared" si="481"/>
        <v>0</v>
      </c>
      <c r="BB532" s="494">
        <v>5155.41</v>
      </c>
      <c r="BC532" s="494">
        <v>2070.12</v>
      </c>
      <c r="BD532" s="494">
        <v>848.92</v>
      </c>
      <c r="BE532" s="494">
        <v>819.73</v>
      </c>
      <c r="BF532" s="494">
        <v>611.5</v>
      </c>
      <c r="BG532" s="494">
        <v>1080.04</v>
      </c>
      <c r="BH532" s="494">
        <v>2671800.0099999998</v>
      </c>
      <c r="BI532" s="494">
        <f t="shared" si="449"/>
        <v>4422.8500000000004</v>
      </c>
      <c r="BJ532" s="494">
        <v>14289.54</v>
      </c>
      <c r="BK532" s="494">
        <v>3389.61</v>
      </c>
      <c r="BL532" s="494">
        <v>5995.76</v>
      </c>
      <c r="BM532" s="494">
        <v>548.62</v>
      </c>
      <c r="BN532" s="493" t="e">
        <f t="shared" si="496"/>
        <v>#DIV/0!</v>
      </c>
      <c r="BO532" s="493" t="e">
        <f t="shared" si="497"/>
        <v>#DIV/0!</v>
      </c>
      <c r="BP532" s="493" t="e">
        <f t="shared" si="498"/>
        <v>#DIV/0!</v>
      </c>
      <c r="BQ532" s="493" t="e">
        <f t="shared" si="499"/>
        <v>#DIV/0!</v>
      </c>
      <c r="BR532" s="493" t="e">
        <f t="shared" si="500"/>
        <v>#DIV/0!</v>
      </c>
      <c r="BS532" s="493" t="e">
        <f t="shared" si="501"/>
        <v>#DIV/0!</v>
      </c>
      <c r="BT532" s="493" t="e">
        <f t="shared" si="502"/>
        <v>#DIV/0!</v>
      </c>
      <c r="BU532" s="493" t="str">
        <f t="shared" si="503"/>
        <v xml:space="preserve"> </v>
      </c>
      <c r="BV532" s="493" t="e">
        <f t="shared" si="504"/>
        <v>#DIV/0!</v>
      </c>
      <c r="BW532" s="493" t="e">
        <f t="shared" si="505"/>
        <v>#DIV/0!</v>
      </c>
      <c r="BX532" s="493" t="e">
        <f t="shared" si="506"/>
        <v>#DIV/0!</v>
      </c>
      <c r="BY532" s="493" t="str">
        <f t="shared" si="507"/>
        <v xml:space="preserve"> </v>
      </c>
    </row>
    <row r="533" spans="1:77" s="28" customFormat="1" ht="15" customHeight="1">
      <c r="A533" s="837" t="s">
        <v>395</v>
      </c>
      <c r="B533" s="838"/>
      <c r="C533" s="838"/>
      <c r="D533" s="838"/>
      <c r="E533" s="838"/>
      <c r="F533" s="838"/>
      <c r="G533" s="838"/>
      <c r="H533" s="838"/>
      <c r="I533" s="838"/>
      <c r="J533" s="838"/>
      <c r="K533" s="838"/>
      <c r="L533" s="838"/>
      <c r="M533" s="838"/>
      <c r="N533" s="838"/>
      <c r="O533" s="838"/>
      <c r="P533" s="838"/>
      <c r="Q533" s="838"/>
      <c r="R533" s="838"/>
      <c r="S533" s="838"/>
      <c r="T533" s="838"/>
      <c r="U533" s="838"/>
      <c r="V533" s="838"/>
      <c r="W533" s="838"/>
      <c r="X533" s="838"/>
      <c r="Y533" s="838"/>
      <c r="Z533" s="838"/>
      <c r="AA533" s="838"/>
      <c r="AB533" s="838"/>
      <c r="AC533" s="838"/>
      <c r="AD533" s="838"/>
      <c r="AE533" s="838"/>
      <c r="AF533" s="838"/>
      <c r="AG533" s="838"/>
      <c r="AH533" s="838"/>
      <c r="AI533" s="838"/>
      <c r="AJ533" s="838"/>
      <c r="AK533" s="838"/>
      <c r="AL533" s="839"/>
      <c r="AM533" s="280"/>
      <c r="AN533" s="280"/>
      <c r="AP533" s="486" t="e">
        <f t="shared" si="480"/>
        <v>#DIV/0!</v>
      </c>
      <c r="AQ533" s="486" t="e">
        <f t="shared" si="486"/>
        <v>#DIV/0!</v>
      </c>
      <c r="AR533" s="497" t="e">
        <f t="shared" si="487"/>
        <v>#DIV/0!</v>
      </c>
      <c r="AS533" s="497" t="e">
        <f t="shared" si="488"/>
        <v>#DIV/0!</v>
      </c>
      <c r="AT533" s="497" t="e">
        <f t="shared" si="489"/>
        <v>#DIV/0!</v>
      </c>
      <c r="AU533" s="497" t="e">
        <f t="shared" si="490"/>
        <v>#DIV/0!</v>
      </c>
      <c r="AV533" s="497" t="e">
        <f t="shared" si="491"/>
        <v>#DIV/0!</v>
      </c>
      <c r="AW533" s="497" t="e">
        <f t="shared" si="492"/>
        <v>#DIV/0!</v>
      </c>
      <c r="AX533" s="497" t="e">
        <f t="shared" si="493"/>
        <v>#DIV/0!</v>
      </c>
      <c r="AY533" s="486" t="e">
        <f t="shared" si="494"/>
        <v>#DIV/0!</v>
      </c>
      <c r="AZ533" s="497" t="e">
        <f t="shared" si="495"/>
        <v>#DIV/0!</v>
      </c>
      <c r="BA533" s="486" t="e">
        <f t="shared" si="481"/>
        <v>#DIV/0!</v>
      </c>
      <c r="BB533" s="494">
        <v>5155.41</v>
      </c>
      <c r="BC533" s="494">
        <v>2070.12</v>
      </c>
      <c r="BD533" s="494">
        <v>848.92</v>
      </c>
      <c r="BE533" s="494">
        <v>819.73</v>
      </c>
      <c r="BF533" s="494">
        <v>611.5</v>
      </c>
      <c r="BG533" s="494">
        <v>1080.04</v>
      </c>
      <c r="BH533" s="494">
        <v>2671800.0099999998</v>
      </c>
      <c r="BI533" s="494">
        <f t="shared" si="449"/>
        <v>4422.8500000000004</v>
      </c>
      <c r="BJ533" s="494">
        <v>14289.54</v>
      </c>
      <c r="BK533" s="494">
        <v>3389.61</v>
      </c>
      <c r="BL533" s="494">
        <v>5995.76</v>
      </c>
      <c r="BM533" s="494">
        <v>548.62</v>
      </c>
      <c r="BN533" s="493" t="e">
        <f t="shared" si="496"/>
        <v>#DIV/0!</v>
      </c>
      <c r="BO533" s="493" t="e">
        <f t="shared" si="497"/>
        <v>#DIV/0!</v>
      </c>
      <c r="BP533" s="493" t="e">
        <f t="shared" si="498"/>
        <v>#DIV/0!</v>
      </c>
      <c r="BQ533" s="493" t="e">
        <f t="shared" si="499"/>
        <v>#DIV/0!</v>
      </c>
      <c r="BR533" s="493" t="e">
        <f t="shared" si="500"/>
        <v>#DIV/0!</v>
      </c>
      <c r="BS533" s="493" t="e">
        <f t="shared" si="501"/>
        <v>#DIV/0!</v>
      </c>
      <c r="BT533" s="493" t="e">
        <f t="shared" si="502"/>
        <v>#DIV/0!</v>
      </c>
      <c r="BU533" s="493" t="e">
        <f t="shared" si="503"/>
        <v>#DIV/0!</v>
      </c>
      <c r="BV533" s="493" t="e">
        <f t="shared" si="504"/>
        <v>#DIV/0!</v>
      </c>
      <c r="BW533" s="493" t="e">
        <f t="shared" si="505"/>
        <v>#DIV/0!</v>
      </c>
      <c r="BX533" s="493" t="e">
        <f t="shared" si="506"/>
        <v>#DIV/0!</v>
      </c>
      <c r="BY533" s="493" t="e">
        <f t="shared" si="507"/>
        <v>#DIV/0!</v>
      </c>
    </row>
    <row r="534" spans="1:77" s="28" customFormat="1" ht="9" customHeight="1">
      <c r="A534" s="278">
        <v>162</v>
      </c>
      <c r="B534" s="276" t="s">
        <v>829</v>
      </c>
      <c r="C534" s="249">
        <v>961.6</v>
      </c>
      <c r="D534" s="376"/>
      <c r="E534" s="424" t="s">
        <v>1005</v>
      </c>
      <c r="F534" s="249"/>
      <c r="G534" s="249"/>
      <c r="H534" s="407">
        <v>1500300</v>
      </c>
      <c r="I534" s="407">
        <f t="shared" ref="I534:I535" si="509">J534+L534+N534+P534+R534+T534</f>
        <v>0</v>
      </c>
      <c r="J534" s="217">
        <v>0</v>
      </c>
      <c r="K534" s="469">
        <v>0</v>
      </c>
      <c r="L534" s="217">
        <v>0</v>
      </c>
      <c r="M534" s="469">
        <v>0</v>
      </c>
      <c r="N534" s="217">
        <v>0</v>
      </c>
      <c r="O534" s="249">
        <v>0</v>
      </c>
      <c r="P534" s="407">
        <v>0</v>
      </c>
      <c r="Q534" s="249">
        <v>0</v>
      </c>
      <c r="R534" s="407">
        <v>0</v>
      </c>
      <c r="S534" s="249">
        <v>0</v>
      </c>
      <c r="T534" s="407">
        <v>0</v>
      </c>
      <c r="U534" s="130">
        <v>0</v>
      </c>
      <c r="V534" s="407">
        <v>0</v>
      </c>
      <c r="W534" s="410">
        <v>450</v>
      </c>
      <c r="X534" s="407">
        <f t="shared" ref="X534:X535" si="510">ROUND(H534/100*95.5,2)</f>
        <v>1432786.5</v>
      </c>
      <c r="Y534" s="410">
        <v>0</v>
      </c>
      <c r="Z534" s="410">
        <v>0</v>
      </c>
      <c r="AA534" s="410">
        <v>0</v>
      </c>
      <c r="AB534" s="410">
        <v>0</v>
      </c>
      <c r="AC534" s="410">
        <v>0</v>
      </c>
      <c r="AD534" s="410">
        <v>0</v>
      </c>
      <c r="AE534" s="410">
        <v>0</v>
      </c>
      <c r="AF534" s="410">
        <v>0</v>
      </c>
      <c r="AG534" s="410">
        <v>0</v>
      </c>
      <c r="AH534" s="410">
        <v>0</v>
      </c>
      <c r="AI534" s="410">
        <v>0</v>
      </c>
      <c r="AJ534" s="410">
        <f t="shared" ref="AJ534:AJ535" si="511">ROUND(H534/100*3,2)</f>
        <v>45009</v>
      </c>
      <c r="AK534" s="410">
        <f t="shared" ref="AK534:AK535" si="512">ROUND(H534/100*1.5,2)</f>
        <v>22504.5</v>
      </c>
      <c r="AL534" s="410">
        <v>0</v>
      </c>
      <c r="AM534" s="446"/>
      <c r="AN534" s="446"/>
      <c r="AP534" s="486" t="e">
        <f t="shared" si="480"/>
        <v>#DIV/0!</v>
      </c>
      <c r="AQ534" s="486" t="e">
        <f t="shared" si="486"/>
        <v>#DIV/0!</v>
      </c>
      <c r="AR534" s="486" t="e">
        <f t="shared" si="487"/>
        <v>#DIV/0!</v>
      </c>
      <c r="AS534" s="486" t="e">
        <f t="shared" si="488"/>
        <v>#DIV/0!</v>
      </c>
      <c r="AT534" s="486" t="e">
        <f t="shared" si="489"/>
        <v>#DIV/0!</v>
      </c>
      <c r="AU534" s="486" t="e">
        <f t="shared" si="490"/>
        <v>#DIV/0!</v>
      </c>
      <c r="AV534" s="486" t="e">
        <f t="shared" si="491"/>
        <v>#DIV/0!</v>
      </c>
      <c r="AW534" s="486">
        <f t="shared" si="492"/>
        <v>3183.97</v>
      </c>
      <c r="AX534" s="486" t="e">
        <f t="shared" si="493"/>
        <v>#DIV/0!</v>
      </c>
      <c r="AY534" s="486" t="e">
        <f t="shared" si="494"/>
        <v>#DIV/0!</v>
      </c>
      <c r="AZ534" s="486" t="e">
        <f t="shared" si="495"/>
        <v>#DIV/0!</v>
      </c>
      <c r="BA534" s="486">
        <f t="shared" si="481"/>
        <v>0</v>
      </c>
      <c r="BB534" s="494">
        <v>5155.41</v>
      </c>
      <c r="BC534" s="494">
        <v>2070.12</v>
      </c>
      <c r="BD534" s="494">
        <v>848.92</v>
      </c>
      <c r="BE534" s="494">
        <v>819.73</v>
      </c>
      <c r="BF534" s="494">
        <v>611.5</v>
      </c>
      <c r="BG534" s="494">
        <v>1080.04</v>
      </c>
      <c r="BH534" s="494">
        <v>2671800.0099999998</v>
      </c>
      <c r="BI534" s="494">
        <f t="shared" si="449"/>
        <v>4607.6000000000004</v>
      </c>
      <c r="BJ534" s="494">
        <v>14289.54</v>
      </c>
      <c r="BK534" s="494">
        <v>3389.61</v>
      </c>
      <c r="BL534" s="494">
        <v>5995.76</v>
      </c>
      <c r="BM534" s="494">
        <v>548.62</v>
      </c>
      <c r="BN534" s="495" t="e">
        <f t="shared" si="496"/>
        <v>#DIV/0!</v>
      </c>
      <c r="BO534" s="495" t="e">
        <f t="shared" si="497"/>
        <v>#DIV/0!</v>
      </c>
      <c r="BP534" s="495" t="e">
        <f t="shared" si="498"/>
        <v>#DIV/0!</v>
      </c>
      <c r="BQ534" s="495" t="e">
        <f t="shared" si="499"/>
        <v>#DIV/0!</v>
      </c>
      <c r="BR534" s="495" t="e">
        <f t="shared" si="500"/>
        <v>#DIV/0!</v>
      </c>
      <c r="BS534" s="495" t="e">
        <f t="shared" si="501"/>
        <v>#DIV/0!</v>
      </c>
      <c r="BT534" s="495" t="e">
        <f t="shared" si="502"/>
        <v>#DIV/0!</v>
      </c>
      <c r="BU534" s="495" t="str">
        <f t="shared" si="503"/>
        <v xml:space="preserve"> </v>
      </c>
      <c r="BV534" s="495" t="e">
        <f t="shared" si="504"/>
        <v>#DIV/0!</v>
      </c>
      <c r="BW534" s="495" t="e">
        <f t="shared" si="505"/>
        <v>#DIV/0!</v>
      </c>
      <c r="BX534" s="495" t="e">
        <f t="shared" si="506"/>
        <v>#DIV/0!</v>
      </c>
      <c r="BY534" s="495" t="str">
        <f t="shared" si="507"/>
        <v xml:space="preserve"> </v>
      </c>
    </row>
    <row r="535" spans="1:77" s="28" customFormat="1" ht="9" customHeight="1">
      <c r="A535" s="278">
        <v>163</v>
      </c>
      <c r="B535" s="276" t="s">
        <v>830</v>
      </c>
      <c r="C535" s="249">
        <v>964.1</v>
      </c>
      <c r="D535" s="376"/>
      <c r="E535" s="424" t="s">
        <v>1005</v>
      </c>
      <c r="F535" s="249"/>
      <c r="G535" s="249"/>
      <c r="H535" s="407">
        <v>1500300</v>
      </c>
      <c r="I535" s="407">
        <f t="shared" si="509"/>
        <v>0</v>
      </c>
      <c r="J535" s="217">
        <v>0</v>
      </c>
      <c r="K535" s="469">
        <v>0</v>
      </c>
      <c r="L535" s="217">
        <v>0</v>
      </c>
      <c r="M535" s="469">
        <v>0</v>
      </c>
      <c r="N535" s="217">
        <v>0</v>
      </c>
      <c r="O535" s="249">
        <v>0</v>
      </c>
      <c r="P535" s="407">
        <v>0</v>
      </c>
      <c r="Q535" s="249">
        <v>0</v>
      </c>
      <c r="R535" s="407">
        <v>0</v>
      </c>
      <c r="S535" s="249">
        <v>0</v>
      </c>
      <c r="T535" s="407">
        <v>0</v>
      </c>
      <c r="U535" s="130">
        <v>0</v>
      </c>
      <c r="V535" s="407">
        <v>0</v>
      </c>
      <c r="W535" s="410">
        <v>450</v>
      </c>
      <c r="X535" s="407">
        <f t="shared" si="510"/>
        <v>1432786.5</v>
      </c>
      <c r="Y535" s="410">
        <v>0</v>
      </c>
      <c r="Z535" s="410">
        <v>0</v>
      </c>
      <c r="AA535" s="410">
        <v>0</v>
      </c>
      <c r="AB535" s="410">
        <v>0</v>
      </c>
      <c r="AC535" s="410">
        <v>0</v>
      </c>
      <c r="AD535" s="410">
        <v>0</v>
      </c>
      <c r="AE535" s="410">
        <v>0</v>
      </c>
      <c r="AF535" s="410">
        <v>0</v>
      </c>
      <c r="AG535" s="410">
        <v>0</v>
      </c>
      <c r="AH535" s="410">
        <v>0</v>
      </c>
      <c r="AI535" s="410">
        <v>0</v>
      </c>
      <c r="AJ535" s="410">
        <f t="shared" si="511"/>
        <v>45009</v>
      </c>
      <c r="AK535" s="410">
        <f t="shared" si="512"/>
        <v>22504.5</v>
      </c>
      <c r="AL535" s="410">
        <v>0</v>
      </c>
      <c r="AM535" s="446"/>
      <c r="AN535" s="446"/>
      <c r="AP535" s="486" t="e">
        <f t="shared" si="480"/>
        <v>#DIV/0!</v>
      </c>
      <c r="AQ535" s="486" t="e">
        <f t="shared" si="486"/>
        <v>#DIV/0!</v>
      </c>
      <c r="AR535" s="486" t="e">
        <f t="shared" si="487"/>
        <v>#DIV/0!</v>
      </c>
      <c r="AS535" s="486" t="e">
        <f t="shared" si="488"/>
        <v>#DIV/0!</v>
      </c>
      <c r="AT535" s="486" t="e">
        <f t="shared" si="489"/>
        <v>#DIV/0!</v>
      </c>
      <c r="AU535" s="486" t="e">
        <f t="shared" si="490"/>
        <v>#DIV/0!</v>
      </c>
      <c r="AV535" s="486" t="e">
        <f t="shared" si="491"/>
        <v>#DIV/0!</v>
      </c>
      <c r="AW535" s="486">
        <f t="shared" si="492"/>
        <v>3183.97</v>
      </c>
      <c r="AX535" s="486" t="e">
        <f t="shared" si="493"/>
        <v>#DIV/0!</v>
      </c>
      <c r="AY535" s="486" t="e">
        <f t="shared" si="494"/>
        <v>#DIV/0!</v>
      </c>
      <c r="AZ535" s="486" t="e">
        <f t="shared" si="495"/>
        <v>#DIV/0!</v>
      </c>
      <c r="BA535" s="486">
        <f t="shared" si="481"/>
        <v>0</v>
      </c>
      <c r="BB535" s="494">
        <v>5155.41</v>
      </c>
      <c r="BC535" s="494">
        <v>2070.12</v>
      </c>
      <c r="BD535" s="494">
        <v>848.92</v>
      </c>
      <c r="BE535" s="494">
        <v>819.73</v>
      </c>
      <c r="BF535" s="494">
        <v>611.5</v>
      </c>
      <c r="BG535" s="494">
        <v>1080.04</v>
      </c>
      <c r="BH535" s="494">
        <v>2671800.0099999998</v>
      </c>
      <c r="BI535" s="494">
        <f t="shared" si="449"/>
        <v>4607.6000000000004</v>
      </c>
      <c r="BJ535" s="494">
        <v>14289.54</v>
      </c>
      <c r="BK535" s="494">
        <v>3389.61</v>
      </c>
      <c r="BL535" s="494">
        <v>5995.76</v>
      </c>
      <c r="BM535" s="494">
        <v>548.62</v>
      </c>
      <c r="BN535" s="495" t="e">
        <f t="shared" si="496"/>
        <v>#DIV/0!</v>
      </c>
      <c r="BO535" s="495" t="e">
        <f t="shared" si="497"/>
        <v>#DIV/0!</v>
      </c>
      <c r="BP535" s="495" t="e">
        <f t="shared" si="498"/>
        <v>#DIV/0!</v>
      </c>
      <c r="BQ535" s="495" t="e">
        <f t="shared" si="499"/>
        <v>#DIV/0!</v>
      </c>
      <c r="BR535" s="495" t="e">
        <f t="shared" si="500"/>
        <v>#DIV/0!</v>
      </c>
      <c r="BS535" s="495" t="e">
        <f t="shared" si="501"/>
        <v>#DIV/0!</v>
      </c>
      <c r="BT535" s="495" t="e">
        <f t="shared" si="502"/>
        <v>#DIV/0!</v>
      </c>
      <c r="BU535" s="495" t="str">
        <f t="shared" si="503"/>
        <v xml:space="preserve"> </v>
      </c>
      <c r="BV535" s="495" t="e">
        <f t="shared" si="504"/>
        <v>#DIV/0!</v>
      </c>
      <c r="BW535" s="495" t="e">
        <f t="shared" si="505"/>
        <v>#DIV/0!</v>
      </c>
      <c r="BX535" s="495" t="e">
        <f t="shared" si="506"/>
        <v>#DIV/0!</v>
      </c>
      <c r="BY535" s="495" t="str">
        <f t="shared" si="507"/>
        <v xml:space="preserve"> </v>
      </c>
    </row>
    <row r="536" spans="1:77" s="28" customFormat="1" ht="9" customHeight="1">
      <c r="A536" s="406">
        <v>164</v>
      </c>
      <c r="B536" s="276" t="s">
        <v>831</v>
      </c>
      <c r="C536" s="249">
        <v>961.6</v>
      </c>
      <c r="D536" s="376"/>
      <c r="E536" s="424" t="s">
        <v>1005</v>
      </c>
      <c r="F536" s="249"/>
      <c r="G536" s="249"/>
      <c r="H536" s="407">
        <v>1500300</v>
      </c>
      <c r="I536" s="407">
        <f t="shared" ref="I536:I546" si="513">J536+L536+N536+P536+R536+T536</f>
        <v>0</v>
      </c>
      <c r="J536" s="217">
        <v>0</v>
      </c>
      <c r="K536" s="469">
        <v>0</v>
      </c>
      <c r="L536" s="217">
        <v>0</v>
      </c>
      <c r="M536" s="469">
        <v>0</v>
      </c>
      <c r="N536" s="217">
        <v>0</v>
      </c>
      <c r="O536" s="249">
        <v>0</v>
      </c>
      <c r="P536" s="407">
        <v>0</v>
      </c>
      <c r="Q536" s="249">
        <v>0</v>
      </c>
      <c r="R536" s="407">
        <v>0</v>
      </c>
      <c r="S536" s="249">
        <v>0</v>
      </c>
      <c r="T536" s="407">
        <v>0</v>
      </c>
      <c r="U536" s="130">
        <v>0</v>
      </c>
      <c r="V536" s="407">
        <v>0</v>
      </c>
      <c r="W536" s="410">
        <v>450</v>
      </c>
      <c r="X536" s="407">
        <f t="shared" ref="X536:X545" si="514">ROUND(H536/100*95.5,2)</f>
        <v>1432786.5</v>
      </c>
      <c r="Y536" s="410">
        <v>0</v>
      </c>
      <c r="Z536" s="410">
        <v>0</v>
      </c>
      <c r="AA536" s="410">
        <v>0</v>
      </c>
      <c r="AB536" s="410">
        <v>0</v>
      </c>
      <c r="AC536" s="410">
        <v>0</v>
      </c>
      <c r="AD536" s="410">
        <v>0</v>
      </c>
      <c r="AE536" s="410">
        <v>0</v>
      </c>
      <c r="AF536" s="410">
        <v>0</v>
      </c>
      <c r="AG536" s="410">
        <v>0</v>
      </c>
      <c r="AH536" s="410">
        <v>0</v>
      </c>
      <c r="AI536" s="410">
        <v>0</v>
      </c>
      <c r="AJ536" s="410">
        <f t="shared" ref="AJ536:AJ545" si="515">ROUND(H536/100*3,2)</f>
        <v>45009</v>
      </c>
      <c r="AK536" s="410">
        <f t="shared" ref="AK536:AK545" si="516">ROUND(H536/100*1.5,2)</f>
        <v>22504.5</v>
      </c>
      <c r="AL536" s="410">
        <v>0</v>
      </c>
      <c r="AM536" s="446"/>
      <c r="AN536" s="446"/>
      <c r="AP536" s="486" t="e">
        <f t="shared" si="480"/>
        <v>#DIV/0!</v>
      </c>
      <c r="AQ536" s="486" t="e">
        <f t="shared" si="486"/>
        <v>#DIV/0!</v>
      </c>
      <c r="AR536" s="486" t="e">
        <f t="shared" si="487"/>
        <v>#DIV/0!</v>
      </c>
      <c r="AS536" s="486" t="e">
        <f t="shared" si="488"/>
        <v>#DIV/0!</v>
      </c>
      <c r="AT536" s="486" t="e">
        <f t="shared" si="489"/>
        <v>#DIV/0!</v>
      </c>
      <c r="AU536" s="486" t="e">
        <f t="shared" si="490"/>
        <v>#DIV/0!</v>
      </c>
      <c r="AV536" s="486" t="e">
        <f t="shared" si="491"/>
        <v>#DIV/0!</v>
      </c>
      <c r="AW536" s="486">
        <f t="shared" si="492"/>
        <v>3183.97</v>
      </c>
      <c r="AX536" s="486" t="e">
        <f t="shared" si="493"/>
        <v>#DIV/0!</v>
      </c>
      <c r="AY536" s="486" t="e">
        <f t="shared" si="494"/>
        <v>#DIV/0!</v>
      </c>
      <c r="AZ536" s="486" t="e">
        <f t="shared" si="495"/>
        <v>#DIV/0!</v>
      </c>
      <c r="BA536" s="486">
        <f t="shared" si="481"/>
        <v>0</v>
      </c>
      <c r="BB536" s="494">
        <v>5155.41</v>
      </c>
      <c r="BC536" s="494">
        <v>2070.12</v>
      </c>
      <c r="BD536" s="494">
        <v>848.92</v>
      </c>
      <c r="BE536" s="494">
        <v>819.73</v>
      </c>
      <c r="BF536" s="494">
        <v>611.5</v>
      </c>
      <c r="BG536" s="494">
        <v>1080.04</v>
      </c>
      <c r="BH536" s="494">
        <v>2671800.0099999998</v>
      </c>
      <c r="BI536" s="494">
        <f t="shared" si="449"/>
        <v>4607.6000000000004</v>
      </c>
      <c r="BJ536" s="494">
        <v>14289.54</v>
      </c>
      <c r="BK536" s="494">
        <v>3389.61</v>
      </c>
      <c r="BL536" s="494">
        <v>5995.76</v>
      </c>
      <c r="BM536" s="494">
        <v>548.62</v>
      </c>
      <c r="BN536" s="495" t="e">
        <f t="shared" si="496"/>
        <v>#DIV/0!</v>
      </c>
      <c r="BO536" s="495" t="e">
        <f t="shared" si="497"/>
        <v>#DIV/0!</v>
      </c>
      <c r="BP536" s="495" t="e">
        <f t="shared" si="498"/>
        <v>#DIV/0!</v>
      </c>
      <c r="BQ536" s="495" t="e">
        <f t="shared" si="499"/>
        <v>#DIV/0!</v>
      </c>
      <c r="BR536" s="495" t="e">
        <f t="shared" si="500"/>
        <v>#DIV/0!</v>
      </c>
      <c r="BS536" s="495" t="e">
        <f t="shared" si="501"/>
        <v>#DIV/0!</v>
      </c>
      <c r="BT536" s="495" t="e">
        <f t="shared" si="502"/>
        <v>#DIV/0!</v>
      </c>
      <c r="BU536" s="495" t="str">
        <f t="shared" si="503"/>
        <v xml:space="preserve"> </v>
      </c>
      <c r="BV536" s="495" t="e">
        <f t="shared" si="504"/>
        <v>#DIV/0!</v>
      </c>
      <c r="BW536" s="495" t="e">
        <f t="shared" si="505"/>
        <v>#DIV/0!</v>
      </c>
      <c r="BX536" s="495" t="e">
        <f t="shared" si="506"/>
        <v>#DIV/0!</v>
      </c>
      <c r="BY536" s="495" t="str">
        <f t="shared" si="507"/>
        <v xml:space="preserve"> </v>
      </c>
    </row>
    <row r="537" spans="1:77" s="28" customFormat="1" ht="9" customHeight="1">
      <c r="A537" s="406">
        <v>165</v>
      </c>
      <c r="B537" s="276" t="s">
        <v>832</v>
      </c>
      <c r="C537" s="249">
        <v>1676.6</v>
      </c>
      <c r="D537" s="376"/>
      <c r="E537" s="424" t="s">
        <v>1006</v>
      </c>
      <c r="F537" s="249"/>
      <c r="G537" s="249"/>
      <c r="H537" s="407">
        <v>3596208</v>
      </c>
      <c r="I537" s="407">
        <f t="shared" si="513"/>
        <v>0</v>
      </c>
      <c r="J537" s="217">
        <v>0</v>
      </c>
      <c r="K537" s="469">
        <v>0</v>
      </c>
      <c r="L537" s="217">
        <v>0</v>
      </c>
      <c r="M537" s="469">
        <v>0</v>
      </c>
      <c r="N537" s="217">
        <v>0</v>
      </c>
      <c r="O537" s="249">
        <v>0</v>
      </c>
      <c r="P537" s="407">
        <v>0</v>
      </c>
      <c r="Q537" s="249">
        <v>0</v>
      </c>
      <c r="R537" s="407">
        <v>0</v>
      </c>
      <c r="S537" s="249">
        <v>0</v>
      </c>
      <c r="T537" s="407">
        <v>0</v>
      </c>
      <c r="U537" s="130">
        <v>0</v>
      </c>
      <c r="V537" s="407">
        <v>0</v>
      </c>
      <c r="W537" s="410">
        <v>1112</v>
      </c>
      <c r="X537" s="407">
        <f t="shared" si="514"/>
        <v>3434378.64</v>
      </c>
      <c r="Y537" s="410">
        <v>0</v>
      </c>
      <c r="Z537" s="410">
        <v>0</v>
      </c>
      <c r="AA537" s="410">
        <v>0</v>
      </c>
      <c r="AB537" s="410">
        <v>0</v>
      </c>
      <c r="AC537" s="410">
        <v>0</v>
      </c>
      <c r="AD537" s="410">
        <v>0</v>
      </c>
      <c r="AE537" s="410">
        <v>0</v>
      </c>
      <c r="AF537" s="410">
        <v>0</v>
      </c>
      <c r="AG537" s="410">
        <v>0</v>
      </c>
      <c r="AH537" s="410">
        <v>0</v>
      </c>
      <c r="AI537" s="410">
        <v>0</v>
      </c>
      <c r="AJ537" s="410">
        <f t="shared" si="515"/>
        <v>107886.24</v>
      </c>
      <c r="AK537" s="410">
        <f t="shared" si="516"/>
        <v>53943.12</v>
      </c>
      <c r="AL537" s="410">
        <v>0</v>
      </c>
      <c r="AM537" s="446"/>
      <c r="AN537" s="446"/>
      <c r="AP537" s="486" t="e">
        <f t="shared" si="480"/>
        <v>#DIV/0!</v>
      </c>
      <c r="AQ537" s="486" t="e">
        <f t="shared" si="486"/>
        <v>#DIV/0!</v>
      </c>
      <c r="AR537" s="486" t="e">
        <f t="shared" si="487"/>
        <v>#DIV/0!</v>
      </c>
      <c r="AS537" s="486" t="e">
        <f t="shared" si="488"/>
        <v>#DIV/0!</v>
      </c>
      <c r="AT537" s="486" t="e">
        <f t="shared" si="489"/>
        <v>#DIV/0!</v>
      </c>
      <c r="AU537" s="486" t="e">
        <f t="shared" si="490"/>
        <v>#DIV/0!</v>
      </c>
      <c r="AV537" s="486" t="e">
        <f t="shared" si="491"/>
        <v>#DIV/0!</v>
      </c>
      <c r="AW537" s="486">
        <f t="shared" si="492"/>
        <v>3088.4700000000003</v>
      </c>
      <c r="AX537" s="486" t="e">
        <f t="shared" si="493"/>
        <v>#DIV/0!</v>
      </c>
      <c r="AY537" s="486" t="e">
        <f t="shared" si="494"/>
        <v>#DIV/0!</v>
      </c>
      <c r="AZ537" s="486" t="e">
        <f t="shared" si="495"/>
        <v>#DIV/0!</v>
      </c>
      <c r="BA537" s="486">
        <f t="shared" si="481"/>
        <v>0</v>
      </c>
      <c r="BB537" s="494">
        <v>5155.41</v>
      </c>
      <c r="BC537" s="494">
        <v>2070.12</v>
      </c>
      <c r="BD537" s="494">
        <v>848.92</v>
      </c>
      <c r="BE537" s="494">
        <v>819.73</v>
      </c>
      <c r="BF537" s="494">
        <v>611.5</v>
      </c>
      <c r="BG537" s="494">
        <v>1080.04</v>
      </c>
      <c r="BH537" s="494">
        <v>2671800.0099999998</v>
      </c>
      <c r="BI537" s="494">
        <f t="shared" si="449"/>
        <v>4422.8500000000004</v>
      </c>
      <c r="BJ537" s="494">
        <v>14289.54</v>
      </c>
      <c r="BK537" s="494">
        <v>3389.61</v>
      </c>
      <c r="BL537" s="494">
        <v>5995.76</v>
      </c>
      <c r="BM537" s="494">
        <v>548.62</v>
      </c>
      <c r="BN537" s="495" t="e">
        <f t="shared" si="496"/>
        <v>#DIV/0!</v>
      </c>
      <c r="BO537" s="495" t="e">
        <f t="shared" si="497"/>
        <v>#DIV/0!</v>
      </c>
      <c r="BP537" s="495" t="e">
        <f t="shared" si="498"/>
        <v>#DIV/0!</v>
      </c>
      <c r="BQ537" s="495" t="e">
        <f t="shared" si="499"/>
        <v>#DIV/0!</v>
      </c>
      <c r="BR537" s="495" t="e">
        <f t="shared" si="500"/>
        <v>#DIV/0!</v>
      </c>
      <c r="BS537" s="495" t="e">
        <f t="shared" si="501"/>
        <v>#DIV/0!</v>
      </c>
      <c r="BT537" s="495" t="e">
        <f t="shared" si="502"/>
        <v>#DIV/0!</v>
      </c>
      <c r="BU537" s="495" t="str">
        <f t="shared" si="503"/>
        <v xml:space="preserve"> </v>
      </c>
      <c r="BV537" s="495" t="e">
        <f t="shared" si="504"/>
        <v>#DIV/0!</v>
      </c>
      <c r="BW537" s="495" t="e">
        <f t="shared" si="505"/>
        <v>#DIV/0!</v>
      </c>
      <c r="BX537" s="495" t="e">
        <f t="shared" si="506"/>
        <v>#DIV/0!</v>
      </c>
      <c r="BY537" s="495" t="str">
        <f t="shared" si="507"/>
        <v xml:space="preserve"> </v>
      </c>
    </row>
    <row r="538" spans="1:77" s="28" customFormat="1" ht="9" customHeight="1">
      <c r="A538" s="406">
        <v>166</v>
      </c>
      <c r="B538" s="276" t="s">
        <v>833</v>
      </c>
      <c r="C538" s="249">
        <v>1295.5999999999999</v>
      </c>
      <c r="D538" s="376"/>
      <c r="E538" s="424" t="s">
        <v>1005</v>
      </c>
      <c r="F538" s="249"/>
      <c r="G538" s="249"/>
      <c r="H538" s="407">
        <v>2572514.4</v>
      </c>
      <c r="I538" s="407">
        <f t="shared" si="513"/>
        <v>0</v>
      </c>
      <c r="J538" s="217">
        <v>0</v>
      </c>
      <c r="K538" s="469">
        <v>0</v>
      </c>
      <c r="L538" s="217">
        <v>0</v>
      </c>
      <c r="M538" s="469">
        <v>0</v>
      </c>
      <c r="N538" s="217">
        <v>0</v>
      </c>
      <c r="O538" s="249">
        <v>0</v>
      </c>
      <c r="P538" s="407">
        <v>0</v>
      </c>
      <c r="Q538" s="249">
        <v>0</v>
      </c>
      <c r="R538" s="407">
        <v>0</v>
      </c>
      <c r="S538" s="249">
        <v>0</v>
      </c>
      <c r="T538" s="407">
        <v>0</v>
      </c>
      <c r="U538" s="130">
        <v>0</v>
      </c>
      <c r="V538" s="407">
        <v>0</v>
      </c>
      <c r="W538" s="410">
        <v>771.6</v>
      </c>
      <c r="X538" s="407">
        <f t="shared" si="514"/>
        <v>2456751.25</v>
      </c>
      <c r="Y538" s="410">
        <v>0</v>
      </c>
      <c r="Z538" s="410">
        <v>0</v>
      </c>
      <c r="AA538" s="410">
        <v>0</v>
      </c>
      <c r="AB538" s="410">
        <v>0</v>
      </c>
      <c r="AC538" s="410">
        <v>0</v>
      </c>
      <c r="AD538" s="410">
        <v>0</v>
      </c>
      <c r="AE538" s="410">
        <v>0</v>
      </c>
      <c r="AF538" s="410">
        <v>0</v>
      </c>
      <c r="AG538" s="410">
        <v>0</v>
      </c>
      <c r="AH538" s="410">
        <v>0</v>
      </c>
      <c r="AI538" s="410">
        <v>0</v>
      </c>
      <c r="AJ538" s="410">
        <f t="shared" si="515"/>
        <v>77175.429999999993</v>
      </c>
      <c r="AK538" s="410">
        <f t="shared" si="516"/>
        <v>38587.72</v>
      </c>
      <c r="AL538" s="410">
        <v>0</v>
      </c>
      <c r="AM538" s="446"/>
      <c r="AN538" s="446"/>
      <c r="AP538" s="486" t="e">
        <f t="shared" si="480"/>
        <v>#DIV/0!</v>
      </c>
      <c r="AQ538" s="486" t="e">
        <f t="shared" si="486"/>
        <v>#DIV/0!</v>
      </c>
      <c r="AR538" s="486" t="e">
        <f t="shared" si="487"/>
        <v>#DIV/0!</v>
      </c>
      <c r="AS538" s="486" t="e">
        <f t="shared" si="488"/>
        <v>#DIV/0!</v>
      </c>
      <c r="AT538" s="486" t="e">
        <f t="shared" si="489"/>
        <v>#DIV/0!</v>
      </c>
      <c r="AU538" s="486" t="e">
        <f t="shared" si="490"/>
        <v>#DIV/0!</v>
      </c>
      <c r="AV538" s="486" t="e">
        <f t="shared" si="491"/>
        <v>#DIV/0!</v>
      </c>
      <c r="AW538" s="486">
        <f t="shared" si="492"/>
        <v>3183.9699974079831</v>
      </c>
      <c r="AX538" s="486" t="e">
        <f t="shared" si="493"/>
        <v>#DIV/0!</v>
      </c>
      <c r="AY538" s="486" t="e">
        <f t="shared" si="494"/>
        <v>#DIV/0!</v>
      </c>
      <c r="AZ538" s="486" t="e">
        <f t="shared" si="495"/>
        <v>#DIV/0!</v>
      </c>
      <c r="BA538" s="486">
        <f t="shared" si="481"/>
        <v>0</v>
      </c>
      <c r="BB538" s="494">
        <v>5155.41</v>
      </c>
      <c r="BC538" s="494">
        <v>2070.12</v>
      </c>
      <c r="BD538" s="494">
        <v>848.92</v>
      </c>
      <c r="BE538" s="494">
        <v>819.73</v>
      </c>
      <c r="BF538" s="494">
        <v>611.5</v>
      </c>
      <c r="BG538" s="494">
        <v>1080.04</v>
      </c>
      <c r="BH538" s="494">
        <v>2671800.0099999998</v>
      </c>
      <c r="BI538" s="494">
        <f t="shared" si="449"/>
        <v>4607.6000000000004</v>
      </c>
      <c r="BJ538" s="494">
        <v>14289.54</v>
      </c>
      <c r="BK538" s="494">
        <v>3389.61</v>
      </c>
      <c r="BL538" s="494">
        <v>5995.76</v>
      </c>
      <c r="BM538" s="494">
        <v>548.62</v>
      </c>
      <c r="BN538" s="495" t="e">
        <f t="shared" si="496"/>
        <v>#DIV/0!</v>
      </c>
      <c r="BO538" s="495" t="e">
        <f t="shared" si="497"/>
        <v>#DIV/0!</v>
      </c>
      <c r="BP538" s="495" t="e">
        <f t="shared" si="498"/>
        <v>#DIV/0!</v>
      </c>
      <c r="BQ538" s="495" t="e">
        <f t="shared" si="499"/>
        <v>#DIV/0!</v>
      </c>
      <c r="BR538" s="495" t="e">
        <f t="shared" si="500"/>
        <v>#DIV/0!</v>
      </c>
      <c r="BS538" s="495" t="e">
        <f t="shared" si="501"/>
        <v>#DIV/0!</v>
      </c>
      <c r="BT538" s="495" t="e">
        <f t="shared" si="502"/>
        <v>#DIV/0!</v>
      </c>
      <c r="BU538" s="495" t="str">
        <f t="shared" si="503"/>
        <v xml:space="preserve"> </v>
      </c>
      <c r="BV538" s="495" t="e">
        <f t="shared" si="504"/>
        <v>#DIV/0!</v>
      </c>
      <c r="BW538" s="495" t="e">
        <f t="shared" si="505"/>
        <v>#DIV/0!</v>
      </c>
      <c r="BX538" s="495" t="e">
        <f t="shared" si="506"/>
        <v>#DIV/0!</v>
      </c>
      <c r="BY538" s="495" t="str">
        <f t="shared" si="507"/>
        <v xml:space="preserve"> </v>
      </c>
    </row>
    <row r="539" spans="1:77" s="28" customFormat="1" ht="9" customHeight="1">
      <c r="A539" s="406">
        <v>167</v>
      </c>
      <c r="B539" s="276" t="s">
        <v>834</v>
      </c>
      <c r="C539" s="249">
        <v>1545</v>
      </c>
      <c r="D539" s="376"/>
      <c r="E539" s="424" t="s">
        <v>1006</v>
      </c>
      <c r="F539" s="249"/>
      <c r="G539" s="249"/>
      <c r="H539" s="407">
        <v>3104640</v>
      </c>
      <c r="I539" s="407">
        <f t="shared" si="513"/>
        <v>0</v>
      </c>
      <c r="J539" s="217">
        <v>0</v>
      </c>
      <c r="K539" s="469">
        <v>0</v>
      </c>
      <c r="L539" s="217">
        <v>0</v>
      </c>
      <c r="M539" s="469">
        <v>0</v>
      </c>
      <c r="N539" s="217">
        <v>0</v>
      </c>
      <c r="O539" s="249">
        <v>0</v>
      </c>
      <c r="P539" s="407">
        <v>0</v>
      </c>
      <c r="Q539" s="249">
        <v>0</v>
      </c>
      <c r="R539" s="407">
        <v>0</v>
      </c>
      <c r="S539" s="249">
        <v>0</v>
      </c>
      <c r="T539" s="407">
        <v>0</v>
      </c>
      <c r="U539" s="130">
        <v>0</v>
      </c>
      <c r="V539" s="407">
        <v>0</v>
      </c>
      <c r="W539" s="410">
        <v>960</v>
      </c>
      <c r="X539" s="407">
        <f t="shared" si="514"/>
        <v>2964931.2</v>
      </c>
      <c r="Y539" s="410">
        <v>0</v>
      </c>
      <c r="Z539" s="410">
        <v>0</v>
      </c>
      <c r="AA539" s="410">
        <v>0</v>
      </c>
      <c r="AB539" s="410">
        <v>0</v>
      </c>
      <c r="AC539" s="410">
        <v>0</v>
      </c>
      <c r="AD539" s="410">
        <v>0</v>
      </c>
      <c r="AE539" s="410">
        <v>0</v>
      </c>
      <c r="AF539" s="410">
        <v>0</v>
      </c>
      <c r="AG539" s="410">
        <v>0</v>
      </c>
      <c r="AH539" s="410">
        <v>0</v>
      </c>
      <c r="AI539" s="410">
        <v>0</v>
      </c>
      <c r="AJ539" s="410">
        <f t="shared" si="515"/>
        <v>93139.199999999997</v>
      </c>
      <c r="AK539" s="410">
        <f t="shared" si="516"/>
        <v>46569.599999999999</v>
      </c>
      <c r="AL539" s="410">
        <v>0</v>
      </c>
      <c r="AM539" s="446"/>
      <c r="AN539" s="446"/>
      <c r="AP539" s="486" t="e">
        <f t="shared" si="480"/>
        <v>#DIV/0!</v>
      </c>
      <c r="AQ539" s="486" t="e">
        <f t="shared" si="486"/>
        <v>#DIV/0!</v>
      </c>
      <c r="AR539" s="486" t="e">
        <f t="shared" si="487"/>
        <v>#DIV/0!</v>
      </c>
      <c r="AS539" s="486" t="e">
        <f t="shared" si="488"/>
        <v>#DIV/0!</v>
      </c>
      <c r="AT539" s="486" t="e">
        <f t="shared" si="489"/>
        <v>#DIV/0!</v>
      </c>
      <c r="AU539" s="486" t="e">
        <f t="shared" si="490"/>
        <v>#DIV/0!</v>
      </c>
      <c r="AV539" s="486" t="e">
        <f t="shared" si="491"/>
        <v>#DIV/0!</v>
      </c>
      <c r="AW539" s="486">
        <f t="shared" si="492"/>
        <v>3088.4700000000003</v>
      </c>
      <c r="AX539" s="486" t="e">
        <f t="shared" si="493"/>
        <v>#DIV/0!</v>
      </c>
      <c r="AY539" s="486" t="e">
        <f t="shared" si="494"/>
        <v>#DIV/0!</v>
      </c>
      <c r="AZ539" s="486" t="e">
        <f t="shared" si="495"/>
        <v>#DIV/0!</v>
      </c>
      <c r="BA539" s="486">
        <f t="shared" si="481"/>
        <v>0</v>
      </c>
      <c r="BB539" s="494">
        <v>5155.41</v>
      </c>
      <c r="BC539" s="494">
        <v>2070.12</v>
      </c>
      <c r="BD539" s="494">
        <v>848.92</v>
      </c>
      <c r="BE539" s="494">
        <v>819.73</v>
      </c>
      <c r="BF539" s="494">
        <v>611.5</v>
      </c>
      <c r="BG539" s="494">
        <v>1080.04</v>
      </c>
      <c r="BH539" s="494">
        <v>2671800.0099999998</v>
      </c>
      <c r="BI539" s="494">
        <f t="shared" si="449"/>
        <v>4422.8500000000004</v>
      </c>
      <c r="BJ539" s="494">
        <v>14289.54</v>
      </c>
      <c r="BK539" s="494">
        <v>3389.61</v>
      </c>
      <c r="BL539" s="494">
        <v>5995.76</v>
      </c>
      <c r="BM539" s="494">
        <v>548.62</v>
      </c>
      <c r="BN539" s="495" t="e">
        <f t="shared" si="496"/>
        <v>#DIV/0!</v>
      </c>
      <c r="BO539" s="495" t="e">
        <f t="shared" si="497"/>
        <v>#DIV/0!</v>
      </c>
      <c r="BP539" s="495" t="e">
        <f t="shared" si="498"/>
        <v>#DIV/0!</v>
      </c>
      <c r="BQ539" s="495" t="e">
        <f t="shared" si="499"/>
        <v>#DIV/0!</v>
      </c>
      <c r="BR539" s="495" t="e">
        <f t="shared" si="500"/>
        <v>#DIV/0!</v>
      </c>
      <c r="BS539" s="495" t="e">
        <f t="shared" si="501"/>
        <v>#DIV/0!</v>
      </c>
      <c r="BT539" s="495" t="e">
        <f t="shared" si="502"/>
        <v>#DIV/0!</v>
      </c>
      <c r="BU539" s="495" t="str">
        <f t="shared" si="503"/>
        <v xml:space="preserve"> </v>
      </c>
      <c r="BV539" s="495" t="e">
        <f t="shared" si="504"/>
        <v>#DIV/0!</v>
      </c>
      <c r="BW539" s="495" t="e">
        <f t="shared" si="505"/>
        <v>#DIV/0!</v>
      </c>
      <c r="BX539" s="495" t="e">
        <f t="shared" si="506"/>
        <v>#DIV/0!</v>
      </c>
      <c r="BY539" s="495" t="str">
        <f t="shared" si="507"/>
        <v xml:space="preserve"> </v>
      </c>
    </row>
    <row r="540" spans="1:77" s="28" customFormat="1" ht="9" customHeight="1">
      <c r="A540" s="406">
        <v>168</v>
      </c>
      <c r="B540" s="276" t="s">
        <v>835</v>
      </c>
      <c r="C540" s="249">
        <v>1546.6</v>
      </c>
      <c r="D540" s="376"/>
      <c r="E540" s="424" t="s">
        <v>1006</v>
      </c>
      <c r="F540" s="249"/>
      <c r="G540" s="249"/>
      <c r="H540" s="407">
        <v>3104640</v>
      </c>
      <c r="I540" s="407">
        <f t="shared" si="513"/>
        <v>0</v>
      </c>
      <c r="J540" s="217">
        <v>0</v>
      </c>
      <c r="K540" s="469">
        <v>0</v>
      </c>
      <c r="L540" s="217">
        <v>0</v>
      </c>
      <c r="M540" s="469">
        <v>0</v>
      </c>
      <c r="N540" s="217">
        <v>0</v>
      </c>
      <c r="O540" s="249">
        <v>0</v>
      </c>
      <c r="P540" s="407">
        <v>0</v>
      </c>
      <c r="Q540" s="249">
        <v>0</v>
      </c>
      <c r="R540" s="407">
        <v>0</v>
      </c>
      <c r="S540" s="249">
        <v>0</v>
      </c>
      <c r="T540" s="407">
        <v>0</v>
      </c>
      <c r="U540" s="130">
        <v>0</v>
      </c>
      <c r="V540" s="407">
        <v>0</v>
      </c>
      <c r="W540" s="410">
        <v>960</v>
      </c>
      <c r="X540" s="407">
        <f t="shared" si="514"/>
        <v>2964931.2</v>
      </c>
      <c r="Y540" s="410">
        <v>0</v>
      </c>
      <c r="Z540" s="410">
        <v>0</v>
      </c>
      <c r="AA540" s="410">
        <v>0</v>
      </c>
      <c r="AB540" s="410">
        <v>0</v>
      </c>
      <c r="AC540" s="410">
        <v>0</v>
      </c>
      <c r="AD540" s="410">
        <v>0</v>
      </c>
      <c r="AE540" s="410">
        <v>0</v>
      </c>
      <c r="AF540" s="410">
        <v>0</v>
      </c>
      <c r="AG540" s="410">
        <v>0</v>
      </c>
      <c r="AH540" s="410">
        <v>0</v>
      </c>
      <c r="AI540" s="410">
        <v>0</v>
      </c>
      <c r="AJ540" s="410">
        <f t="shared" si="515"/>
        <v>93139.199999999997</v>
      </c>
      <c r="AK540" s="410">
        <f t="shared" si="516"/>
        <v>46569.599999999999</v>
      </c>
      <c r="AL540" s="410">
        <v>0</v>
      </c>
      <c r="AM540" s="446"/>
      <c r="AN540" s="446"/>
      <c r="AP540" s="486" t="e">
        <f t="shared" si="480"/>
        <v>#DIV/0!</v>
      </c>
      <c r="AQ540" s="486" t="e">
        <f t="shared" si="486"/>
        <v>#DIV/0!</v>
      </c>
      <c r="AR540" s="486" t="e">
        <f t="shared" si="487"/>
        <v>#DIV/0!</v>
      </c>
      <c r="AS540" s="486" t="e">
        <f t="shared" si="488"/>
        <v>#DIV/0!</v>
      </c>
      <c r="AT540" s="486" t="e">
        <f t="shared" si="489"/>
        <v>#DIV/0!</v>
      </c>
      <c r="AU540" s="486" t="e">
        <f t="shared" si="490"/>
        <v>#DIV/0!</v>
      </c>
      <c r="AV540" s="486" t="e">
        <f t="shared" si="491"/>
        <v>#DIV/0!</v>
      </c>
      <c r="AW540" s="486">
        <f t="shared" si="492"/>
        <v>3088.4700000000003</v>
      </c>
      <c r="AX540" s="486" t="e">
        <f t="shared" si="493"/>
        <v>#DIV/0!</v>
      </c>
      <c r="AY540" s="486" t="e">
        <f t="shared" si="494"/>
        <v>#DIV/0!</v>
      </c>
      <c r="AZ540" s="486" t="e">
        <f t="shared" si="495"/>
        <v>#DIV/0!</v>
      </c>
      <c r="BA540" s="486">
        <f t="shared" si="481"/>
        <v>0</v>
      </c>
      <c r="BB540" s="494">
        <v>5155.41</v>
      </c>
      <c r="BC540" s="494">
        <v>2070.12</v>
      </c>
      <c r="BD540" s="494">
        <v>848.92</v>
      </c>
      <c r="BE540" s="494">
        <v>819.73</v>
      </c>
      <c r="BF540" s="494">
        <v>611.5</v>
      </c>
      <c r="BG540" s="494">
        <v>1080.04</v>
      </c>
      <c r="BH540" s="494">
        <v>2671800.0099999998</v>
      </c>
      <c r="BI540" s="494">
        <f t="shared" si="449"/>
        <v>4422.8500000000004</v>
      </c>
      <c r="BJ540" s="494">
        <v>14289.54</v>
      </c>
      <c r="BK540" s="494">
        <v>3389.61</v>
      </c>
      <c r="BL540" s="494">
        <v>5995.76</v>
      </c>
      <c r="BM540" s="494">
        <v>548.62</v>
      </c>
      <c r="BN540" s="495" t="e">
        <f t="shared" si="496"/>
        <v>#DIV/0!</v>
      </c>
      <c r="BO540" s="495" t="e">
        <f t="shared" si="497"/>
        <v>#DIV/0!</v>
      </c>
      <c r="BP540" s="495" t="e">
        <f t="shared" si="498"/>
        <v>#DIV/0!</v>
      </c>
      <c r="BQ540" s="495" t="e">
        <f t="shared" si="499"/>
        <v>#DIV/0!</v>
      </c>
      <c r="BR540" s="495" t="e">
        <f t="shared" si="500"/>
        <v>#DIV/0!</v>
      </c>
      <c r="BS540" s="495" t="e">
        <f t="shared" si="501"/>
        <v>#DIV/0!</v>
      </c>
      <c r="BT540" s="495" t="e">
        <f t="shared" si="502"/>
        <v>#DIV/0!</v>
      </c>
      <c r="BU540" s="495" t="str">
        <f t="shared" si="503"/>
        <v xml:space="preserve"> </v>
      </c>
      <c r="BV540" s="495" t="e">
        <f t="shared" si="504"/>
        <v>#DIV/0!</v>
      </c>
      <c r="BW540" s="495" t="e">
        <f t="shared" si="505"/>
        <v>#DIV/0!</v>
      </c>
      <c r="BX540" s="495" t="e">
        <f t="shared" si="506"/>
        <v>#DIV/0!</v>
      </c>
      <c r="BY540" s="495" t="str">
        <f t="shared" si="507"/>
        <v xml:space="preserve"> </v>
      </c>
    </row>
    <row r="541" spans="1:77" s="28" customFormat="1" ht="9" customHeight="1">
      <c r="A541" s="406">
        <v>169</v>
      </c>
      <c r="B541" s="276" t="s">
        <v>836</v>
      </c>
      <c r="C541" s="249">
        <v>208.8</v>
      </c>
      <c r="D541" s="376"/>
      <c r="E541" s="424" t="s">
        <v>1006</v>
      </c>
      <c r="F541" s="249"/>
      <c r="G541" s="249"/>
      <c r="H541" s="407">
        <v>740586</v>
      </c>
      <c r="I541" s="407">
        <f t="shared" si="513"/>
        <v>0</v>
      </c>
      <c r="J541" s="217">
        <v>0</v>
      </c>
      <c r="K541" s="469">
        <v>0</v>
      </c>
      <c r="L541" s="217">
        <v>0</v>
      </c>
      <c r="M541" s="469">
        <v>0</v>
      </c>
      <c r="N541" s="217">
        <v>0</v>
      </c>
      <c r="O541" s="249">
        <v>0</v>
      </c>
      <c r="P541" s="407">
        <v>0</v>
      </c>
      <c r="Q541" s="249">
        <v>0</v>
      </c>
      <c r="R541" s="407">
        <v>0</v>
      </c>
      <c r="S541" s="249">
        <v>0</v>
      </c>
      <c r="T541" s="407">
        <v>0</v>
      </c>
      <c r="U541" s="130">
        <v>0</v>
      </c>
      <c r="V541" s="407">
        <v>0</v>
      </c>
      <c r="W541" s="410">
        <v>229</v>
      </c>
      <c r="X541" s="407">
        <f t="shared" si="514"/>
        <v>707259.63</v>
      </c>
      <c r="Y541" s="410">
        <v>0</v>
      </c>
      <c r="Z541" s="410">
        <v>0</v>
      </c>
      <c r="AA541" s="410">
        <v>0</v>
      </c>
      <c r="AB541" s="410">
        <v>0</v>
      </c>
      <c r="AC541" s="410">
        <v>0</v>
      </c>
      <c r="AD541" s="410">
        <v>0</v>
      </c>
      <c r="AE541" s="410">
        <v>0</v>
      </c>
      <c r="AF541" s="410">
        <v>0</v>
      </c>
      <c r="AG541" s="410">
        <v>0</v>
      </c>
      <c r="AH541" s="410">
        <v>0</v>
      </c>
      <c r="AI541" s="410">
        <v>0</v>
      </c>
      <c r="AJ541" s="410">
        <f t="shared" si="515"/>
        <v>22217.58</v>
      </c>
      <c r="AK541" s="410">
        <f t="shared" si="516"/>
        <v>11108.79</v>
      </c>
      <c r="AL541" s="410">
        <v>0</v>
      </c>
      <c r="AM541" s="446"/>
      <c r="AN541" s="446"/>
      <c r="AP541" s="486" t="e">
        <f t="shared" si="480"/>
        <v>#DIV/0!</v>
      </c>
      <c r="AQ541" s="486" t="e">
        <f t="shared" si="486"/>
        <v>#DIV/0!</v>
      </c>
      <c r="AR541" s="486" t="e">
        <f t="shared" si="487"/>
        <v>#DIV/0!</v>
      </c>
      <c r="AS541" s="486" t="e">
        <f t="shared" si="488"/>
        <v>#DIV/0!</v>
      </c>
      <c r="AT541" s="486" t="e">
        <f t="shared" si="489"/>
        <v>#DIV/0!</v>
      </c>
      <c r="AU541" s="486" t="e">
        <f t="shared" si="490"/>
        <v>#DIV/0!</v>
      </c>
      <c r="AV541" s="486" t="e">
        <f t="shared" si="491"/>
        <v>#DIV/0!</v>
      </c>
      <c r="AW541" s="486">
        <f t="shared" si="492"/>
        <v>3088.47</v>
      </c>
      <c r="AX541" s="486" t="e">
        <f t="shared" si="493"/>
        <v>#DIV/0!</v>
      </c>
      <c r="AY541" s="486" t="e">
        <f t="shared" si="494"/>
        <v>#DIV/0!</v>
      </c>
      <c r="AZ541" s="486" t="e">
        <f t="shared" si="495"/>
        <v>#DIV/0!</v>
      </c>
      <c r="BA541" s="486">
        <f t="shared" si="481"/>
        <v>0</v>
      </c>
      <c r="BB541" s="494">
        <v>5155.41</v>
      </c>
      <c r="BC541" s="494">
        <v>2070.12</v>
      </c>
      <c r="BD541" s="494">
        <v>848.92</v>
      </c>
      <c r="BE541" s="494">
        <v>819.73</v>
      </c>
      <c r="BF541" s="494">
        <v>611.5</v>
      </c>
      <c r="BG541" s="494">
        <v>1080.04</v>
      </c>
      <c r="BH541" s="494">
        <v>2671800.0099999998</v>
      </c>
      <c r="BI541" s="494">
        <f t="shared" si="449"/>
        <v>4422.8500000000004</v>
      </c>
      <c r="BJ541" s="494">
        <v>14289.54</v>
      </c>
      <c r="BK541" s="494">
        <v>3389.61</v>
      </c>
      <c r="BL541" s="494">
        <v>5995.76</v>
      </c>
      <c r="BM541" s="494">
        <v>548.62</v>
      </c>
      <c r="BN541" s="495" t="e">
        <f t="shared" si="496"/>
        <v>#DIV/0!</v>
      </c>
      <c r="BO541" s="495" t="e">
        <f t="shared" si="497"/>
        <v>#DIV/0!</v>
      </c>
      <c r="BP541" s="495" t="e">
        <f t="shared" si="498"/>
        <v>#DIV/0!</v>
      </c>
      <c r="BQ541" s="495" t="e">
        <f t="shared" si="499"/>
        <v>#DIV/0!</v>
      </c>
      <c r="BR541" s="495" t="e">
        <f t="shared" si="500"/>
        <v>#DIV/0!</v>
      </c>
      <c r="BS541" s="495" t="e">
        <f t="shared" si="501"/>
        <v>#DIV/0!</v>
      </c>
      <c r="BT541" s="495" t="e">
        <f t="shared" si="502"/>
        <v>#DIV/0!</v>
      </c>
      <c r="BU541" s="495" t="str">
        <f t="shared" si="503"/>
        <v xml:space="preserve"> </v>
      </c>
      <c r="BV541" s="495" t="e">
        <f t="shared" si="504"/>
        <v>#DIV/0!</v>
      </c>
      <c r="BW541" s="495" t="e">
        <f t="shared" si="505"/>
        <v>#DIV/0!</v>
      </c>
      <c r="BX541" s="495" t="e">
        <f t="shared" si="506"/>
        <v>#DIV/0!</v>
      </c>
      <c r="BY541" s="495" t="str">
        <f t="shared" si="507"/>
        <v xml:space="preserve"> </v>
      </c>
    </row>
    <row r="542" spans="1:77" s="28" customFormat="1" ht="9" customHeight="1">
      <c r="A542" s="406">
        <v>170</v>
      </c>
      <c r="B542" s="276" t="s">
        <v>837</v>
      </c>
      <c r="C542" s="249">
        <v>2138.4</v>
      </c>
      <c r="D542" s="376"/>
      <c r="E542" s="424" t="s">
        <v>1005</v>
      </c>
      <c r="F542" s="249"/>
      <c r="G542" s="249"/>
      <c r="H542" s="407">
        <v>3485030.2</v>
      </c>
      <c r="I542" s="407">
        <f t="shared" si="513"/>
        <v>0</v>
      </c>
      <c r="J542" s="217">
        <v>0</v>
      </c>
      <c r="K542" s="469">
        <v>0</v>
      </c>
      <c r="L542" s="217">
        <v>0</v>
      </c>
      <c r="M542" s="469">
        <v>0</v>
      </c>
      <c r="N542" s="217">
        <v>0</v>
      </c>
      <c r="O542" s="249">
        <v>0</v>
      </c>
      <c r="P542" s="407">
        <v>0</v>
      </c>
      <c r="Q542" s="249">
        <v>0</v>
      </c>
      <c r="R542" s="407">
        <v>0</v>
      </c>
      <c r="S542" s="249">
        <v>0</v>
      </c>
      <c r="T542" s="407">
        <v>0</v>
      </c>
      <c r="U542" s="130">
        <v>0</v>
      </c>
      <c r="V542" s="407">
        <v>0</v>
      </c>
      <c r="W542" s="410">
        <v>1045.3</v>
      </c>
      <c r="X542" s="407">
        <f t="shared" si="514"/>
        <v>3328203.84</v>
      </c>
      <c r="Y542" s="410">
        <v>0</v>
      </c>
      <c r="Z542" s="410">
        <v>0</v>
      </c>
      <c r="AA542" s="410">
        <v>0</v>
      </c>
      <c r="AB542" s="410">
        <v>0</v>
      </c>
      <c r="AC542" s="410">
        <v>0</v>
      </c>
      <c r="AD542" s="410">
        <v>0</v>
      </c>
      <c r="AE542" s="410">
        <v>0</v>
      </c>
      <c r="AF542" s="410">
        <v>0</v>
      </c>
      <c r="AG542" s="410">
        <v>0</v>
      </c>
      <c r="AH542" s="410">
        <v>0</v>
      </c>
      <c r="AI542" s="410">
        <v>0</v>
      </c>
      <c r="AJ542" s="410">
        <f t="shared" si="515"/>
        <v>104550.91</v>
      </c>
      <c r="AK542" s="410">
        <f t="shared" si="516"/>
        <v>52275.45</v>
      </c>
      <c r="AL542" s="410">
        <v>0</v>
      </c>
      <c r="AM542" s="446"/>
      <c r="AN542" s="446"/>
      <c r="AP542" s="486" t="e">
        <f t="shared" si="480"/>
        <v>#DIV/0!</v>
      </c>
      <c r="AQ542" s="486" t="e">
        <f t="shared" si="486"/>
        <v>#DIV/0!</v>
      </c>
      <c r="AR542" s="486" t="e">
        <f t="shared" si="487"/>
        <v>#DIV/0!</v>
      </c>
      <c r="AS542" s="486" t="e">
        <f t="shared" si="488"/>
        <v>#DIV/0!</v>
      </c>
      <c r="AT542" s="486" t="e">
        <f t="shared" si="489"/>
        <v>#DIV/0!</v>
      </c>
      <c r="AU542" s="486" t="e">
        <f t="shared" si="490"/>
        <v>#DIV/0!</v>
      </c>
      <c r="AV542" s="486" t="e">
        <f t="shared" si="491"/>
        <v>#DIV/0!</v>
      </c>
      <c r="AW542" s="486">
        <f t="shared" si="492"/>
        <v>3183.9699990433369</v>
      </c>
      <c r="AX542" s="486" t="e">
        <f t="shared" si="493"/>
        <v>#DIV/0!</v>
      </c>
      <c r="AY542" s="486" t="e">
        <f t="shared" si="494"/>
        <v>#DIV/0!</v>
      </c>
      <c r="AZ542" s="486" t="e">
        <f t="shared" si="495"/>
        <v>#DIV/0!</v>
      </c>
      <c r="BA542" s="486">
        <f t="shared" si="481"/>
        <v>0</v>
      </c>
      <c r="BB542" s="494">
        <v>5155.41</v>
      </c>
      <c r="BC542" s="494">
        <v>2070.12</v>
      </c>
      <c r="BD542" s="494">
        <v>848.92</v>
      </c>
      <c r="BE542" s="494">
        <v>819.73</v>
      </c>
      <c r="BF542" s="494">
        <v>611.5</v>
      </c>
      <c r="BG542" s="494">
        <v>1080.04</v>
      </c>
      <c r="BH542" s="494">
        <v>2671800.0099999998</v>
      </c>
      <c r="BI542" s="494">
        <f t="shared" si="449"/>
        <v>4607.6000000000004</v>
      </c>
      <c r="BJ542" s="494">
        <v>14289.54</v>
      </c>
      <c r="BK542" s="494">
        <v>3389.61</v>
      </c>
      <c r="BL542" s="494">
        <v>5995.76</v>
      </c>
      <c r="BM542" s="494">
        <v>548.62</v>
      </c>
      <c r="BN542" s="495" t="e">
        <f t="shared" si="496"/>
        <v>#DIV/0!</v>
      </c>
      <c r="BO542" s="495" t="e">
        <f t="shared" si="497"/>
        <v>#DIV/0!</v>
      </c>
      <c r="BP542" s="495" t="e">
        <f t="shared" si="498"/>
        <v>#DIV/0!</v>
      </c>
      <c r="BQ542" s="495" t="e">
        <f t="shared" si="499"/>
        <v>#DIV/0!</v>
      </c>
      <c r="BR542" s="495" t="e">
        <f t="shared" si="500"/>
        <v>#DIV/0!</v>
      </c>
      <c r="BS542" s="495" t="e">
        <f t="shared" si="501"/>
        <v>#DIV/0!</v>
      </c>
      <c r="BT542" s="495" t="e">
        <f t="shared" si="502"/>
        <v>#DIV/0!</v>
      </c>
      <c r="BU542" s="495" t="str">
        <f t="shared" si="503"/>
        <v xml:space="preserve"> </v>
      </c>
      <c r="BV542" s="495" t="e">
        <f t="shared" si="504"/>
        <v>#DIV/0!</v>
      </c>
      <c r="BW542" s="495" t="e">
        <f t="shared" si="505"/>
        <v>#DIV/0!</v>
      </c>
      <c r="BX542" s="495" t="e">
        <f t="shared" si="506"/>
        <v>#DIV/0!</v>
      </c>
      <c r="BY542" s="495" t="str">
        <f t="shared" si="507"/>
        <v xml:space="preserve"> </v>
      </c>
    </row>
    <row r="543" spans="1:77" s="28" customFormat="1" ht="9" customHeight="1">
      <c r="A543" s="406">
        <v>171</v>
      </c>
      <c r="B543" s="276" t="s">
        <v>838</v>
      </c>
      <c r="C543" s="249">
        <v>400.2</v>
      </c>
      <c r="D543" s="376"/>
      <c r="E543" s="424" t="s">
        <v>1005</v>
      </c>
      <c r="F543" s="249"/>
      <c r="G543" s="249"/>
      <c r="H543" s="407">
        <v>733480</v>
      </c>
      <c r="I543" s="407">
        <f t="shared" si="513"/>
        <v>0</v>
      </c>
      <c r="J543" s="217">
        <v>0</v>
      </c>
      <c r="K543" s="469">
        <v>0</v>
      </c>
      <c r="L543" s="217">
        <v>0</v>
      </c>
      <c r="M543" s="469">
        <v>0</v>
      </c>
      <c r="N543" s="217">
        <v>0</v>
      </c>
      <c r="O543" s="249">
        <v>0</v>
      </c>
      <c r="P543" s="407">
        <v>0</v>
      </c>
      <c r="Q543" s="249">
        <v>0</v>
      </c>
      <c r="R543" s="407">
        <v>0</v>
      </c>
      <c r="S543" s="249">
        <v>0</v>
      </c>
      <c r="T543" s="407">
        <v>0</v>
      </c>
      <c r="U543" s="130">
        <v>0</v>
      </c>
      <c r="V543" s="407">
        <v>0</v>
      </c>
      <c r="W543" s="410">
        <v>220</v>
      </c>
      <c r="X543" s="407">
        <f t="shared" si="514"/>
        <v>700473.4</v>
      </c>
      <c r="Y543" s="410">
        <v>0</v>
      </c>
      <c r="Z543" s="410">
        <v>0</v>
      </c>
      <c r="AA543" s="410">
        <v>0</v>
      </c>
      <c r="AB543" s="410">
        <v>0</v>
      </c>
      <c r="AC543" s="410">
        <v>0</v>
      </c>
      <c r="AD543" s="410">
        <v>0</v>
      </c>
      <c r="AE543" s="410">
        <v>0</v>
      </c>
      <c r="AF543" s="410">
        <v>0</v>
      </c>
      <c r="AG543" s="410">
        <v>0</v>
      </c>
      <c r="AH543" s="410">
        <v>0</v>
      </c>
      <c r="AI543" s="410">
        <v>0</v>
      </c>
      <c r="AJ543" s="410">
        <f t="shared" si="515"/>
        <v>22004.400000000001</v>
      </c>
      <c r="AK543" s="410">
        <f t="shared" si="516"/>
        <v>11002.2</v>
      </c>
      <c r="AL543" s="410">
        <v>0</v>
      </c>
      <c r="AM543" s="446"/>
      <c r="AN543" s="446"/>
      <c r="AP543" s="486" t="e">
        <f t="shared" si="480"/>
        <v>#DIV/0!</v>
      </c>
      <c r="AQ543" s="486" t="e">
        <f t="shared" si="486"/>
        <v>#DIV/0!</v>
      </c>
      <c r="AR543" s="486" t="e">
        <f t="shared" si="487"/>
        <v>#DIV/0!</v>
      </c>
      <c r="AS543" s="486" t="e">
        <f t="shared" si="488"/>
        <v>#DIV/0!</v>
      </c>
      <c r="AT543" s="486" t="e">
        <f t="shared" si="489"/>
        <v>#DIV/0!</v>
      </c>
      <c r="AU543" s="486" t="e">
        <f t="shared" si="490"/>
        <v>#DIV/0!</v>
      </c>
      <c r="AV543" s="486" t="e">
        <f t="shared" si="491"/>
        <v>#DIV/0!</v>
      </c>
      <c r="AW543" s="486">
        <f t="shared" si="492"/>
        <v>3183.9700000000003</v>
      </c>
      <c r="AX543" s="486" t="e">
        <f t="shared" si="493"/>
        <v>#DIV/0!</v>
      </c>
      <c r="AY543" s="486" t="e">
        <f t="shared" si="494"/>
        <v>#DIV/0!</v>
      </c>
      <c r="AZ543" s="486" t="e">
        <f t="shared" si="495"/>
        <v>#DIV/0!</v>
      </c>
      <c r="BA543" s="486">
        <f t="shared" si="481"/>
        <v>0</v>
      </c>
      <c r="BB543" s="494">
        <v>5155.41</v>
      </c>
      <c r="BC543" s="494">
        <v>2070.12</v>
      </c>
      <c r="BD543" s="494">
        <v>848.92</v>
      </c>
      <c r="BE543" s="494">
        <v>819.73</v>
      </c>
      <c r="BF543" s="494">
        <v>611.5</v>
      </c>
      <c r="BG543" s="494">
        <v>1080.04</v>
      </c>
      <c r="BH543" s="494">
        <v>2671800.0099999998</v>
      </c>
      <c r="BI543" s="494">
        <f t="shared" si="449"/>
        <v>4607.6000000000004</v>
      </c>
      <c r="BJ543" s="494">
        <v>14289.54</v>
      </c>
      <c r="BK543" s="494">
        <v>3389.61</v>
      </c>
      <c r="BL543" s="494">
        <v>5995.76</v>
      </c>
      <c r="BM543" s="494">
        <v>548.62</v>
      </c>
      <c r="BN543" s="495" t="e">
        <f t="shared" si="496"/>
        <v>#DIV/0!</v>
      </c>
      <c r="BO543" s="495" t="e">
        <f t="shared" si="497"/>
        <v>#DIV/0!</v>
      </c>
      <c r="BP543" s="495" t="e">
        <f t="shared" si="498"/>
        <v>#DIV/0!</v>
      </c>
      <c r="BQ543" s="495" t="e">
        <f t="shared" si="499"/>
        <v>#DIV/0!</v>
      </c>
      <c r="BR543" s="495" t="e">
        <f t="shared" si="500"/>
        <v>#DIV/0!</v>
      </c>
      <c r="BS543" s="495" t="e">
        <f t="shared" si="501"/>
        <v>#DIV/0!</v>
      </c>
      <c r="BT543" s="495" t="e">
        <f t="shared" si="502"/>
        <v>#DIV/0!</v>
      </c>
      <c r="BU543" s="495" t="str">
        <f t="shared" si="503"/>
        <v xml:space="preserve"> </v>
      </c>
      <c r="BV543" s="495" t="e">
        <f t="shared" si="504"/>
        <v>#DIV/0!</v>
      </c>
      <c r="BW543" s="495" t="e">
        <f t="shared" si="505"/>
        <v>#DIV/0!</v>
      </c>
      <c r="BX543" s="495" t="e">
        <f t="shared" si="506"/>
        <v>#DIV/0!</v>
      </c>
      <c r="BY543" s="495" t="str">
        <f t="shared" si="507"/>
        <v xml:space="preserve"> </v>
      </c>
    </row>
    <row r="544" spans="1:77" s="28" customFormat="1" ht="9" customHeight="1">
      <c r="A544" s="406">
        <v>172</v>
      </c>
      <c r="B544" s="276" t="s">
        <v>824</v>
      </c>
      <c r="C544" s="249">
        <v>375.9</v>
      </c>
      <c r="D544" s="376"/>
      <c r="E544" s="424" t="s">
        <v>1005</v>
      </c>
      <c r="F544" s="249"/>
      <c r="G544" s="249"/>
      <c r="H544" s="407">
        <v>988697.7</v>
      </c>
      <c r="I544" s="407">
        <f t="shared" si="513"/>
        <v>0</v>
      </c>
      <c r="J544" s="217">
        <v>0</v>
      </c>
      <c r="K544" s="469">
        <v>0</v>
      </c>
      <c r="L544" s="217">
        <v>0</v>
      </c>
      <c r="M544" s="469">
        <v>0</v>
      </c>
      <c r="N544" s="217">
        <v>0</v>
      </c>
      <c r="O544" s="249">
        <v>0</v>
      </c>
      <c r="P544" s="407">
        <v>0</v>
      </c>
      <c r="Q544" s="249">
        <v>0</v>
      </c>
      <c r="R544" s="407">
        <v>0</v>
      </c>
      <c r="S544" s="249">
        <v>0</v>
      </c>
      <c r="T544" s="407">
        <v>0</v>
      </c>
      <c r="U544" s="130">
        <v>0</v>
      </c>
      <c r="V544" s="407">
        <v>0</v>
      </c>
      <c r="W544" s="410">
        <v>296.55</v>
      </c>
      <c r="X544" s="407">
        <f t="shared" si="514"/>
        <v>944206.3</v>
      </c>
      <c r="Y544" s="410">
        <v>0</v>
      </c>
      <c r="Z544" s="410">
        <v>0</v>
      </c>
      <c r="AA544" s="410">
        <v>0</v>
      </c>
      <c r="AB544" s="410">
        <v>0</v>
      </c>
      <c r="AC544" s="410">
        <v>0</v>
      </c>
      <c r="AD544" s="410">
        <v>0</v>
      </c>
      <c r="AE544" s="410">
        <v>0</v>
      </c>
      <c r="AF544" s="410">
        <v>0</v>
      </c>
      <c r="AG544" s="410">
        <v>0</v>
      </c>
      <c r="AH544" s="410">
        <v>0</v>
      </c>
      <c r="AI544" s="410">
        <v>0</v>
      </c>
      <c r="AJ544" s="410">
        <f t="shared" si="515"/>
        <v>29660.93</v>
      </c>
      <c r="AK544" s="410">
        <f t="shared" si="516"/>
        <v>14830.47</v>
      </c>
      <c r="AL544" s="410">
        <v>0</v>
      </c>
      <c r="AM544" s="446"/>
      <c r="AN544" s="446"/>
      <c r="AP544" s="486" t="e">
        <f t="shared" si="480"/>
        <v>#DIV/0!</v>
      </c>
      <c r="AQ544" s="486" t="e">
        <f t="shared" si="486"/>
        <v>#DIV/0!</v>
      </c>
      <c r="AR544" s="486" t="e">
        <f t="shared" si="487"/>
        <v>#DIV/0!</v>
      </c>
      <c r="AS544" s="486" t="e">
        <f t="shared" si="488"/>
        <v>#DIV/0!</v>
      </c>
      <c r="AT544" s="486" t="e">
        <f t="shared" si="489"/>
        <v>#DIV/0!</v>
      </c>
      <c r="AU544" s="486" t="e">
        <f t="shared" si="490"/>
        <v>#DIV/0!</v>
      </c>
      <c r="AV544" s="486" t="e">
        <f t="shared" si="491"/>
        <v>#DIV/0!</v>
      </c>
      <c r="AW544" s="486">
        <f t="shared" si="492"/>
        <v>3183.9699881976057</v>
      </c>
      <c r="AX544" s="486" t="e">
        <f t="shared" si="493"/>
        <v>#DIV/0!</v>
      </c>
      <c r="AY544" s="486" t="e">
        <f t="shared" si="494"/>
        <v>#DIV/0!</v>
      </c>
      <c r="AZ544" s="486" t="e">
        <f t="shared" si="495"/>
        <v>#DIV/0!</v>
      </c>
      <c r="BA544" s="486">
        <f t="shared" si="481"/>
        <v>0</v>
      </c>
      <c r="BB544" s="494">
        <v>5155.41</v>
      </c>
      <c r="BC544" s="494">
        <v>2070.12</v>
      </c>
      <c r="BD544" s="494">
        <v>848.92</v>
      </c>
      <c r="BE544" s="494">
        <v>819.73</v>
      </c>
      <c r="BF544" s="494">
        <v>611.5</v>
      </c>
      <c r="BG544" s="494">
        <v>1080.04</v>
      </c>
      <c r="BH544" s="494">
        <v>2671800.0099999998</v>
      </c>
      <c r="BI544" s="494">
        <f t="shared" si="449"/>
        <v>4607.6000000000004</v>
      </c>
      <c r="BJ544" s="494">
        <v>14289.54</v>
      </c>
      <c r="BK544" s="494">
        <v>3389.61</v>
      </c>
      <c r="BL544" s="494">
        <v>5995.76</v>
      </c>
      <c r="BM544" s="494">
        <v>548.62</v>
      </c>
      <c r="BN544" s="495" t="e">
        <f t="shared" si="496"/>
        <v>#DIV/0!</v>
      </c>
      <c r="BO544" s="495" t="e">
        <f t="shared" si="497"/>
        <v>#DIV/0!</v>
      </c>
      <c r="BP544" s="495" t="e">
        <f t="shared" si="498"/>
        <v>#DIV/0!</v>
      </c>
      <c r="BQ544" s="495" t="e">
        <f t="shared" si="499"/>
        <v>#DIV/0!</v>
      </c>
      <c r="BR544" s="495" t="e">
        <f t="shared" si="500"/>
        <v>#DIV/0!</v>
      </c>
      <c r="BS544" s="495" t="e">
        <f t="shared" si="501"/>
        <v>#DIV/0!</v>
      </c>
      <c r="BT544" s="495" t="e">
        <f t="shared" si="502"/>
        <v>#DIV/0!</v>
      </c>
      <c r="BU544" s="495" t="str">
        <f t="shared" si="503"/>
        <v xml:space="preserve"> </v>
      </c>
      <c r="BV544" s="495" t="e">
        <f t="shared" si="504"/>
        <v>#DIV/0!</v>
      </c>
      <c r="BW544" s="495" t="e">
        <f t="shared" si="505"/>
        <v>#DIV/0!</v>
      </c>
      <c r="BX544" s="495" t="e">
        <f t="shared" si="506"/>
        <v>#DIV/0!</v>
      </c>
      <c r="BY544" s="495" t="str">
        <f t="shared" si="507"/>
        <v xml:space="preserve"> </v>
      </c>
    </row>
    <row r="545" spans="1:77" s="28" customFormat="1" ht="9" customHeight="1">
      <c r="A545" s="406">
        <v>173</v>
      </c>
      <c r="B545" s="276" t="s">
        <v>839</v>
      </c>
      <c r="C545" s="249">
        <v>732.9</v>
      </c>
      <c r="D545" s="376"/>
      <c r="E545" s="424" t="s">
        <v>1005</v>
      </c>
      <c r="F545" s="249"/>
      <c r="G545" s="249"/>
      <c r="H545" s="407">
        <v>1646996</v>
      </c>
      <c r="I545" s="407">
        <f t="shared" si="513"/>
        <v>0</v>
      </c>
      <c r="J545" s="217">
        <v>0</v>
      </c>
      <c r="K545" s="469">
        <v>0</v>
      </c>
      <c r="L545" s="217">
        <v>0</v>
      </c>
      <c r="M545" s="469">
        <v>0</v>
      </c>
      <c r="N545" s="217">
        <v>0</v>
      </c>
      <c r="O545" s="249">
        <v>0</v>
      </c>
      <c r="P545" s="407">
        <v>0</v>
      </c>
      <c r="Q545" s="249">
        <v>0</v>
      </c>
      <c r="R545" s="407">
        <v>0</v>
      </c>
      <c r="S545" s="249">
        <v>0</v>
      </c>
      <c r="T545" s="407">
        <v>0</v>
      </c>
      <c r="U545" s="130">
        <v>0</v>
      </c>
      <c r="V545" s="407">
        <v>0</v>
      </c>
      <c r="W545" s="410">
        <v>494</v>
      </c>
      <c r="X545" s="407">
        <f t="shared" si="514"/>
        <v>1572881.18</v>
      </c>
      <c r="Y545" s="410">
        <v>0</v>
      </c>
      <c r="Z545" s="410">
        <v>0</v>
      </c>
      <c r="AA545" s="410">
        <v>0</v>
      </c>
      <c r="AB545" s="410">
        <v>0</v>
      </c>
      <c r="AC545" s="410">
        <v>0</v>
      </c>
      <c r="AD545" s="410">
        <v>0</v>
      </c>
      <c r="AE545" s="410">
        <v>0</v>
      </c>
      <c r="AF545" s="410">
        <v>0</v>
      </c>
      <c r="AG545" s="410">
        <v>0</v>
      </c>
      <c r="AH545" s="410">
        <v>0</v>
      </c>
      <c r="AI545" s="410">
        <v>0</v>
      </c>
      <c r="AJ545" s="410">
        <f t="shared" si="515"/>
        <v>49409.88</v>
      </c>
      <c r="AK545" s="410">
        <f t="shared" si="516"/>
        <v>24704.94</v>
      </c>
      <c r="AL545" s="410">
        <v>0</v>
      </c>
      <c r="AM545" s="446"/>
      <c r="AN545" s="446"/>
      <c r="AP545" s="486" t="e">
        <f t="shared" si="480"/>
        <v>#DIV/0!</v>
      </c>
      <c r="AQ545" s="486" t="e">
        <f t="shared" si="486"/>
        <v>#DIV/0!</v>
      </c>
      <c r="AR545" s="486" t="e">
        <f t="shared" si="487"/>
        <v>#DIV/0!</v>
      </c>
      <c r="AS545" s="486" t="e">
        <f t="shared" si="488"/>
        <v>#DIV/0!</v>
      </c>
      <c r="AT545" s="486" t="e">
        <f t="shared" si="489"/>
        <v>#DIV/0!</v>
      </c>
      <c r="AU545" s="486" t="e">
        <f t="shared" si="490"/>
        <v>#DIV/0!</v>
      </c>
      <c r="AV545" s="486" t="e">
        <f t="shared" si="491"/>
        <v>#DIV/0!</v>
      </c>
      <c r="AW545" s="486">
        <f t="shared" si="492"/>
        <v>3183.97</v>
      </c>
      <c r="AX545" s="486" t="e">
        <f t="shared" si="493"/>
        <v>#DIV/0!</v>
      </c>
      <c r="AY545" s="486" t="e">
        <f t="shared" si="494"/>
        <v>#DIV/0!</v>
      </c>
      <c r="AZ545" s="486" t="e">
        <f t="shared" si="495"/>
        <v>#DIV/0!</v>
      </c>
      <c r="BA545" s="486">
        <f t="shared" si="481"/>
        <v>0</v>
      </c>
      <c r="BB545" s="494">
        <v>5155.41</v>
      </c>
      <c r="BC545" s="494">
        <v>2070.12</v>
      </c>
      <c r="BD545" s="494">
        <v>848.92</v>
      </c>
      <c r="BE545" s="494">
        <v>819.73</v>
      </c>
      <c r="BF545" s="494">
        <v>611.5</v>
      </c>
      <c r="BG545" s="494">
        <v>1080.04</v>
      </c>
      <c r="BH545" s="494">
        <v>2671800.0099999998</v>
      </c>
      <c r="BI545" s="494">
        <f t="shared" si="449"/>
        <v>4607.6000000000004</v>
      </c>
      <c r="BJ545" s="494">
        <v>14289.54</v>
      </c>
      <c r="BK545" s="494">
        <v>3389.61</v>
      </c>
      <c r="BL545" s="494">
        <v>5995.76</v>
      </c>
      <c r="BM545" s="494">
        <v>548.62</v>
      </c>
      <c r="BN545" s="495" t="e">
        <f t="shared" si="496"/>
        <v>#DIV/0!</v>
      </c>
      <c r="BO545" s="495" t="e">
        <f t="shared" si="497"/>
        <v>#DIV/0!</v>
      </c>
      <c r="BP545" s="495" t="e">
        <f t="shared" si="498"/>
        <v>#DIV/0!</v>
      </c>
      <c r="BQ545" s="495" t="e">
        <f t="shared" si="499"/>
        <v>#DIV/0!</v>
      </c>
      <c r="BR545" s="495" t="e">
        <f t="shared" si="500"/>
        <v>#DIV/0!</v>
      </c>
      <c r="BS545" s="495" t="e">
        <f t="shared" si="501"/>
        <v>#DIV/0!</v>
      </c>
      <c r="BT545" s="495" t="e">
        <f t="shared" si="502"/>
        <v>#DIV/0!</v>
      </c>
      <c r="BU545" s="495" t="str">
        <f t="shared" si="503"/>
        <v xml:space="preserve"> </v>
      </c>
      <c r="BV545" s="495" t="e">
        <f t="shared" si="504"/>
        <v>#DIV/0!</v>
      </c>
      <c r="BW545" s="495" t="e">
        <f t="shared" si="505"/>
        <v>#DIV/0!</v>
      </c>
      <c r="BX545" s="495" t="e">
        <f t="shared" si="506"/>
        <v>#DIV/0!</v>
      </c>
      <c r="BY545" s="495" t="str">
        <f t="shared" si="507"/>
        <v xml:space="preserve"> </v>
      </c>
    </row>
    <row r="546" spans="1:77" s="28" customFormat="1" ht="9" customHeight="1">
      <c r="A546" s="406">
        <v>174</v>
      </c>
      <c r="B546" s="276" t="s">
        <v>840</v>
      </c>
      <c r="C546" s="249">
        <v>476.9</v>
      </c>
      <c r="D546" s="376">
        <v>61.1</v>
      </c>
      <c r="E546" s="407" t="s">
        <v>1024</v>
      </c>
      <c r="F546" s="249"/>
      <c r="G546" s="249"/>
      <c r="H546" s="407">
        <v>1252320.33</v>
      </c>
      <c r="I546" s="407">
        <f t="shared" si="513"/>
        <v>1048899.95</v>
      </c>
      <c r="J546" s="205">
        <f>ROUND(0.955*(C546*370),2)</f>
        <v>168512.62</v>
      </c>
      <c r="K546" s="469">
        <v>280</v>
      </c>
      <c r="L546" s="217">
        <f>ROUND(0.955*(C546*1200),2)</f>
        <v>546527.4</v>
      </c>
      <c r="M546" s="469">
        <v>0</v>
      </c>
      <c r="N546" s="217">
        <f>ROUND(0.955*(C546*303.05),2)</f>
        <v>138020.94</v>
      </c>
      <c r="O546" s="249">
        <v>110</v>
      </c>
      <c r="P546" s="407">
        <f>ROUND(0.955*(C546*210),2)</f>
        <v>95642.3</v>
      </c>
      <c r="Q546" s="249">
        <v>0</v>
      </c>
      <c r="R546" s="407">
        <v>0</v>
      </c>
      <c r="S546" s="249">
        <v>120</v>
      </c>
      <c r="T546" s="407">
        <f>ROUND(0.955*(C546*220),2)</f>
        <v>100196.69</v>
      </c>
      <c r="U546" s="130">
        <v>0</v>
      </c>
      <c r="V546" s="407">
        <v>0</v>
      </c>
      <c r="W546" s="410">
        <v>0</v>
      </c>
      <c r="X546" s="407">
        <v>0</v>
      </c>
      <c r="Y546" s="410">
        <v>0</v>
      </c>
      <c r="Z546" s="410">
        <v>0</v>
      </c>
      <c r="AA546" s="410">
        <v>0</v>
      </c>
      <c r="AB546" s="410">
        <v>0</v>
      </c>
      <c r="AC546" s="410">
        <v>0</v>
      </c>
      <c r="AD546" s="410">
        <v>0</v>
      </c>
      <c r="AE546" s="410">
        <v>0</v>
      </c>
      <c r="AF546" s="410">
        <v>0</v>
      </c>
      <c r="AG546" s="410">
        <v>0</v>
      </c>
      <c r="AH546" s="410">
        <v>0</v>
      </c>
      <c r="AI546" s="407">
        <f>ROUND(0.955*C546*322.91,2)</f>
        <v>147065.97</v>
      </c>
      <c r="AJ546" s="410">
        <f>ROUND(0.03*(220+1200+370+210+303.05+322.91)*C546,2)</f>
        <v>37569.61</v>
      </c>
      <c r="AK546" s="410">
        <f>ROUND(0.015*(220+1200+370+210+303.05+322.91)*C546,2)</f>
        <v>18784.8</v>
      </c>
      <c r="AL546" s="410">
        <v>0</v>
      </c>
      <c r="AM546" s="446"/>
      <c r="AN546" s="446"/>
      <c r="AP546" s="486">
        <f t="shared" si="480"/>
        <v>2757.9806873977086</v>
      </c>
      <c r="AQ546" s="486">
        <f t="shared" si="486"/>
        <v>1951.8835714285715</v>
      </c>
      <c r="AR546" s="486" t="e">
        <f t="shared" si="487"/>
        <v>#DIV/0!</v>
      </c>
      <c r="AS546" s="486">
        <f t="shared" si="488"/>
        <v>869.47545454545457</v>
      </c>
      <c r="AT546" s="486" t="e">
        <f t="shared" si="489"/>
        <v>#DIV/0!</v>
      </c>
      <c r="AU546" s="486">
        <f t="shared" si="490"/>
        <v>834.97241666666673</v>
      </c>
      <c r="AV546" s="486" t="e">
        <f t="shared" si="491"/>
        <v>#DIV/0!</v>
      </c>
      <c r="AW546" s="486" t="e">
        <f t="shared" si="492"/>
        <v>#DIV/0!</v>
      </c>
      <c r="AX546" s="486" t="e">
        <f t="shared" si="493"/>
        <v>#DIV/0!</v>
      </c>
      <c r="AY546" s="486" t="e">
        <f t="shared" si="494"/>
        <v>#DIV/0!</v>
      </c>
      <c r="AZ546" s="486" t="e">
        <f t="shared" si="495"/>
        <v>#DIV/0!</v>
      </c>
      <c r="BA546" s="486">
        <f t="shared" si="481"/>
        <v>308.37905221220382</v>
      </c>
      <c r="BB546" s="494">
        <v>5155.41</v>
      </c>
      <c r="BC546" s="494">
        <v>2070.12</v>
      </c>
      <c r="BD546" s="494">
        <v>848.92</v>
      </c>
      <c r="BE546" s="494">
        <v>819.73</v>
      </c>
      <c r="BF546" s="494">
        <v>611.5</v>
      </c>
      <c r="BG546" s="494">
        <v>1080.04</v>
      </c>
      <c r="BH546" s="494">
        <v>2671800.0099999998</v>
      </c>
      <c r="BI546" s="494">
        <f t="shared" si="449"/>
        <v>4422.8500000000004</v>
      </c>
      <c r="BJ546" s="494">
        <v>14289.54</v>
      </c>
      <c r="BK546" s="494">
        <v>3389.61</v>
      </c>
      <c r="BL546" s="494">
        <v>5995.76</v>
      </c>
      <c r="BM546" s="494">
        <v>548.62</v>
      </c>
      <c r="BN546" s="495" t="str">
        <f t="shared" si="496"/>
        <v xml:space="preserve"> </v>
      </c>
      <c r="BO546" s="495" t="str">
        <f t="shared" si="497"/>
        <v xml:space="preserve"> </v>
      </c>
      <c r="BP546" s="495" t="e">
        <f t="shared" si="498"/>
        <v>#DIV/0!</v>
      </c>
      <c r="BQ546" s="495" t="str">
        <f t="shared" si="499"/>
        <v>+</v>
      </c>
      <c r="BR546" s="495" t="e">
        <f t="shared" si="500"/>
        <v>#DIV/0!</v>
      </c>
      <c r="BS546" s="495" t="str">
        <f t="shared" si="501"/>
        <v xml:space="preserve"> </v>
      </c>
      <c r="BT546" s="495" t="e">
        <f t="shared" si="502"/>
        <v>#DIV/0!</v>
      </c>
      <c r="BU546" s="495" t="e">
        <f t="shared" si="503"/>
        <v>#DIV/0!</v>
      </c>
      <c r="BV546" s="495" t="e">
        <f t="shared" si="504"/>
        <v>#DIV/0!</v>
      </c>
      <c r="BW546" s="495" t="e">
        <f t="shared" si="505"/>
        <v>#DIV/0!</v>
      </c>
      <c r="BX546" s="495" t="e">
        <f t="shared" si="506"/>
        <v>#DIV/0!</v>
      </c>
      <c r="BY546" s="495" t="str">
        <f t="shared" si="507"/>
        <v xml:space="preserve"> </v>
      </c>
    </row>
    <row r="547" spans="1:77" s="28" customFormat="1" ht="23.25" customHeight="1">
      <c r="A547" s="954" t="s">
        <v>271</v>
      </c>
      <c r="B547" s="954"/>
      <c r="C547" s="407">
        <f>SUM(C534:C546)</f>
        <v>13284.199999999999</v>
      </c>
      <c r="D547" s="396"/>
      <c r="E547" s="362" t="s">
        <v>391</v>
      </c>
      <c r="F547" s="374"/>
      <c r="G547" s="374"/>
      <c r="H547" s="407">
        <f>SUM(H534:H546)</f>
        <v>25726012.629999995</v>
      </c>
      <c r="I547" s="407">
        <f t="shared" ref="I547:AL547" si="517">SUM(I534:I546)</f>
        <v>1048899.95</v>
      </c>
      <c r="J547" s="407">
        <f t="shared" si="517"/>
        <v>168512.62</v>
      </c>
      <c r="K547" s="407">
        <f t="shared" si="517"/>
        <v>280</v>
      </c>
      <c r="L547" s="407">
        <f t="shared" si="517"/>
        <v>546527.4</v>
      </c>
      <c r="M547" s="407">
        <f t="shared" si="517"/>
        <v>0</v>
      </c>
      <c r="N547" s="407">
        <f t="shared" si="517"/>
        <v>138020.94</v>
      </c>
      <c r="O547" s="407">
        <f t="shared" si="517"/>
        <v>110</v>
      </c>
      <c r="P547" s="407">
        <f t="shared" si="517"/>
        <v>95642.3</v>
      </c>
      <c r="Q547" s="407">
        <f t="shared" si="517"/>
        <v>0</v>
      </c>
      <c r="R547" s="407">
        <f t="shared" si="517"/>
        <v>0</v>
      </c>
      <c r="S547" s="407">
        <f t="shared" si="517"/>
        <v>120</v>
      </c>
      <c r="T547" s="407">
        <f t="shared" si="517"/>
        <v>100196.69</v>
      </c>
      <c r="U547" s="130">
        <f t="shared" si="517"/>
        <v>0</v>
      </c>
      <c r="V547" s="407">
        <f t="shared" si="517"/>
        <v>0</v>
      </c>
      <c r="W547" s="407">
        <f t="shared" si="517"/>
        <v>7438.4500000000007</v>
      </c>
      <c r="X547" s="407">
        <f t="shared" si="517"/>
        <v>23372376.139999997</v>
      </c>
      <c r="Y547" s="407">
        <f t="shared" si="517"/>
        <v>0</v>
      </c>
      <c r="Z547" s="407">
        <f t="shared" si="517"/>
        <v>0</v>
      </c>
      <c r="AA547" s="407">
        <f t="shared" si="517"/>
        <v>0</v>
      </c>
      <c r="AB547" s="407">
        <f t="shared" si="517"/>
        <v>0</v>
      </c>
      <c r="AC547" s="407">
        <f t="shared" si="517"/>
        <v>0</v>
      </c>
      <c r="AD547" s="407">
        <f t="shared" si="517"/>
        <v>0</v>
      </c>
      <c r="AE547" s="407">
        <f t="shared" si="517"/>
        <v>0</v>
      </c>
      <c r="AF547" s="407">
        <f t="shared" si="517"/>
        <v>0</v>
      </c>
      <c r="AG547" s="407">
        <f t="shared" si="517"/>
        <v>0</v>
      </c>
      <c r="AH547" s="407">
        <f t="shared" si="517"/>
        <v>0</v>
      </c>
      <c r="AI547" s="407">
        <f t="shared" si="517"/>
        <v>147065.97</v>
      </c>
      <c r="AJ547" s="407">
        <f t="shared" si="517"/>
        <v>771780.38000000012</v>
      </c>
      <c r="AK547" s="407">
        <f t="shared" si="517"/>
        <v>385890.19</v>
      </c>
      <c r="AL547" s="407">
        <f t="shared" si="517"/>
        <v>0</v>
      </c>
      <c r="AM547" s="280"/>
      <c r="AN547" s="280"/>
      <c r="AP547" s="486" t="e">
        <f t="shared" si="480"/>
        <v>#DIV/0!</v>
      </c>
      <c r="AQ547" s="486">
        <f t="shared" si="486"/>
        <v>1951.8835714285715</v>
      </c>
      <c r="AR547" s="497" t="e">
        <f t="shared" si="487"/>
        <v>#DIV/0!</v>
      </c>
      <c r="AS547" s="497">
        <f t="shared" si="488"/>
        <v>869.47545454545457</v>
      </c>
      <c r="AT547" s="497" t="e">
        <f t="shared" si="489"/>
        <v>#DIV/0!</v>
      </c>
      <c r="AU547" s="497">
        <f t="shared" si="490"/>
        <v>834.97241666666673</v>
      </c>
      <c r="AV547" s="497" t="e">
        <f t="shared" si="491"/>
        <v>#DIV/0!</v>
      </c>
      <c r="AW547" s="497">
        <f t="shared" si="492"/>
        <v>3142.1030107078755</v>
      </c>
      <c r="AX547" s="497" t="e">
        <f t="shared" si="493"/>
        <v>#DIV/0!</v>
      </c>
      <c r="AY547" s="486" t="e">
        <f t="shared" si="494"/>
        <v>#DIV/0!</v>
      </c>
      <c r="AZ547" s="497" t="e">
        <f t="shared" si="495"/>
        <v>#DIV/0!</v>
      </c>
      <c r="BA547" s="486">
        <f t="shared" si="481"/>
        <v>11.070743439574834</v>
      </c>
      <c r="BB547" s="494">
        <v>5155.41</v>
      </c>
      <c r="BC547" s="494">
        <v>2070.12</v>
      </c>
      <c r="BD547" s="494">
        <v>848.92</v>
      </c>
      <c r="BE547" s="494">
        <v>819.73</v>
      </c>
      <c r="BF547" s="494">
        <v>611.5</v>
      </c>
      <c r="BG547" s="494">
        <v>1080.04</v>
      </c>
      <c r="BH547" s="494">
        <v>2671800.0099999998</v>
      </c>
      <c r="BI547" s="494">
        <f t="shared" ref="BI547:BI610" si="518">IF(E547="ПК",4607.6,4422.85)</f>
        <v>4422.8500000000004</v>
      </c>
      <c r="BJ547" s="494">
        <v>14289.54</v>
      </c>
      <c r="BK547" s="494">
        <v>3389.61</v>
      </c>
      <c r="BL547" s="494">
        <v>5995.76</v>
      </c>
      <c r="BM547" s="494">
        <v>548.62</v>
      </c>
      <c r="BN547" s="493" t="e">
        <f t="shared" si="496"/>
        <v>#DIV/0!</v>
      </c>
      <c r="BO547" s="493" t="str">
        <f t="shared" si="497"/>
        <v xml:space="preserve"> </v>
      </c>
      <c r="BP547" s="493" t="e">
        <f t="shared" si="498"/>
        <v>#DIV/0!</v>
      </c>
      <c r="BQ547" s="493" t="str">
        <f t="shared" si="499"/>
        <v>+</v>
      </c>
      <c r="BR547" s="493" t="e">
        <f t="shared" si="500"/>
        <v>#DIV/0!</v>
      </c>
      <c r="BS547" s="493" t="str">
        <f t="shared" si="501"/>
        <v xml:space="preserve"> </v>
      </c>
      <c r="BT547" s="493" t="e">
        <f t="shared" si="502"/>
        <v>#DIV/0!</v>
      </c>
      <c r="BU547" s="493" t="str">
        <f t="shared" si="503"/>
        <v xml:space="preserve"> </v>
      </c>
      <c r="BV547" s="493" t="e">
        <f t="shared" si="504"/>
        <v>#DIV/0!</v>
      </c>
      <c r="BW547" s="493" t="e">
        <f t="shared" si="505"/>
        <v>#DIV/0!</v>
      </c>
      <c r="BX547" s="493" t="e">
        <f t="shared" si="506"/>
        <v>#DIV/0!</v>
      </c>
      <c r="BY547" s="493" t="str">
        <f t="shared" si="507"/>
        <v xml:space="preserve"> </v>
      </c>
    </row>
    <row r="548" spans="1:77" s="28" customFormat="1" ht="15" customHeight="1">
      <c r="A548" s="833" t="s">
        <v>445</v>
      </c>
      <c r="B548" s="834"/>
      <c r="C548" s="834"/>
      <c r="D548" s="834"/>
      <c r="E548" s="834"/>
      <c r="F548" s="834"/>
      <c r="G548" s="834"/>
      <c r="H548" s="834"/>
      <c r="I548" s="834"/>
      <c r="J548" s="834"/>
      <c r="K548" s="834"/>
      <c r="L548" s="834"/>
      <c r="M548" s="834"/>
      <c r="N548" s="834"/>
      <c r="O548" s="834"/>
      <c r="P548" s="834"/>
      <c r="Q548" s="834"/>
      <c r="R548" s="834"/>
      <c r="S548" s="834"/>
      <c r="T548" s="834"/>
      <c r="U548" s="834"/>
      <c r="V548" s="834"/>
      <c r="W548" s="834"/>
      <c r="X548" s="834"/>
      <c r="Y548" s="834"/>
      <c r="Z548" s="834"/>
      <c r="AA548" s="834"/>
      <c r="AB548" s="834"/>
      <c r="AC548" s="834"/>
      <c r="AD548" s="834"/>
      <c r="AE548" s="834"/>
      <c r="AF548" s="834"/>
      <c r="AG548" s="834"/>
      <c r="AH548" s="834"/>
      <c r="AI548" s="834"/>
      <c r="AJ548" s="834"/>
      <c r="AK548" s="834"/>
      <c r="AL548" s="835"/>
      <c r="AM548" s="280"/>
      <c r="AN548" s="280"/>
      <c r="AP548" s="486" t="e">
        <f t="shared" si="480"/>
        <v>#DIV/0!</v>
      </c>
      <c r="AQ548" s="486" t="e">
        <f t="shared" si="486"/>
        <v>#DIV/0!</v>
      </c>
      <c r="AR548" s="497" t="e">
        <f t="shared" si="487"/>
        <v>#DIV/0!</v>
      </c>
      <c r="AS548" s="497" t="e">
        <f t="shared" si="488"/>
        <v>#DIV/0!</v>
      </c>
      <c r="AT548" s="497" t="e">
        <f t="shared" si="489"/>
        <v>#DIV/0!</v>
      </c>
      <c r="AU548" s="497" t="e">
        <f t="shared" si="490"/>
        <v>#DIV/0!</v>
      </c>
      <c r="AV548" s="497" t="e">
        <f t="shared" si="491"/>
        <v>#DIV/0!</v>
      </c>
      <c r="AW548" s="497" t="e">
        <f t="shared" si="492"/>
        <v>#DIV/0!</v>
      </c>
      <c r="AX548" s="497" t="e">
        <f t="shared" si="493"/>
        <v>#DIV/0!</v>
      </c>
      <c r="AY548" s="486" t="e">
        <f t="shared" si="494"/>
        <v>#DIV/0!</v>
      </c>
      <c r="AZ548" s="497" t="e">
        <f t="shared" si="495"/>
        <v>#DIV/0!</v>
      </c>
      <c r="BA548" s="486" t="e">
        <f t="shared" si="481"/>
        <v>#DIV/0!</v>
      </c>
      <c r="BB548" s="494">
        <v>5155.41</v>
      </c>
      <c r="BC548" s="494">
        <v>2070.12</v>
      </c>
      <c r="BD548" s="494">
        <v>848.92</v>
      </c>
      <c r="BE548" s="494">
        <v>819.73</v>
      </c>
      <c r="BF548" s="494">
        <v>611.5</v>
      </c>
      <c r="BG548" s="494">
        <v>1080.04</v>
      </c>
      <c r="BH548" s="494">
        <v>2671800.0099999998</v>
      </c>
      <c r="BI548" s="494">
        <f t="shared" si="518"/>
        <v>4422.8500000000004</v>
      </c>
      <c r="BJ548" s="494">
        <v>14289.54</v>
      </c>
      <c r="BK548" s="494">
        <v>3389.61</v>
      </c>
      <c r="BL548" s="494">
        <v>5995.76</v>
      </c>
      <c r="BM548" s="494">
        <v>548.62</v>
      </c>
      <c r="BN548" s="493" t="e">
        <f t="shared" si="496"/>
        <v>#DIV/0!</v>
      </c>
      <c r="BO548" s="493" t="e">
        <f t="shared" si="497"/>
        <v>#DIV/0!</v>
      </c>
      <c r="BP548" s="493" t="e">
        <f t="shared" si="498"/>
        <v>#DIV/0!</v>
      </c>
      <c r="BQ548" s="493" t="e">
        <f t="shared" si="499"/>
        <v>#DIV/0!</v>
      </c>
      <c r="BR548" s="493" t="e">
        <f t="shared" si="500"/>
        <v>#DIV/0!</v>
      </c>
      <c r="BS548" s="493" t="e">
        <f t="shared" si="501"/>
        <v>#DIV/0!</v>
      </c>
      <c r="BT548" s="493" t="e">
        <f t="shared" si="502"/>
        <v>#DIV/0!</v>
      </c>
      <c r="BU548" s="493" t="e">
        <f t="shared" si="503"/>
        <v>#DIV/0!</v>
      </c>
      <c r="BV548" s="493" t="e">
        <f t="shared" si="504"/>
        <v>#DIV/0!</v>
      </c>
      <c r="BW548" s="493" t="e">
        <f t="shared" si="505"/>
        <v>#DIV/0!</v>
      </c>
      <c r="BX548" s="493" t="e">
        <f t="shared" si="506"/>
        <v>#DIV/0!</v>
      </c>
      <c r="BY548" s="493" t="e">
        <f t="shared" si="507"/>
        <v>#DIV/0!</v>
      </c>
    </row>
    <row r="549" spans="1:77" s="28" customFormat="1" ht="9" customHeight="1">
      <c r="A549" s="166">
        <v>175</v>
      </c>
      <c r="B549" s="276" t="s">
        <v>847</v>
      </c>
      <c r="C549" s="249">
        <v>1332.3</v>
      </c>
      <c r="D549" s="376"/>
      <c r="E549" s="407" t="s">
        <v>1006</v>
      </c>
      <c r="F549" s="249"/>
      <c r="G549" s="249"/>
      <c r="H549" s="407">
        <v>2037420</v>
      </c>
      <c r="I549" s="407">
        <f t="shared" ref="I549" si="519">J549+L549+N549+P549+R549+T549</f>
        <v>0</v>
      </c>
      <c r="J549" s="217">
        <v>0</v>
      </c>
      <c r="K549" s="469">
        <v>0</v>
      </c>
      <c r="L549" s="217">
        <v>0</v>
      </c>
      <c r="M549" s="469">
        <v>0</v>
      </c>
      <c r="N549" s="217">
        <v>0</v>
      </c>
      <c r="O549" s="249">
        <v>0</v>
      </c>
      <c r="P549" s="407">
        <v>0</v>
      </c>
      <c r="Q549" s="249">
        <v>0</v>
      </c>
      <c r="R549" s="407">
        <v>0</v>
      </c>
      <c r="S549" s="249">
        <v>0</v>
      </c>
      <c r="T549" s="407">
        <v>0</v>
      </c>
      <c r="U549" s="130">
        <v>0</v>
      </c>
      <c r="V549" s="407">
        <v>0</v>
      </c>
      <c r="W549" s="43">
        <v>630</v>
      </c>
      <c r="X549" s="407">
        <f t="shared" ref="X549" si="520">ROUND(H549/100*95.5,2)</f>
        <v>1945736.1</v>
      </c>
      <c r="Y549" s="410">
        <v>0</v>
      </c>
      <c r="Z549" s="410">
        <v>0</v>
      </c>
      <c r="AA549" s="410">
        <v>0</v>
      </c>
      <c r="AB549" s="410">
        <v>0</v>
      </c>
      <c r="AC549" s="410">
        <v>0</v>
      </c>
      <c r="AD549" s="410">
        <v>0</v>
      </c>
      <c r="AE549" s="410">
        <v>0</v>
      </c>
      <c r="AF549" s="410">
        <v>0</v>
      </c>
      <c r="AG549" s="410">
        <v>0</v>
      </c>
      <c r="AH549" s="410">
        <v>0</v>
      </c>
      <c r="AI549" s="410">
        <v>0</v>
      </c>
      <c r="AJ549" s="410">
        <f t="shared" ref="AJ549" si="521">ROUND(H549/100*3,2)</f>
        <v>61122.6</v>
      </c>
      <c r="AK549" s="410">
        <f t="shared" ref="AK549" si="522">ROUND(H549/100*1.5,2)</f>
        <v>30561.3</v>
      </c>
      <c r="AL549" s="410">
        <v>0</v>
      </c>
      <c r="AM549" s="446"/>
      <c r="AN549" s="446"/>
      <c r="AP549" s="486" t="e">
        <f t="shared" si="480"/>
        <v>#DIV/0!</v>
      </c>
      <c r="AQ549" s="486" t="e">
        <f t="shared" si="486"/>
        <v>#DIV/0!</v>
      </c>
      <c r="AR549" s="486" t="e">
        <f t="shared" si="487"/>
        <v>#DIV/0!</v>
      </c>
      <c r="AS549" s="486" t="e">
        <f t="shared" si="488"/>
        <v>#DIV/0!</v>
      </c>
      <c r="AT549" s="486" t="e">
        <f t="shared" si="489"/>
        <v>#DIV/0!</v>
      </c>
      <c r="AU549" s="486" t="e">
        <f t="shared" si="490"/>
        <v>#DIV/0!</v>
      </c>
      <c r="AV549" s="486" t="e">
        <f t="shared" si="491"/>
        <v>#DIV/0!</v>
      </c>
      <c r="AW549" s="486">
        <f t="shared" si="492"/>
        <v>3088.4700000000003</v>
      </c>
      <c r="AX549" s="486" t="e">
        <f t="shared" si="493"/>
        <v>#DIV/0!</v>
      </c>
      <c r="AY549" s="486" t="e">
        <f t="shared" si="494"/>
        <v>#DIV/0!</v>
      </c>
      <c r="AZ549" s="486" t="e">
        <f t="shared" si="495"/>
        <v>#DIV/0!</v>
      </c>
      <c r="BA549" s="486">
        <f t="shared" si="481"/>
        <v>0</v>
      </c>
      <c r="BB549" s="494">
        <v>5155.41</v>
      </c>
      <c r="BC549" s="494">
        <v>2070.12</v>
      </c>
      <c r="BD549" s="494">
        <v>848.92</v>
      </c>
      <c r="BE549" s="494">
        <v>819.73</v>
      </c>
      <c r="BF549" s="494">
        <v>611.5</v>
      </c>
      <c r="BG549" s="494">
        <v>1080.04</v>
      </c>
      <c r="BH549" s="494">
        <v>2671800.0099999998</v>
      </c>
      <c r="BI549" s="494">
        <f t="shared" si="518"/>
        <v>4422.8500000000004</v>
      </c>
      <c r="BJ549" s="494">
        <v>14289.54</v>
      </c>
      <c r="BK549" s="494">
        <v>3389.61</v>
      </c>
      <c r="BL549" s="494">
        <v>5995.76</v>
      </c>
      <c r="BM549" s="494">
        <v>548.62</v>
      </c>
      <c r="BN549" s="495" t="e">
        <f t="shared" si="496"/>
        <v>#DIV/0!</v>
      </c>
      <c r="BO549" s="495" t="e">
        <f t="shared" si="497"/>
        <v>#DIV/0!</v>
      </c>
      <c r="BP549" s="495" t="e">
        <f t="shared" si="498"/>
        <v>#DIV/0!</v>
      </c>
      <c r="BQ549" s="495" t="e">
        <f t="shared" si="499"/>
        <v>#DIV/0!</v>
      </c>
      <c r="BR549" s="495" t="e">
        <f t="shared" si="500"/>
        <v>#DIV/0!</v>
      </c>
      <c r="BS549" s="495" t="e">
        <f t="shared" si="501"/>
        <v>#DIV/0!</v>
      </c>
      <c r="BT549" s="495" t="e">
        <f t="shared" si="502"/>
        <v>#DIV/0!</v>
      </c>
      <c r="BU549" s="495" t="str">
        <f t="shared" si="503"/>
        <v xml:space="preserve"> </v>
      </c>
      <c r="BV549" s="495" t="e">
        <f t="shared" si="504"/>
        <v>#DIV/0!</v>
      </c>
      <c r="BW549" s="495" t="e">
        <f t="shared" si="505"/>
        <v>#DIV/0!</v>
      </c>
      <c r="BX549" s="495" t="e">
        <f t="shared" si="506"/>
        <v>#DIV/0!</v>
      </c>
      <c r="BY549" s="495" t="str">
        <f t="shared" si="507"/>
        <v xml:space="preserve"> </v>
      </c>
    </row>
    <row r="550" spans="1:77" s="28" customFormat="1" ht="34.5" customHeight="1">
      <c r="A550" s="956" t="s">
        <v>446</v>
      </c>
      <c r="B550" s="956"/>
      <c r="C550" s="167">
        <f>SUM(C549)</f>
        <v>1332.3</v>
      </c>
      <c r="D550" s="397"/>
      <c r="E550" s="167" t="s">
        <v>391</v>
      </c>
      <c r="F550" s="399"/>
      <c r="G550" s="399"/>
      <c r="H550" s="167">
        <f>SUM(H549)</f>
        <v>2037420</v>
      </c>
      <c r="I550" s="167">
        <f t="shared" ref="I550:AL550" si="523">SUM(I549)</f>
        <v>0</v>
      </c>
      <c r="J550" s="167">
        <f t="shared" si="523"/>
        <v>0</v>
      </c>
      <c r="K550" s="167">
        <f t="shared" si="523"/>
        <v>0</v>
      </c>
      <c r="L550" s="167">
        <f t="shared" si="523"/>
        <v>0</v>
      </c>
      <c r="M550" s="167">
        <f t="shared" si="523"/>
        <v>0</v>
      </c>
      <c r="N550" s="167">
        <f t="shared" si="523"/>
        <v>0</v>
      </c>
      <c r="O550" s="167">
        <f t="shared" si="523"/>
        <v>0</v>
      </c>
      <c r="P550" s="167">
        <f t="shared" si="523"/>
        <v>0</v>
      </c>
      <c r="Q550" s="167">
        <f t="shared" si="523"/>
        <v>0</v>
      </c>
      <c r="R550" s="167">
        <f t="shared" si="523"/>
        <v>0</v>
      </c>
      <c r="S550" s="167">
        <f t="shared" si="523"/>
        <v>0</v>
      </c>
      <c r="T550" s="167">
        <f t="shared" si="523"/>
        <v>0</v>
      </c>
      <c r="U550" s="190">
        <f t="shared" si="523"/>
        <v>0</v>
      </c>
      <c r="V550" s="167">
        <f t="shared" si="523"/>
        <v>0</v>
      </c>
      <c r="W550" s="167">
        <f t="shared" si="523"/>
        <v>630</v>
      </c>
      <c r="X550" s="167">
        <f t="shared" si="523"/>
        <v>1945736.1</v>
      </c>
      <c r="Y550" s="167">
        <f t="shared" si="523"/>
        <v>0</v>
      </c>
      <c r="Z550" s="167">
        <f t="shared" si="523"/>
        <v>0</v>
      </c>
      <c r="AA550" s="167">
        <f t="shared" si="523"/>
        <v>0</v>
      </c>
      <c r="AB550" s="167">
        <f t="shared" si="523"/>
        <v>0</v>
      </c>
      <c r="AC550" s="167">
        <f t="shared" si="523"/>
        <v>0</v>
      </c>
      <c r="AD550" s="167">
        <f t="shared" si="523"/>
        <v>0</v>
      </c>
      <c r="AE550" s="167">
        <f t="shared" si="523"/>
        <v>0</v>
      </c>
      <c r="AF550" s="167">
        <f t="shared" si="523"/>
        <v>0</v>
      </c>
      <c r="AG550" s="167">
        <f t="shared" si="523"/>
        <v>0</v>
      </c>
      <c r="AH550" s="167">
        <f t="shared" si="523"/>
        <v>0</v>
      </c>
      <c r="AI550" s="167">
        <f t="shared" si="523"/>
        <v>0</v>
      </c>
      <c r="AJ550" s="167">
        <f t="shared" si="523"/>
        <v>61122.6</v>
      </c>
      <c r="AK550" s="167">
        <f t="shared" si="523"/>
        <v>30561.3</v>
      </c>
      <c r="AL550" s="167">
        <f t="shared" si="523"/>
        <v>0</v>
      </c>
      <c r="AM550" s="280"/>
      <c r="AN550" s="280"/>
      <c r="AP550" s="486" t="e">
        <f t="shared" si="480"/>
        <v>#DIV/0!</v>
      </c>
      <c r="AQ550" s="486" t="e">
        <f t="shared" si="486"/>
        <v>#DIV/0!</v>
      </c>
      <c r="AR550" s="497" t="e">
        <f t="shared" si="487"/>
        <v>#DIV/0!</v>
      </c>
      <c r="AS550" s="497" t="e">
        <f t="shared" si="488"/>
        <v>#DIV/0!</v>
      </c>
      <c r="AT550" s="497" t="e">
        <f t="shared" si="489"/>
        <v>#DIV/0!</v>
      </c>
      <c r="AU550" s="497" t="e">
        <f t="shared" si="490"/>
        <v>#DIV/0!</v>
      </c>
      <c r="AV550" s="497" t="e">
        <f t="shared" si="491"/>
        <v>#DIV/0!</v>
      </c>
      <c r="AW550" s="497">
        <f t="shared" si="492"/>
        <v>3088.4700000000003</v>
      </c>
      <c r="AX550" s="497" t="e">
        <f t="shared" si="493"/>
        <v>#DIV/0!</v>
      </c>
      <c r="AY550" s="486" t="e">
        <f t="shared" si="494"/>
        <v>#DIV/0!</v>
      </c>
      <c r="AZ550" s="497" t="e">
        <f t="shared" si="495"/>
        <v>#DIV/0!</v>
      </c>
      <c r="BA550" s="486">
        <f t="shared" si="481"/>
        <v>0</v>
      </c>
      <c r="BB550" s="494">
        <v>5155.41</v>
      </c>
      <c r="BC550" s="494">
        <v>2070.12</v>
      </c>
      <c r="BD550" s="494">
        <v>848.92</v>
      </c>
      <c r="BE550" s="494">
        <v>819.73</v>
      </c>
      <c r="BF550" s="494">
        <v>611.5</v>
      </c>
      <c r="BG550" s="494">
        <v>1080.04</v>
      </c>
      <c r="BH550" s="494">
        <v>2671800.0099999998</v>
      </c>
      <c r="BI550" s="494">
        <f t="shared" si="518"/>
        <v>4422.8500000000004</v>
      </c>
      <c r="BJ550" s="494">
        <v>14289.54</v>
      </c>
      <c r="BK550" s="494">
        <v>3389.61</v>
      </c>
      <c r="BL550" s="494">
        <v>5995.76</v>
      </c>
      <c r="BM550" s="494">
        <v>548.62</v>
      </c>
      <c r="BN550" s="493" t="e">
        <f t="shared" si="496"/>
        <v>#DIV/0!</v>
      </c>
      <c r="BO550" s="493" t="e">
        <f t="shared" si="497"/>
        <v>#DIV/0!</v>
      </c>
      <c r="BP550" s="493" t="e">
        <f t="shared" si="498"/>
        <v>#DIV/0!</v>
      </c>
      <c r="BQ550" s="493" t="e">
        <f t="shared" si="499"/>
        <v>#DIV/0!</v>
      </c>
      <c r="BR550" s="493" t="e">
        <f t="shared" si="500"/>
        <v>#DIV/0!</v>
      </c>
      <c r="BS550" s="493" t="e">
        <f t="shared" si="501"/>
        <v>#DIV/0!</v>
      </c>
      <c r="BT550" s="493" t="e">
        <f t="shared" si="502"/>
        <v>#DIV/0!</v>
      </c>
      <c r="BU550" s="493" t="str">
        <f t="shared" si="503"/>
        <v xml:space="preserve"> </v>
      </c>
      <c r="BV550" s="493" t="e">
        <f t="shared" si="504"/>
        <v>#DIV/0!</v>
      </c>
      <c r="BW550" s="493" t="e">
        <f t="shared" si="505"/>
        <v>#DIV/0!</v>
      </c>
      <c r="BX550" s="493" t="e">
        <f t="shared" si="506"/>
        <v>#DIV/0!</v>
      </c>
      <c r="BY550" s="493" t="str">
        <f t="shared" si="507"/>
        <v xml:space="preserve"> </v>
      </c>
    </row>
    <row r="551" spans="1:77" s="28" customFormat="1" ht="14.25" customHeight="1">
      <c r="A551" s="833" t="s">
        <v>397</v>
      </c>
      <c r="B551" s="834"/>
      <c r="C551" s="834"/>
      <c r="D551" s="834"/>
      <c r="E551" s="834"/>
      <c r="F551" s="834"/>
      <c r="G551" s="834"/>
      <c r="H551" s="834"/>
      <c r="I551" s="834"/>
      <c r="J551" s="834"/>
      <c r="K551" s="834"/>
      <c r="L551" s="834"/>
      <c r="M551" s="834"/>
      <c r="N551" s="834"/>
      <c r="O551" s="834"/>
      <c r="P551" s="834"/>
      <c r="Q551" s="834"/>
      <c r="R551" s="834"/>
      <c r="S551" s="834"/>
      <c r="T551" s="834"/>
      <c r="U551" s="834"/>
      <c r="V551" s="834"/>
      <c r="W551" s="834"/>
      <c r="X551" s="834"/>
      <c r="Y551" s="834"/>
      <c r="Z551" s="834"/>
      <c r="AA551" s="834"/>
      <c r="AB551" s="834"/>
      <c r="AC551" s="834"/>
      <c r="AD551" s="834"/>
      <c r="AE551" s="834"/>
      <c r="AF551" s="834"/>
      <c r="AG551" s="834"/>
      <c r="AH551" s="834"/>
      <c r="AI551" s="834"/>
      <c r="AJ551" s="834"/>
      <c r="AK551" s="834"/>
      <c r="AL551" s="835"/>
      <c r="AM551" s="280"/>
      <c r="AN551" s="280"/>
      <c r="AP551" s="486" t="e">
        <f t="shared" si="480"/>
        <v>#DIV/0!</v>
      </c>
      <c r="AQ551" s="486" t="e">
        <f t="shared" si="486"/>
        <v>#DIV/0!</v>
      </c>
      <c r="AR551" s="497" t="e">
        <f t="shared" si="487"/>
        <v>#DIV/0!</v>
      </c>
      <c r="AS551" s="497" t="e">
        <f t="shared" si="488"/>
        <v>#DIV/0!</v>
      </c>
      <c r="AT551" s="497" t="e">
        <f t="shared" si="489"/>
        <v>#DIV/0!</v>
      </c>
      <c r="AU551" s="497" t="e">
        <f t="shared" si="490"/>
        <v>#DIV/0!</v>
      </c>
      <c r="AV551" s="497" t="e">
        <f t="shared" si="491"/>
        <v>#DIV/0!</v>
      </c>
      <c r="AW551" s="497" t="e">
        <f t="shared" si="492"/>
        <v>#DIV/0!</v>
      </c>
      <c r="AX551" s="497" t="e">
        <f t="shared" si="493"/>
        <v>#DIV/0!</v>
      </c>
      <c r="AY551" s="486" t="e">
        <f t="shared" si="494"/>
        <v>#DIV/0!</v>
      </c>
      <c r="AZ551" s="497" t="e">
        <f t="shared" si="495"/>
        <v>#DIV/0!</v>
      </c>
      <c r="BA551" s="486" t="e">
        <f t="shared" si="481"/>
        <v>#DIV/0!</v>
      </c>
      <c r="BB551" s="494">
        <v>5155.41</v>
      </c>
      <c r="BC551" s="494">
        <v>2070.12</v>
      </c>
      <c r="BD551" s="494">
        <v>848.92</v>
      </c>
      <c r="BE551" s="494">
        <v>819.73</v>
      </c>
      <c r="BF551" s="494">
        <v>611.5</v>
      </c>
      <c r="BG551" s="494">
        <v>1080.04</v>
      </c>
      <c r="BH551" s="494">
        <v>2671800.0099999998</v>
      </c>
      <c r="BI551" s="494">
        <f t="shared" si="518"/>
        <v>4422.8500000000004</v>
      </c>
      <c r="BJ551" s="494">
        <v>14289.54</v>
      </c>
      <c r="BK551" s="494">
        <v>3389.61</v>
      </c>
      <c r="BL551" s="494">
        <v>5995.76</v>
      </c>
      <c r="BM551" s="494">
        <v>548.62</v>
      </c>
      <c r="BN551" s="493" t="e">
        <f t="shared" si="496"/>
        <v>#DIV/0!</v>
      </c>
      <c r="BO551" s="493" t="e">
        <f t="shared" si="497"/>
        <v>#DIV/0!</v>
      </c>
      <c r="BP551" s="493" t="e">
        <f t="shared" si="498"/>
        <v>#DIV/0!</v>
      </c>
      <c r="BQ551" s="493" t="e">
        <f t="shared" si="499"/>
        <v>#DIV/0!</v>
      </c>
      <c r="BR551" s="493" t="e">
        <f t="shared" si="500"/>
        <v>#DIV/0!</v>
      </c>
      <c r="BS551" s="493" t="e">
        <f t="shared" si="501"/>
        <v>#DIV/0!</v>
      </c>
      <c r="BT551" s="493" t="e">
        <f t="shared" si="502"/>
        <v>#DIV/0!</v>
      </c>
      <c r="BU551" s="493" t="e">
        <f t="shared" si="503"/>
        <v>#DIV/0!</v>
      </c>
      <c r="BV551" s="493" t="e">
        <f t="shared" si="504"/>
        <v>#DIV/0!</v>
      </c>
      <c r="BW551" s="493" t="e">
        <f t="shared" si="505"/>
        <v>#DIV/0!</v>
      </c>
      <c r="BX551" s="493" t="e">
        <f t="shared" si="506"/>
        <v>#DIV/0!</v>
      </c>
      <c r="BY551" s="493" t="e">
        <f t="shared" si="507"/>
        <v>#DIV/0!</v>
      </c>
    </row>
    <row r="552" spans="1:77" s="28" customFormat="1" ht="9" customHeight="1">
      <c r="A552" s="166">
        <v>176</v>
      </c>
      <c r="B552" s="276" t="s">
        <v>848</v>
      </c>
      <c r="C552" s="249">
        <v>887.8</v>
      </c>
      <c r="D552" s="376"/>
      <c r="E552" s="407" t="s">
        <v>1005</v>
      </c>
      <c r="F552" s="249"/>
      <c r="G552" s="249"/>
      <c r="H552" s="410">
        <v>1400280</v>
      </c>
      <c r="I552" s="407">
        <f t="shared" ref="I552:I553" si="524">J552+L552+N552+P552+R552+T552</f>
        <v>0</v>
      </c>
      <c r="J552" s="217">
        <v>0</v>
      </c>
      <c r="K552" s="469">
        <v>0</v>
      </c>
      <c r="L552" s="217">
        <v>0</v>
      </c>
      <c r="M552" s="469">
        <v>0</v>
      </c>
      <c r="N552" s="217">
        <v>0</v>
      </c>
      <c r="O552" s="249">
        <v>0</v>
      </c>
      <c r="P552" s="407">
        <v>0</v>
      </c>
      <c r="Q552" s="249">
        <v>0</v>
      </c>
      <c r="R552" s="407">
        <v>0</v>
      </c>
      <c r="S552" s="249">
        <v>0</v>
      </c>
      <c r="T552" s="407">
        <v>0</v>
      </c>
      <c r="U552" s="130">
        <v>0</v>
      </c>
      <c r="V552" s="407">
        <v>0</v>
      </c>
      <c r="W552" s="20">
        <v>420</v>
      </c>
      <c r="X552" s="407">
        <f t="shared" ref="X552:X553" si="525">ROUND(H552/100*95.5,2)</f>
        <v>1337267.3999999999</v>
      </c>
      <c r="Y552" s="410">
        <v>0</v>
      </c>
      <c r="Z552" s="410">
        <v>0</v>
      </c>
      <c r="AA552" s="410">
        <v>0</v>
      </c>
      <c r="AB552" s="410">
        <v>0</v>
      </c>
      <c r="AC552" s="410">
        <v>0</v>
      </c>
      <c r="AD552" s="410">
        <v>0</v>
      </c>
      <c r="AE552" s="410">
        <v>0</v>
      </c>
      <c r="AF552" s="410">
        <v>0</v>
      </c>
      <c r="AG552" s="410">
        <v>0</v>
      </c>
      <c r="AH552" s="410">
        <v>0</v>
      </c>
      <c r="AI552" s="410">
        <v>0</v>
      </c>
      <c r="AJ552" s="410">
        <f t="shared" ref="AJ552:AJ553" si="526">ROUND(H552/100*3,2)</f>
        <v>42008.4</v>
      </c>
      <c r="AK552" s="410">
        <f t="shared" ref="AK552:AK553" si="527">ROUND(H552/100*1.5,2)</f>
        <v>21004.2</v>
      </c>
      <c r="AL552" s="410">
        <v>0</v>
      </c>
      <c r="AM552" s="446"/>
      <c r="AN552" s="446"/>
      <c r="AP552" s="486" t="e">
        <f t="shared" si="480"/>
        <v>#DIV/0!</v>
      </c>
      <c r="AQ552" s="486" t="e">
        <f t="shared" si="486"/>
        <v>#DIV/0!</v>
      </c>
      <c r="AR552" s="486" t="e">
        <f t="shared" si="487"/>
        <v>#DIV/0!</v>
      </c>
      <c r="AS552" s="486" t="e">
        <f t="shared" si="488"/>
        <v>#DIV/0!</v>
      </c>
      <c r="AT552" s="486" t="e">
        <f t="shared" si="489"/>
        <v>#DIV/0!</v>
      </c>
      <c r="AU552" s="486" t="e">
        <f t="shared" si="490"/>
        <v>#DIV/0!</v>
      </c>
      <c r="AV552" s="486" t="e">
        <f t="shared" si="491"/>
        <v>#DIV/0!</v>
      </c>
      <c r="AW552" s="486">
        <f t="shared" si="492"/>
        <v>3183.97</v>
      </c>
      <c r="AX552" s="486" t="e">
        <f t="shared" si="493"/>
        <v>#DIV/0!</v>
      </c>
      <c r="AY552" s="486" t="e">
        <f t="shared" si="494"/>
        <v>#DIV/0!</v>
      </c>
      <c r="AZ552" s="486" t="e">
        <f t="shared" si="495"/>
        <v>#DIV/0!</v>
      </c>
      <c r="BA552" s="486">
        <f t="shared" si="481"/>
        <v>0</v>
      </c>
      <c r="BB552" s="494">
        <v>5155.41</v>
      </c>
      <c r="BC552" s="494">
        <v>2070.12</v>
      </c>
      <c r="BD552" s="494">
        <v>848.92</v>
      </c>
      <c r="BE552" s="494">
        <v>819.73</v>
      </c>
      <c r="BF552" s="494">
        <v>611.5</v>
      </c>
      <c r="BG552" s="494">
        <v>1080.04</v>
      </c>
      <c r="BH552" s="494">
        <v>2671800.0099999998</v>
      </c>
      <c r="BI552" s="494">
        <f t="shared" si="518"/>
        <v>4607.6000000000004</v>
      </c>
      <c r="BJ552" s="494">
        <v>14289.54</v>
      </c>
      <c r="BK552" s="494">
        <v>3389.61</v>
      </c>
      <c r="BL552" s="494">
        <v>5995.76</v>
      </c>
      <c r="BM552" s="494">
        <v>548.62</v>
      </c>
      <c r="BN552" s="495" t="e">
        <f t="shared" si="496"/>
        <v>#DIV/0!</v>
      </c>
      <c r="BO552" s="495" t="e">
        <f t="shared" si="497"/>
        <v>#DIV/0!</v>
      </c>
      <c r="BP552" s="495" t="e">
        <f t="shared" si="498"/>
        <v>#DIV/0!</v>
      </c>
      <c r="BQ552" s="495" t="e">
        <f t="shared" si="499"/>
        <v>#DIV/0!</v>
      </c>
      <c r="BR552" s="495" t="e">
        <f t="shared" si="500"/>
        <v>#DIV/0!</v>
      </c>
      <c r="BS552" s="495" t="e">
        <f t="shared" si="501"/>
        <v>#DIV/0!</v>
      </c>
      <c r="BT552" s="495" t="e">
        <f t="shared" si="502"/>
        <v>#DIV/0!</v>
      </c>
      <c r="BU552" s="495" t="str">
        <f t="shared" si="503"/>
        <v xml:space="preserve"> </v>
      </c>
      <c r="BV552" s="495" t="e">
        <f t="shared" si="504"/>
        <v>#DIV/0!</v>
      </c>
      <c r="BW552" s="495" t="e">
        <f t="shared" si="505"/>
        <v>#DIV/0!</v>
      </c>
      <c r="BX552" s="495" t="e">
        <f t="shared" si="506"/>
        <v>#DIV/0!</v>
      </c>
      <c r="BY552" s="495" t="str">
        <f t="shared" si="507"/>
        <v xml:space="preserve"> </v>
      </c>
    </row>
    <row r="553" spans="1:77" s="28" customFormat="1" ht="9" customHeight="1">
      <c r="A553" s="166">
        <v>177</v>
      </c>
      <c r="B553" s="276" t="s">
        <v>849</v>
      </c>
      <c r="C553" s="249">
        <v>581.79999999999995</v>
      </c>
      <c r="D553" s="376"/>
      <c r="E553" s="407" t="s">
        <v>1005</v>
      </c>
      <c r="F553" s="249"/>
      <c r="G553" s="249"/>
      <c r="H553" s="410">
        <v>1400280</v>
      </c>
      <c r="I553" s="407">
        <f t="shared" si="524"/>
        <v>0</v>
      </c>
      <c r="J553" s="217">
        <v>0</v>
      </c>
      <c r="K553" s="469">
        <v>0</v>
      </c>
      <c r="L553" s="217">
        <v>0</v>
      </c>
      <c r="M553" s="469">
        <v>0</v>
      </c>
      <c r="N553" s="217">
        <v>0</v>
      </c>
      <c r="O553" s="249">
        <v>0</v>
      </c>
      <c r="P553" s="407">
        <v>0</v>
      </c>
      <c r="Q553" s="249">
        <v>0</v>
      </c>
      <c r="R553" s="407">
        <v>0</v>
      </c>
      <c r="S553" s="249">
        <v>0</v>
      </c>
      <c r="T553" s="407">
        <v>0</v>
      </c>
      <c r="U553" s="130">
        <v>0</v>
      </c>
      <c r="V553" s="407">
        <v>0</v>
      </c>
      <c r="W553" s="20">
        <v>420</v>
      </c>
      <c r="X553" s="407">
        <f t="shared" si="525"/>
        <v>1337267.3999999999</v>
      </c>
      <c r="Y553" s="410">
        <v>0</v>
      </c>
      <c r="Z553" s="410">
        <v>0</v>
      </c>
      <c r="AA553" s="410">
        <v>0</v>
      </c>
      <c r="AB553" s="410">
        <v>0</v>
      </c>
      <c r="AC553" s="410">
        <v>0</v>
      </c>
      <c r="AD553" s="410">
        <v>0</v>
      </c>
      <c r="AE553" s="410">
        <v>0</v>
      </c>
      <c r="AF553" s="410">
        <v>0</v>
      </c>
      <c r="AG553" s="410">
        <v>0</v>
      </c>
      <c r="AH553" s="410">
        <v>0</v>
      </c>
      <c r="AI553" s="410">
        <v>0</v>
      </c>
      <c r="AJ553" s="410">
        <f t="shared" si="526"/>
        <v>42008.4</v>
      </c>
      <c r="AK553" s="410">
        <f t="shared" si="527"/>
        <v>21004.2</v>
      </c>
      <c r="AL553" s="410">
        <v>0</v>
      </c>
      <c r="AM553" s="446"/>
      <c r="AN553" s="446"/>
      <c r="AP553" s="486" t="e">
        <f t="shared" si="480"/>
        <v>#DIV/0!</v>
      </c>
      <c r="AQ553" s="486" t="e">
        <f t="shared" si="486"/>
        <v>#DIV/0!</v>
      </c>
      <c r="AR553" s="486" t="e">
        <f t="shared" si="487"/>
        <v>#DIV/0!</v>
      </c>
      <c r="AS553" s="486" t="e">
        <f t="shared" si="488"/>
        <v>#DIV/0!</v>
      </c>
      <c r="AT553" s="486" t="e">
        <f t="shared" si="489"/>
        <v>#DIV/0!</v>
      </c>
      <c r="AU553" s="486" t="e">
        <f t="shared" si="490"/>
        <v>#DIV/0!</v>
      </c>
      <c r="AV553" s="486" t="e">
        <f t="shared" si="491"/>
        <v>#DIV/0!</v>
      </c>
      <c r="AW553" s="486">
        <f t="shared" si="492"/>
        <v>3183.97</v>
      </c>
      <c r="AX553" s="486" t="e">
        <f t="shared" si="493"/>
        <v>#DIV/0!</v>
      </c>
      <c r="AY553" s="486" t="e">
        <f t="shared" si="494"/>
        <v>#DIV/0!</v>
      </c>
      <c r="AZ553" s="486" t="e">
        <f t="shared" si="495"/>
        <v>#DIV/0!</v>
      </c>
      <c r="BA553" s="486">
        <f t="shared" si="481"/>
        <v>0</v>
      </c>
      <c r="BB553" s="494">
        <v>5155.41</v>
      </c>
      <c r="BC553" s="494">
        <v>2070.12</v>
      </c>
      <c r="BD553" s="494">
        <v>848.92</v>
      </c>
      <c r="BE553" s="494">
        <v>819.73</v>
      </c>
      <c r="BF553" s="494">
        <v>611.5</v>
      </c>
      <c r="BG553" s="494">
        <v>1080.04</v>
      </c>
      <c r="BH553" s="494">
        <v>2671800.0099999998</v>
      </c>
      <c r="BI553" s="494">
        <f t="shared" si="518"/>
        <v>4607.6000000000004</v>
      </c>
      <c r="BJ553" s="494">
        <v>14289.54</v>
      </c>
      <c r="BK553" s="494">
        <v>3389.61</v>
      </c>
      <c r="BL553" s="494">
        <v>5995.76</v>
      </c>
      <c r="BM553" s="494">
        <v>548.62</v>
      </c>
      <c r="BN553" s="495" t="e">
        <f t="shared" si="496"/>
        <v>#DIV/0!</v>
      </c>
      <c r="BO553" s="495" t="e">
        <f t="shared" si="497"/>
        <v>#DIV/0!</v>
      </c>
      <c r="BP553" s="495" t="e">
        <f t="shared" si="498"/>
        <v>#DIV/0!</v>
      </c>
      <c r="BQ553" s="495" t="e">
        <f t="shared" si="499"/>
        <v>#DIV/0!</v>
      </c>
      <c r="BR553" s="495" t="e">
        <f t="shared" si="500"/>
        <v>#DIV/0!</v>
      </c>
      <c r="BS553" s="495" t="e">
        <f t="shared" si="501"/>
        <v>#DIV/0!</v>
      </c>
      <c r="BT553" s="495" t="e">
        <f t="shared" si="502"/>
        <v>#DIV/0!</v>
      </c>
      <c r="BU553" s="495" t="str">
        <f t="shared" si="503"/>
        <v xml:space="preserve"> </v>
      </c>
      <c r="BV553" s="495" t="e">
        <f t="shared" si="504"/>
        <v>#DIV/0!</v>
      </c>
      <c r="BW553" s="495" t="e">
        <f t="shared" si="505"/>
        <v>#DIV/0!</v>
      </c>
      <c r="BX553" s="495" t="e">
        <f t="shared" si="506"/>
        <v>#DIV/0!</v>
      </c>
      <c r="BY553" s="495" t="str">
        <f t="shared" si="507"/>
        <v xml:space="preserve"> </v>
      </c>
    </row>
    <row r="554" spans="1:77" s="28" customFormat="1" ht="24.75" customHeight="1">
      <c r="A554" s="956" t="s">
        <v>398</v>
      </c>
      <c r="B554" s="956"/>
      <c r="C554" s="167">
        <f>SUM(C552:C553)</f>
        <v>1469.6</v>
      </c>
      <c r="D554" s="167"/>
      <c r="E554" s="167" t="s">
        <v>391</v>
      </c>
      <c r="F554" s="399"/>
      <c r="G554" s="399"/>
      <c r="H554" s="167">
        <f>SUM(H552:H553)</f>
        <v>2800560</v>
      </c>
      <c r="I554" s="167">
        <f t="shared" ref="I554:AL554" si="528">SUM(I552:I553)</f>
        <v>0</v>
      </c>
      <c r="J554" s="167">
        <f t="shared" si="528"/>
        <v>0</v>
      </c>
      <c r="K554" s="167">
        <f t="shared" si="528"/>
        <v>0</v>
      </c>
      <c r="L554" s="167">
        <f t="shared" si="528"/>
        <v>0</v>
      </c>
      <c r="M554" s="167">
        <f t="shared" si="528"/>
        <v>0</v>
      </c>
      <c r="N554" s="167">
        <f t="shared" si="528"/>
        <v>0</v>
      </c>
      <c r="O554" s="167">
        <f t="shared" si="528"/>
        <v>0</v>
      </c>
      <c r="P554" s="167">
        <f t="shared" si="528"/>
        <v>0</v>
      </c>
      <c r="Q554" s="167">
        <f t="shared" si="528"/>
        <v>0</v>
      </c>
      <c r="R554" s="167">
        <f t="shared" si="528"/>
        <v>0</v>
      </c>
      <c r="S554" s="167">
        <f t="shared" si="528"/>
        <v>0</v>
      </c>
      <c r="T554" s="167">
        <f t="shared" si="528"/>
        <v>0</v>
      </c>
      <c r="U554" s="190">
        <f t="shared" si="528"/>
        <v>0</v>
      </c>
      <c r="V554" s="167">
        <f t="shared" si="528"/>
        <v>0</v>
      </c>
      <c r="W554" s="167">
        <f t="shared" si="528"/>
        <v>840</v>
      </c>
      <c r="X554" s="167">
        <f t="shared" si="528"/>
        <v>2674534.7999999998</v>
      </c>
      <c r="Y554" s="167">
        <f t="shared" si="528"/>
        <v>0</v>
      </c>
      <c r="Z554" s="167">
        <f t="shared" si="528"/>
        <v>0</v>
      </c>
      <c r="AA554" s="167">
        <f t="shared" si="528"/>
        <v>0</v>
      </c>
      <c r="AB554" s="167">
        <f t="shared" si="528"/>
        <v>0</v>
      </c>
      <c r="AC554" s="167">
        <f t="shared" si="528"/>
        <v>0</v>
      </c>
      <c r="AD554" s="167">
        <f t="shared" si="528"/>
        <v>0</v>
      </c>
      <c r="AE554" s="167">
        <f t="shared" si="528"/>
        <v>0</v>
      </c>
      <c r="AF554" s="167">
        <f t="shared" si="528"/>
        <v>0</v>
      </c>
      <c r="AG554" s="167">
        <f t="shared" si="528"/>
        <v>0</v>
      </c>
      <c r="AH554" s="167">
        <f t="shared" si="528"/>
        <v>0</v>
      </c>
      <c r="AI554" s="167">
        <f t="shared" si="528"/>
        <v>0</v>
      </c>
      <c r="AJ554" s="167">
        <f t="shared" si="528"/>
        <v>84016.8</v>
      </c>
      <c r="AK554" s="167">
        <f t="shared" si="528"/>
        <v>42008.4</v>
      </c>
      <c r="AL554" s="167">
        <f t="shared" si="528"/>
        <v>0</v>
      </c>
      <c r="AM554" s="280"/>
      <c r="AN554" s="280"/>
      <c r="AP554" s="486" t="e">
        <f t="shared" si="480"/>
        <v>#DIV/0!</v>
      </c>
      <c r="AQ554" s="486" t="e">
        <f t="shared" si="486"/>
        <v>#DIV/0!</v>
      </c>
      <c r="AR554" s="497" t="e">
        <f t="shared" si="487"/>
        <v>#DIV/0!</v>
      </c>
      <c r="AS554" s="497" t="e">
        <f t="shared" si="488"/>
        <v>#DIV/0!</v>
      </c>
      <c r="AT554" s="497" t="e">
        <f t="shared" si="489"/>
        <v>#DIV/0!</v>
      </c>
      <c r="AU554" s="497" t="e">
        <f t="shared" si="490"/>
        <v>#DIV/0!</v>
      </c>
      <c r="AV554" s="497" t="e">
        <f t="shared" si="491"/>
        <v>#DIV/0!</v>
      </c>
      <c r="AW554" s="497">
        <f t="shared" si="492"/>
        <v>3183.97</v>
      </c>
      <c r="AX554" s="497" t="e">
        <f t="shared" si="493"/>
        <v>#DIV/0!</v>
      </c>
      <c r="AY554" s="486" t="e">
        <f t="shared" si="494"/>
        <v>#DIV/0!</v>
      </c>
      <c r="AZ554" s="497" t="e">
        <f t="shared" si="495"/>
        <v>#DIV/0!</v>
      </c>
      <c r="BA554" s="486">
        <f t="shared" si="481"/>
        <v>0</v>
      </c>
      <c r="BB554" s="494">
        <v>5155.41</v>
      </c>
      <c r="BC554" s="494">
        <v>2070.12</v>
      </c>
      <c r="BD554" s="494">
        <v>848.92</v>
      </c>
      <c r="BE554" s="494">
        <v>819.73</v>
      </c>
      <c r="BF554" s="494">
        <v>611.5</v>
      </c>
      <c r="BG554" s="494">
        <v>1080.04</v>
      </c>
      <c r="BH554" s="494">
        <v>2671800.0099999998</v>
      </c>
      <c r="BI554" s="494">
        <f t="shared" si="518"/>
        <v>4422.8500000000004</v>
      </c>
      <c r="BJ554" s="494">
        <v>14289.54</v>
      </c>
      <c r="BK554" s="494">
        <v>3389.61</v>
      </c>
      <c r="BL554" s="494">
        <v>5995.76</v>
      </c>
      <c r="BM554" s="494">
        <v>548.62</v>
      </c>
      <c r="BN554" s="493" t="e">
        <f t="shared" si="496"/>
        <v>#DIV/0!</v>
      </c>
      <c r="BO554" s="493" t="e">
        <f t="shared" si="497"/>
        <v>#DIV/0!</v>
      </c>
      <c r="BP554" s="493" t="e">
        <f t="shared" si="498"/>
        <v>#DIV/0!</v>
      </c>
      <c r="BQ554" s="493" t="e">
        <f t="shared" si="499"/>
        <v>#DIV/0!</v>
      </c>
      <c r="BR554" s="493" t="e">
        <f t="shared" si="500"/>
        <v>#DIV/0!</v>
      </c>
      <c r="BS554" s="493" t="e">
        <f t="shared" si="501"/>
        <v>#DIV/0!</v>
      </c>
      <c r="BT554" s="493" t="e">
        <f t="shared" si="502"/>
        <v>#DIV/0!</v>
      </c>
      <c r="BU554" s="493" t="str">
        <f t="shared" si="503"/>
        <v xml:space="preserve"> </v>
      </c>
      <c r="BV554" s="493" t="e">
        <f t="shared" si="504"/>
        <v>#DIV/0!</v>
      </c>
      <c r="BW554" s="493" t="e">
        <f t="shared" si="505"/>
        <v>#DIV/0!</v>
      </c>
      <c r="BX554" s="493" t="e">
        <f t="shared" si="506"/>
        <v>#DIV/0!</v>
      </c>
      <c r="BY554" s="493" t="str">
        <f t="shared" si="507"/>
        <v xml:space="preserve"> </v>
      </c>
    </row>
    <row r="555" spans="1:77" s="28" customFormat="1" ht="13.5" customHeight="1">
      <c r="A555" s="837" t="s">
        <v>442</v>
      </c>
      <c r="B555" s="838"/>
      <c r="C555" s="838"/>
      <c r="D555" s="838"/>
      <c r="E555" s="838"/>
      <c r="F555" s="838"/>
      <c r="G555" s="838"/>
      <c r="H555" s="838"/>
      <c r="I555" s="838"/>
      <c r="J555" s="838"/>
      <c r="K555" s="838"/>
      <c r="L555" s="838"/>
      <c r="M555" s="838"/>
      <c r="N555" s="838"/>
      <c r="O555" s="838"/>
      <c r="P555" s="838"/>
      <c r="Q555" s="838"/>
      <c r="R555" s="838"/>
      <c r="S555" s="838"/>
      <c r="T555" s="838"/>
      <c r="U555" s="838"/>
      <c r="V555" s="838"/>
      <c r="W555" s="838"/>
      <c r="X555" s="838"/>
      <c r="Y555" s="838"/>
      <c r="Z555" s="838"/>
      <c r="AA555" s="838"/>
      <c r="AB555" s="838"/>
      <c r="AC555" s="838"/>
      <c r="AD555" s="838"/>
      <c r="AE555" s="838"/>
      <c r="AF555" s="838"/>
      <c r="AG555" s="838"/>
      <c r="AH555" s="838"/>
      <c r="AI555" s="838"/>
      <c r="AJ555" s="838"/>
      <c r="AK555" s="839"/>
      <c r="AL555" s="280"/>
      <c r="AM555" s="280"/>
      <c r="AN555" s="280"/>
      <c r="AP555" s="486" t="e">
        <f t="shared" si="480"/>
        <v>#DIV/0!</v>
      </c>
      <c r="AQ555" s="486" t="e">
        <f t="shared" si="486"/>
        <v>#DIV/0!</v>
      </c>
      <c r="AR555" s="497" t="e">
        <f t="shared" si="487"/>
        <v>#DIV/0!</v>
      </c>
      <c r="AS555" s="497" t="e">
        <f t="shared" si="488"/>
        <v>#DIV/0!</v>
      </c>
      <c r="AT555" s="497" t="e">
        <f t="shared" si="489"/>
        <v>#DIV/0!</v>
      </c>
      <c r="AU555" s="497" t="e">
        <f t="shared" si="490"/>
        <v>#DIV/0!</v>
      </c>
      <c r="AV555" s="497" t="e">
        <f t="shared" si="491"/>
        <v>#DIV/0!</v>
      </c>
      <c r="AW555" s="497" t="e">
        <f t="shared" si="492"/>
        <v>#DIV/0!</v>
      </c>
      <c r="AX555" s="497" t="e">
        <f t="shared" si="493"/>
        <v>#DIV/0!</v>
      </c>
      <c r="AY555" s="486" t="e">
        <f t="shared" si="494"/>
        <v>#DIV/0!</v>
      </c>
      <c r="AZ555" s="497" t="e">
        <f t="shared" si="495"/>
        <v>#DIV/0!</v>
      </c>
      <c r="BA555" s="486" t="e">
        <f t="shared" si="481"/>
        <v>#DIV/0!</v>
      </c>
      <c r="BB555" s="494">
        <v>5155.41</v>
      </c>
      <c r="BC555" s="494">
        <v>2070.12</v>
      </c>
      <c r="BD555" s="494">
        <v>848.92</v>
      </c>
      <c r="BE555" s="494">
        <v>819.73</v>
      </c>
      <c r="BF555" s="494">
        <v>611.5</v>
      </c>
      <c r="BG555" s="494">
        <v>1080.04</v>
      </c>
      <c r="BH555" s="494">
        <v>2671800.0099999998</v>
      </c>
      <c r="BI555" s="494">
        <f t="shared" si="518"/>
        <v>4422.8500000000004</v>
      </c>
      <c r="BJ555" s="494">
        <v>14289.54</v>
      </c>
      <c r="BK555" s="494">
        <v>3389.61</v>
      </c>
      <c r="BL555" s="494">
        <v>5995.76</v>
      </c>
      <c r="BM555" s="494">
        <v>548.62</v>
      </c>
      <c r="BN555" s="493" t="e">
        <f t="shared" si="496"/>
        <v>#DIV/0!</v>
      </c>
      <c r="BO555" s="493" t="e">
        <f t="shared" si="497"/>
        <v>#DIV/0!</v>
      </c>
      <c r="BP555" s="493" t="e">
        <f t="shared" si="498"/>
        <v>#DIV/0!</v>
      </c>
      <c r="BQ555" s="493" t="e">
        <f t="shared" si="499"/>
        <v>#DIV/0!</v>
      </c>
      <c r="BR555" s="493" t="e">
        <f t="shared" si="500"/>
        <v>#DIV/0!</v>
      </c>
      <c r="BS555" s="493" t="e">
        <f t="shared" si="501"/>
        <v>#DIV/0!</v>
      </c>
      <c r="BT555" s="493" t="e">
        <f t="shared" si="502"/>
        <v>#DIV/0!</v>
      </c>
      <c r="BU555" s="493" t="e">
        <f t="shared" si="503"/>
        <v>#DIV/0!</v>
      </c>
      <c r="BV555" s="493" t="e">
        <f t="shared" si="504"/>
        <v>#DIV/0!</v>
      </c>
      <c r="BW555" s="493" t="e">
        <f t="shared" si="505"/>
        <v>#DIV/0!</v>
      </c>
      <c r="BX555" s="493" t="e">
        <f t="shared" si="506"/>
        <v>#DIV/0!</v>
      </c>
      <c r="BY555" s="493" t="e">
        <f t="shared" si="507"/>
        <v>#DIV/0!</v>
      </c>
    </row>
    <row r="556" spans="1:77" s="28" customFormat="1" ht="9" customHeight="1">
      <c r="A556" s="278">
        <v>178</v>
      </c>
      <c r="B556" s="276" t="s">
        <v>850</v>
      </c>
      <c r="C556" s="249">
        <v>1538.2</v>
      </c>
      <c r="D556" s="376"/>
      <c r="E556" s="407"/>
      <c r="F556" s="249"/>
      <c r="G556" s="249"/>
      <c r="H556" s="410">
        <v>1157975.58</v>
      </c>
      <c r="I556" s="407">
        <f t="shared" ref="I556:I557" si="529">J556+L556+N556+P556+R556+T556</f>
        <v>631579.69999999995</v>
      </c>
      <c r="J556" s="217">
        <v>0</v>
      </c>
      <c r="K556" s="469">
        <v>0</v>
      </c>
      <c r="L556" s="217">
        <v>0</v>
      </c>
      <c r="M556" s="469">
        <v>0</v>
      </c>
      <c r="N556" s="217">
        <v>0</v>
      </c>
      <c r="O556" s="249">
        <v>115</v>
      </c>
      <c r="P556" s="407">
        <f>ROUND(0.955*(1538*210),2)</f>
        <v>308445.90000000002</v>
      </c>
      <c r="Q556" s="249">
        <v>0</v>
      </c>
      <c r="R556" s="407">
        <v>0</v>
      </c>
      <c r="S556" s="249">
        <v>0</v>
      </c>
      <c r="T556" s="407">
        <f>ROUND(0.955*(1538*220),2)</f>
        <v>323133.8</v>
      </c>
      <c r="U556" s="130">
        <v>0</v>
      </c>
      <c r="V556" s="407">
        <v>0</v>
      </c>
      <c r="W556" s="410">
        <v>0</v>
      </c>
      <c r="X556" s="407">
        <v>0</v>
      </c>
      <c r="Y556" s="410">
        <v>0</v>
      </c>
      <c r="Z556" s="410">
        <v>0</v>
      </c>
      <c r="AA556" s="410">
        <v>0</v>
      </c>
      <c r="AB556" s="410">
        <v>0</v>
      </c>
      <c r="AC556" s="410">
        <v>0</v>
      </c>
      <c r="AD556" s="410">
        <v>0</v>
      </c>
      <c r="AE556" s="410">
        <v>0</v>
      </c>
      <c r="AF556" s="410">
        <v>0</v>
      </c>
      <c r="AG556" s="410">
        <v>0</v>
      </c>
      <c r="AH556" s="410">
        <v>0</v>
      </c>
      <c r="AI556" s="407">
        <f>ROUND(0.955*1538*322.91,2)</f>
        <v>474286.98</v>
      </c>
      <c r="AJ556" s="410">
        <f>ROUND(0.03*(220+210+322.91)*1538,2)</f>
        <v>34739.269999999997</v>
      </c>
      <c r="AK556" s="410">
        <f>ROUND(0.015*(220+210+322.91)*1538,2)</f>
        <v>17369.63</v>
      </c>
      <c r="AL556" s="410">
        <v>0</v>
      </c>
      <c r="AM556" s="446"/>
      <c r="AN556" s="446"/>
      <c r="AP556" s="486" t="e">
        <f t="shared" si="480"/>
        <v>#DIV/0!</v>
      </c>
      <c r="AQ556" s="486" t="e">
        <f t="shared" si="486"/>
        <v>#DIV/0!</v>
      </c>
      <c r="AR556" s="486" t="e">
        <f t="shared" si="487"/>
        <v>#DIV/0!</v>
      </c>
      <c r="AS556" s="486">
        <f t="shared" si="488"/>
        <v>2682.1382608695653</v>
      </c>
      <c r="AT556" s="486" t="e">
        <f t="shared" si="489"/>
        <v>#DIV/0!</v>
      </c>
      <c r="AU556" s="486" t="e">
        <f t="shared" si="490"/>
        <v>#DIV/0!</v>
      </c>
      <c r="AV556" s="486" t="e">
        <f t="shared" si="491"/>
        <v>#DIV/0!</v>
      </c>
      <c r="AW556" s="486" t="e">
        <f t="shared" si="492"/>
        <v>#DIV/0!</v>
      </c>
      <c r="AX556" s="486" t="e">
        <f t="shared" si="493"/>
        <v>#DIV/0!</v>
      </c>
      <c r="AY556" s="486" t="e">
        <f t="shared" si="494"/>
        <v>#DIV/0!</v>
      </c>
      <c r="AZ556" s="486" t="e">
        <f t="shared" si="495"/>
        <v>#DIV/0!</v>
      </c>
      <c r="BA556" s="486">
        <f t="shared" si="481"/>
        <v>308.33895462228577</v>
      </c>
      <c r="BB556" s="494">
        <v>5155.41</v>
      </c>
      <c r="BC556" s="494">
        <v>2070.12</v>
      </c>
      <c r="BD556" s="494">
        <v>848.92</v>
      </c>
      <c r="BE556" s="494">
        <v>819.73</v>
      </c>
      <c r="BF556" s="494">
        <v>611.5</v>
      </c>
      <c r="BG556" s="494">
        <v>1080.04</v>
      </c>
      <c r="BH556" s="494">
        <v>2671800.0099999998</v>
      </c>
      <c r="BI556" s="494">
        <f t="shared" si="518"/>
        <v>4422.8500000000004</v>
      </c>
      <c r="BJ556" s="494">
        <v>14289.54</v>
      </c>
      <c r="BK556" s="494">
        <v>3389.61</v>
      </c>
      <c r="BL556" s="494">
        <v>5995.76</v>
      </c>
      <c r="BM556" s="494">
        <v>548.62</v>
      </c>
      <c r="BN556" s="495" t="e">
        <f t="shared" si="496"/>
        <v>#DIV/0!</v>
      </c>
      <c r="BO556" s="495" t="e">
        <f t="shared" si="497"/>
        <v>#DIV/0!</v>
      </c>
      <c r="BP556" s="495" t="e">
        <f t="shared" si="498"/>
        <v>#DIV/0!</v>
      </c>
      <c r="BQ556" s="495" t="str">
        <f t="shared" si="499"/>
        <v>+</v>
      </c>
      <c r="BR556" s="495" t="e">
        <f t="shared" si="500"/>
        <v>#DIV/0!</v>
      </c>
      <c r="BS556" s="495" t="e">
        <f t="shared" si="501"/>
        <v>#DIV/0!</v>
      </c>
      <c r="BT556" s="495" t="e">
        <f t="shared" si="502"/>
        <v>#DIV/0!</v>
      </c>
      <c r="BU556" s="495" t="e">
        <f t="shared" si="503"/>
        <v>#DIV/0!</v>
      </c>
      <c r="BV556" s="495" t="e">
        <f t="shared" si="504"/>
        <v>#DIV/0!</v>
      </c>
      <c r="BW556" s="495" t="e">
        <f t="shared" si="505"/>
        <v>#DIV/0!</v>
      </c>
      <c r="BX556" s="495" t="e">
        <f t="shared" si="506"/>
        <v>#DIV/0!</v>
      </c>
      <c r="BY556" s="495" t="str">
        <f t="shared" si="507"/>
        <v xml:space="preserve"> </v>
      </c>
    </row>
    <row r="557" spans="1:77" s="28" customFormat="1" ht="9" customHeight="1">
      <c r="A557" s="278">
        <v>179</v>
      </c>
      <c r="B557" s="276" t="s">
        <v>851</v>
      </c>
      <c r="C557" s="249">
        <v>1223.42</v>
      </c>
      <c r="D557" s="376"/>
      <c r="E557" s="407"/>
      <c r="F557" s="249"/>
      <c r="G557" s="249"/>
      <c r="H557" s="410">
        <v>269152.40000000002</v>
      </c>
      <c r="I557" s="407">
        <f t="shared" si="529"/>
        <v>257040.54</v>
      </c>
      <c r="J557" s="217">
        <v>0</v>
      </c>
      <c r="K557" s="469">
        <v>0</v>
      </c>
      <c r="L557" s="217">
        <v>0</v>
      </c>
      <c r="M557" s="469">
        <v>0</v>
      </c>
      <c r="N557" s="217">
        <v>0</v>
      </c>
      <c r="O557" s="249">
        <v>0</v>
      </c>
      <c r="P557" s="407">
        <v>0</v>
      </c>
      <c r="Q557" s="249">
        <v>0</v>
      </c>
      <c r="R557" s="407">
        <v>0</v>
      </c>
      <c r="S557" s="249">
        <v>0</v>
      </c>
      <c r="T557" s="407">
        <f>ROUND(0.955*(C557*220),2)</f>
        <v>257040.54</v>
      </c>
      <c r="U557" s="130">
        <v>0</v>
      </c>
      <c r="V557" s="407">
        <v>0</v>
      </c>
      <c r="W557" s="410">
        <v>0</v>
      </c>
      <c r="X557" s="407">
        <v>0</v>
      </c>
      <c r="Y557" s="410">
        <v>0</v>
      </c>
      <c r="Z557" s="410">
        <v>0</v>
      </c>
      <c r="AA557" s="410">
        <v>0</v>
      </c>
      <c r="AB557" s="410">
        <v>0</v>
      </c>
      <c r="AC557" s="410">
        <v>0</v>
      </c>
      <c r="AD557" s="410">
        <v>0</v>
      </c>
      <c r="AE557" s="410">
        <v>0</v>
      </c>
      <c r="AF557" s="410">
        <v>0</v>
      </c>
      <c r="AG557" s="410">
        <v>0</v>
      </c>
      <c r="AH557" s="410">
        <v>0</v>
      </c>
      <c r="AI557" s="410">
        <v>0</v>
      </c>
      <c r="AJ557" s="410">
        <f>ROUND(0.03*220*C557,2)</f>
        <v>8074.57</v>
      </c>
      <c r="AK557" s="410">
        <f>ROUND(0.015*220*C557,2)</f>
        <v>4037.29</v>
      </c>
      <c r="AL557" s="410">
        <v>0</v>
      </c>
      <c r="AM557" s="446"/>
      <c r="AN557" s="446"/>
      <c r="AP557" s="486" t="e">
        <f t="shared" si="480"/>
        <v>#DIV/0!</v>
      </c>
      <c r="AQ557" s="486" t="e">
        <f t="shared" si="486"/>
        <v>#DIV/0!</v>
      </c>
      <c r="AR557" s="486" t="e">
        <f t="shared" si="487"/>
        <v>#DIV/0!</v>
      </c>
      <c r="AS557" s="486" t="e">
        <f t="shared" si="488"/>
        <v>#DIV/0!</v>
      </c>
      <c r="AT557" s="486" t="e">
        <f t="shared" si="489"/>
        <v>#DIV/0!</v>
      </c>
      <c r="AU557" s="486" t="e">
        <f t="shared" si="490"/>
        <v>#DIV/0!</v>
      </c>
      <c r="AV557" s="486" t="e">
        <f t="shared" si="491"/>
        <v>#DIV/0!</v>
      </c>
      <c r="AW557" s="486" t="e">
        <f t="shared" si="492"/>
        <v>#DIV/0!</v>
      </c>
      <c r="AX557" s="486" t="e">
        <f t="shared" si="493"/>
        <v>#DIV/0!</v>
      </c>
      <c r="AY557" s="486" t="e">
        <f t="shared" si="494"/>
        <v>#DIV/0!</v>
      </c>
      <c r="AZ557" s="486" t="e">
        <f t="shared" si="495"/>
        <v>#DIV/0!</v>
      </c>
      <c r="BA557" s="486">
        <f t="shared" si="481"/>
        <v>0</v>
      </c>
      <c r="BB557" s="494">
        <v>5155.41</v>
      </c>
      <c r="BC557" s="494">
        <v>2070.12</v>
      </c>
      <c r="BD557" s="494">
        <v>848.92</v>
      </c>
      <c r="BE557" s="494">
        <v>819.73</v>
      </c>
      <c r="BF557" s="494">
        <v>611.5</v>
      </c>
      <c r="BG557" s="494">
        <v>1080.04</v>
      </c>
      <c r="BH557" s="494">
        <v>2671800.0099999998</v>
      </c>
      <c r="BI557" s="494">
        <f t="shared" si="518"/>
        <v>4422.8500000000004</v>
      </c>
      <c r="BJ557" s="494">
        <v>14289.54</v>
      </c>
      <c r="BK557" s="494">
        <v>3389.61</v>
      </c>
      <c r="BL557" s="494">
        <v>5995.76</v>
      </c>
      <c r="BM557" s="494">
        <v>548.62</v>
      </c>
      <c r="BN557" s="495" t="e">
        <f t="shared" si="496"/>
        <v>#DIV/0!</v>
      </c>
      <c r="BO557" s="495" t="e">
        <f t="shared" si="497"/>
        <v>#DIV/0!</v>
      </c>
      <c r="BP557" s="495" t="e">
        <f t="shared" si="498"/>
        <v>#DIV/0!</v>
      </c>
      <c r="BQ557" s="495" t="e">
        <f t="shared" si="499"/>
        <v>#DIV/0!</v>
      </c>
      <c r="BR557" s="495" t="e">
        <f t="shared" si="500"/>
        <v>#DIV/0!</v>
      </c>
      <c r="BS557" s="495" t="e">
        <f t="shared" si="501"/>
        <v>#DIV/0!</v>
      </c>
      <c r="BT557" s="495" t="e">
        <f t="shared" si="502"/>
        <v>#DIV/0!</v>
      </c>
      <c r="BU557" s="495" t="e">
        <f t="shared" si="503"/>
        <v>#DIV/0!</v>
      </c>
      <c r="BV557" s="495" t="e">
        <f t="shared" si="504"/>
        <v>#DIV/0!</v>
      </c>
      <c r="BW557" s="495" t="e">
        <f t="shared" si="505"/>
        <v>#DIV/0!</v>
      </c>
      <c r="BX557" s="495" t="e">
        <f t="shared" si="506"/>
        <v>#DIV/0!</v>
      </c>
      <c r="BY557" s="495" t="str">
        <f t="shared" si="507"/>
        <v xml:space="preserve"> </v>
      </c>
    </row>
    <row r="558" spans="1:77" s="28" customFormat="1" ht="24.75" customHeight="1">
      <c r="A558" s="954" t="s">
        <v>443</v>
      </c>
      <c r="B558" s="954"/>
      <c r="C558" s="407">
        <f>SUM(C556:C557)</f>
        <v>2761.62</v>
      </c>
      <c r="D558" s="396"/>
      <c r="E558" s="407" t="s">
        <v>391</v>
      </c>
      <c r="F558" s="249"/>
      <c r="G558" s="249"/>
      <c r="H558" s="407">
        <f>SUM(H556:H557)</f>
        <v>1427127.98</v>
      </c>
      <c r="I558" s="407">
        <f t="shared" ref="I558:AL558" si="530">SUM(I556:I557)</f>
        <v>888620.24</v>
      </c>
      <c r="J558" s="407">
        <f t="shared" si="530"/>
        <v>0</v>
      </c>
      <c r="K558" s="407">
        <f t="shared" si="530"/>
        <v>0</v>
      </c>
      <c r="L558" s="407">
        <f t="shared" si="530"/>
        <v>0</v>
      </c>
      <c r="M558" s="407">
        <f t="shared" si="530"/>
        <v>0</v>
      </c>
      <c r="N558" s="407">
        <f t="shared" si="530"/>
        <v>0</v>
      </c>
      <c r="O558" s="407">
        <f t="shared" si="530"/>
        <v>115</v>
      </c>
      <c r="P558" s="407">
        <f t="shared" si="530"/>
        <v>308445.90000000002</v>
      </c>
      <c r="Q558" s="407">
        <f t="shared" si="530"/>
        <v>0</v>
      </c>
      <c r="R558" s="407">
        <f t="shared" si="530"/>
        <v>0</v>
      </c>
      <c r="S558" s="407">
        <f t="shared" si="530"/>
        <v>0</v>
      </c>
      <c r="T558" s="407">
        <f t="shared" si="530"/>
        <v>580174.34</v>
      </c>
      <c r="U558" s="130">
        <f t="shared" si="530"/>
        <v>0</v>
      </c>
      <c r="V558" s="407">
        <f t="shared" si="530"/>
        <v>0</v>
      </c>
      <c r="W558" s="407">
        <f t="shared" si="530"/>
        <v>0</v>
      </c>
      <c r="X558" s="407">
        <f t="shared" si="530"/>
        <v>0</v>
      </c>
      <c r="Y558" s="407">
        <f t="shared" si="530"/>
        <v>0</v>
      </c>
      <c r="Z558" s="407">
        <f t="shared" si="530"/>
        <v>0</v>
      </c>
      <c r="AA558" s="407">
        <f t="shared" si="530"/>
        <v>0</v>
      </c>
      <c r="AB558" s="407">
        <f t="shared" si="530"/>
        <v>0</v>
      </c>
      <c r="AC558" s="407">
        <f t="shared" si="530"/>
        <v>0</v>
      </c>
      <c r="AD558" s="407">
        <f t="shared" si="530"/>
        <v>0</v>
      </c>
      <c r="AE558" s="407">
        <f t="shared" si="530"/>
        <v>0</v>
      </c>
      <c r="AF558" s="407">
        <f t="shared" si="530"/>
        <v>0</v>
      </c>
      <c r="AG558" s="407">
        <f t="shared" si="530"/>
        <v>0</v>
      </c>
      <c r="AH558" s="407">
        <f t="shared" si="530"/>
        <v>0</v>
      </c>
      <c r="AI558" s="407">
        <f t="shared" si="530"/>
        <v>474286.98</v>
      </c>
      <c r="AJ558" s="407">
        <f t="shared" si="530"/>
        <v>42813.84</v>
      </c>
      <c r="AK558" s="407">
        <f t="shared" si="530"/>
        <v>21406.920000000002</v>
      </c>
      <c r="AL558" s="407">
        <f t="shared" si="530"/>
        <v>0</v>
      </c>
      <c r="AM558" s="280"/>
      <c r="AN558" s="280"/>
      <c r="AP558" s="486" t="e">
        <f t="shared" si="480"/>
        <v>#DIV/0!</v>
      </c>
      <c r="AQ558" s="486" t="e">
        <f t="shared" si="486"/>
        <v>#DIV/0!</v>
      </c>
      <c r="AR558" s="497" t="e">
        <f t="shared" si="487"/>
        <v>#DIV/0!</v>
      </c>
      <c r="AS558" s="497">
        <f t="shared" si="488"/>
        <v>2682.1382608695653</v>
      </c>
      <c r="AT558" s="497" t="e">
        <f t="shared" si="489"/>
        <v>#DIV/0!</v>
      </c>
      <c r="AU558" s="497" t="e">
        <f t="shared" si="490"/>
        <v>#DIV/0!</v>
      </c>
      <c r="AV558" s="497" t="e">
        <f t="shared" si="491"/>
        <v>#DIV/0!</v>
      </c>
      <c r="AW558" s="497" t="e">
        <f t="shared" si="492"/>
        <v>#DIV/0!</v>
      </c>
      <c r="AX558" s="497" t="e">
        <f t="shared" si="493"/>
        <v>#DIV/0!</v>
      </c>
      <c r="AY558" s="486" t="e">
        <f t="shared" si="494"/>
        <v>#DIV/0!</v>
      </c>
      <c r="AZ558" s="497" t="e">
        <f t="shared" si="495"/>
        <v>#DIV/0!</v>
      </c>
      <c r="BA558" s="486">
        <f t="shared" si="481"/>
        <v>171.74230343059509</v>
      </c>
      <c r="BB558" s="494">
        <v>5155.41</v>
      </c>
      <c r="BC558" s="494">
        <v>2070.12</v>
      </c>
      <c r="BD558" s="494">
        <v>848.92</v>
      </c>
      <c r="BE558" s="494">
        <v>819.73</v>
      </c>
      <c r="BF558" s="494">
        <v>611.5</v>
      </c>
      <c r="BG558" s="494">
        <v>1080.04</v>
      </c>
      <c r="BH558" s="494">
        <v>2671800.0099999998</v>
      </c>
      <c r="BI558" s="494">
        <f t="shared" si="518"/>
        <v>4422.8500000000004</v>
      </c>
      <c r="BJ558" s="494">
        <v>14289.54</v>
      </c>
      <c r="BK558" s="494">
        <v>3389.61</v>
      </c>
      <c r="BL558" s="494">
        <v>5995.76</v>
      </c>
      <c r="BM558" s="494">
        <v>548.62</v>
      </c>
      <c r="BN558" s="493" t="e">
        <f t="shared" si="496"/>
        <v>#DIV/0!</v>
      </c>
      <c r="BO558" s="493" t="e">
        <f t="shared" si="497"/>
        <v>#DIV/0!</v>
      </c>
      <c r="BP558" s="493" t="e">
        <f t="shared" si="498"/>
        <v>#DIV/0!</v>
      </c>
      <c r="BQ558" s="493" t="str">
        <f t="shared" si="499"/>
        <v>+</v>
      </c>
      <c r="BR558" s="493" t="e">
        <f t="shared" si="500"/>
        <v>#DIV/0!</v>
      </c>
      <c r="BS558" s="493" t="e">
        <f t="shared" si="501"/>
        <v>#DIV/0!</v>
      </c>
      <c r="BT558" s="493" t="e">
        <f t="shared" si="502"/>
        <v>#DIV/0!</v>
      </c>
      <c r="BU558" s="493" t="e">
        <f t="shared" si="503"/>
        <v>#DIV/0!</v>
      </c>
      <c r="BV558" s="493" t="e">
        <f t="shared" si="504"/>
        <v>#DIV/0!</v>
      </c>
      <c r="BW558" s="493" t="e">
        <f t="shared" si="505"/>
        <v>#DIV/0!</v>
      </c>
      <c r="BX558" s="493" t="e">
        <f t="shared" si="506"/>
        <v>#DIV/0!</v>
      </c>
      <c r="BY558" s="493" t="str">
        <f t="shared" si="507"/>
        <v xml:space="preserve"> </v>
      </c>
    </row>
    <row r="559" spans="1:77" s="28" customFormat="1" ht="14.25" customHeight="1">
      <c r="A559" s="837" t="s">
        <v>856</v>
      </c>
      <c r="B559" s="838"/>
      <c r="C559" s="838"/>
      <c r="D559" s="838"/>
      <c r="E559" s="838"/>
      <c r="F559" s="838"/>
      <c r="G559" s="838"/>
      <c r="H559" s="838"/>
      <c r="I559" s="838"/>
      <c r="J559" s="838"/>
      <c r="K559" s="838"/>
      <c r="L559" s="838"/>
      <c r="M559" s="838"/>
      <c r="N559" s="838"/>
      <c r="O559" s="838"/>
      <c r="P559" s="838"/>
      <c r="Q559" s="838"/>
      <c r="R559" s="838"/>
      <c r="S559" s="838"/>
      <c r="T559" s="838"/>
      <c r="U559" s="838"/>
      <c r="V559" s="838"/>
      <c r="W559" s="838"/>
      <c r="X559" s="838"/>
      <c r="Y559" s="838"/>
      <c r="Z559" s="838"/>
      <c r="AA559" s="838"/>
      <c r="AB559" s="838"/>
      <c r="AC559" s="838"/>
      <c r="AD559" s="838"/>
      <c r="AE559" s="838"/>
      <c r="AF559" s="838"/>
      <c r="AG559" s="838"/>
      <c r="AH559" s="838"/>
      <c r="AI559" s="838"/>
      <c r="AJ559" s="838"/>
      <c r="AK559" s="838"/>
      <c r="AL559" s="839"/>
      <c r="AM559" s="280"/>
      <c r="AN559" s="280"/>
      <c r="AP559" s="486" t="e">
        <f t="shared" si="480"/>
        <v>#DIV/0!</v>
      </c>
      <c r="AQ559" s="486" t="e">
        <f t="shared" si="486"/>
        <v>#DIV/0!</v>
      </c>
      <c r="AR559" s="497" t="e">
        <f t="shared" si="487"/>
        <v>#DIV/0!</v>
      </c>
      <c r="AS559" s="497" t="e">
        <f t="shared" si="488"/>
        <v>#DIV/0!</v>
      </c>
      <c r="AT559" s="497" t="e">
        <f t="shared" si="489"/>
        <v>#DIV/0!</v>
      </c>
      <c r="AU559" s="497" t="e">
        <f t="shared" si="490"/>
        <v>#DIV/0!</v>
      </c>
      <c r="AV559" s="497" t="e">
        <f t="shared" si="491"/>
        <v>#DIV/0!</v>
      </c>
      <c r="AW559" s="497" t="e">
        <f t="shared" si="492"/>
        <v>#DIV/0!</v>
      </c>
      <c r="AX559" s="497" t="e">
        <f t="shared" si="493"/>
        <v>#DIV/0!</v>
      </c>
      <c r="AY559" s="486" t="e">
        <f t="shared" si="494"/>
        <v>#DIV/0!</v>
      </c>
      <c r="AZ559" s="497" t="e">
        <f t="shared" si="495"/>
        <v>#DIV/0!</v>
      </c>
      <c r="BA559" s="486" t="e">
        <f t="shared" si="481"/>
        <v>#DIV/0!</v>
      </c>
      <c r="BB559" s="494">
        <v>5155.41</v>
      </c>
      <c r="BC559" s="494">
        <v>2070.12</v>
      </c>
      <c r="BD559" s="494">
        <v>848.92</v>
      </c>
      <c r="BE559" s="494">
        <v>819.73</v>
      </c>
      <c r="BF559" s="494">
        <v>611.5</v>
      </c>
      <c r="BG559" s="494">
        <v>1080.04</v>
      </c>
      <c r="BH559" s="494">
        <v>2671800.0099999998</v>
      </c>
      <c r="BI559" s="494">
        <f t="shared" si="518"/>
        <v>4422.8500000000004</v>
      </c>
      <c r="BJ559" s="494">
        <v>14289.54</v>
      </c>
      <c r="BK559" s="494">
        <v>3389.61</v>
      </c>
      <c r="BL559" s="494">
        <v>5995.76</v>
      </c>
      <c r="BM559" s="494">
        <v>548.62</v>
      </c>
      <c r="BN559" s="493" t="e">
        <f t="shared" si="496"/>
        <v>#DIV/0!</v>
      </c>
      <c r="BO559" s="493" t="e">
        <f t="shared" si="497"/>
        <v>#DIV/0!</v>
      </c>
      <c r="BP559" s="493" t="e">
        <f t="shared" si="498"/>
        <v>#DIV/0!</v>
      </c>
      <c r="BQ559" s="493" t="e">
        <f t="shared" si="499"/>
        <v>#DIV/0!</v>
      </c>
      <c r="BR559" s="493" t="e">
        <f t="shared" si="500"/>
        <v>#DIV/0!</v>
      </c>
      <c r="BS559" s="493" t="e">
        <f t="shared" si="501"/>
        <v>#DIV/0!</v>
      </c>
      <c r="BT559" s="493" t="e">
        <f t="shared" si="502"/>
        <v>#DIV/0!</v>
      </c>
      <c r="BU559" s="493" t="e">
        <f t="shared" si="503"/>
        <v>#DIV/0!</v>
      </c>
      <c r="BV559" s="493" t="e">
        <f t="shared" si="504"/>
        <v>#DIV/0!</v>
      </c>
      <c r="BW559" s="493" t="e">
        <f t="shared" si="505"/>
        <v>#DIV/0!</v>
      </c>
      <c r="BX559" s="493" t="e">
        <f t="shared" si="506"/>
        <v>#DIV/0!</v>
      </c>
      <c r="BY559" s="493" t="e">
        <f t="shared" si="507"/>
        <v>#DIV/0!</v>
      </c>
    </row>
    <row r="560" spans="1:77" s="28" customFormat="1" ht="9" customHeight="1">
      <c r="A560" s="278">
        <v>180</v>
      </c>
      <c r="B560" s="276" t="s">
        <v>852</v>
      </c>
      <c r="C560" s="249">
        <v>858.98</v>
      </c>
      <c r="D560" s="376"/>
      <c r="E560" s="407"/>
      <c r="F560" s="249"/>
      <c r="G560" s="249"/>
      <c r="H560" s="407">
        <v>537687.12</v>
      </c>
      <c r="I560" s="407">
        <f t="shared" ref="I560:I563" si="531">J560+L560+N560+P560+R560+T560</f>
        <v>248599.76</v>
      </c>
      <c r="J560" s="217">
        <v>0</v>
      </c>
      <c r="K560" s="469">
        <v>0</v>
      </c>
      <c r="L560" s="217">
        <v>0</v>
      </c>
      <c r="M560" s="469">
        <v>95</v>
      </c>
      <c r="N560" s="217">
        <f>ROUND(0.955*(C560*303.05),2)</f>
        <v>248599.76</v>
      </c>
      <c r="O560" s="249">
        <v>0</v>
      </c>
      <c r="P560" s="407">
        <v>0</v>
      </c>
      <c r="Q560" s="249">
        <v>0</v>
      </c>
      <c r="R560" s="407">
        <v>0</v>
      </c>
      <c r="S560" s="249">
        <v>0</v>
      </c>
      <c r="T560" s="407">
        <v>0</v>
      </c>
      <c r="U560" s="130">
        <v>0</v>
      </c>
      <c r="V560" s="407">
        <v>0</v>
      </c>
      <c r="W560" s="410">
        <v>0</v>
      </c>
      <c r="X560" s="407">
        <v>0</v>
      </c>
      <c r="Y560" s="410">
        <v>0</v>
      </c>
      <c r="Z560" s="410">
        <v>0</v>
      </c>
      <c r="AA560" s="410">
        <v>0</v>
      </c>
      <c r="AB560" s="410">
        <v>0</v>
      </c>
      <c r="AC560" s="410">
        <v>0</v>
      </c>
      <c r="AD560" s="410">
        <v>0</v>
      </c>
      <c r="AE560" s="410">
        <v>0</v>
      </c>
      <c r="AF560" s="410">
        <v>0</v>
      </c>
      <c r="AG560" s="410">
        <v>0</v>
      </c>
      <c r="AH560" s="410">
        <v>0</v>
      </c>
      <c r="AI560" s="407">
        <f>ROUND(0.955*C560*322.91,2)</f>
        <v>264891.44</v>
      </c>
      <c r="AJ560" s="410">
        <f>ROUND(0.03*(303.05+322.91)*C560,2)</f>
        <v>16130.61</v>
      </c>
      <c r="AK560" s="410">
        <f>ROUND(0.015*(303.05+322.91)*C560,2)</f>
        <v>8065.31</v>
      </c>
      <c r="AL560" s="410">
        <v>0</v>
      </c>
      <c r="AM560" s="446"/>
      <c r="AN560" s="446"/>
      <c r="AP560" s="486" t="e">
        <f t="shared" si="480"/>
        <v>#DIV/0!</v>
      </c>
      <c r="AQ560" s="486" t="e">
        <f t="shared" si="486"/>
        <v>#DIV/0!</v>
      </c>
      <c r="AR560" s="486">
        <f t="shared" si="487"/>
        <v>2616.8395789473684</v>
      </c>
      <c r="AS560" s="486" t="e">
        <f t="shared" si="488"/>
        <v>#DIV/0!</v>
      </c>
      <c r="AT560" s="486" t="e">
        <f t="shared" si="489"/>
        <v>#DIV/0!</v>
      </c>
      <c r="AU560" s="486" t="e">
        <f t="shared" si="490"/>
        <v>#DIV/0!</v>
      </c>
      <c r="AV560" s="486" t="e">
        <f t="shared" si="491"/>
        <v>#DIV/0!</v>
      </c>
      <c r="AW560" s="486" t="e">
        <f t="shared" si="492"/>
        <v>#DIV/0!</v>
      </c>
      <c r="AX560" s="486" t="e">
        <f t="shared" si="493"/>
        <v>#DIV/0!</v>
      </c>
      <c r="AY560" s="486" t="e">
        <f t="shared" si="494"/>
        <v>#DIV/0!</v>
      </c>
      <c r="AZ560" s="486" t="e">
        <f t="shared" si="495"/>
        <v>#DIV/0!</v>
      </c>
      <c r="BA560" s="486">
        <f t="shared" si="481"/>
        <v>308.37905422710656</v>
      </c>
      <c r="BB560" s="494">
        <v>5155.41</v>
      </c>
      <c r="BC560" s="494">
        <v>2070.12</v>
      </c>
      <c r="BD560" s="494">
        <v>848.92</v>
      </c>
      <c r="BE560" s="494">
        <v>819.73</v>
      </c>
      <c r="BF560" s="494">
        <v>611.5</v>
      </c>
      <c r="BG560" s="494">
        <v>1080.04</v>
      </c>
      <c r="BH560" s="494">
        <v>2671800.0099999998</v>
      </c>
      <c r="BI560" s="494">
        <f t="shared" si="518"/>
        <v>4422.8500000000004</v>
      </c>
      <c r="BJ560" s="494">
        <v>14289.54</v>
      </c>
      <c r="BK560" s="494">
        <v>3389.61</v>
      </c>
      <c r="BL560" s="494">
        <v>5995.76</v>
      </c>
      <c r="BM560" s="494">
        <v>548.62</v>
      </c>
      <c r="BN560" s="495" t="e">
        <f t="shared" si="496"/>
        <v>#DIV/0!</v>
      </c>
      <c r="BO560" s="495" t="e">
        <f t="shared" si="497"/>
        <v>#DIV/0!</v>
      </c>
      <c r="BP560" s="495" t="str">
        <f t="shared" si="498"/>
        <v>+</v>
      </c>
      <c r="BQ560" s="495" t="e">
        <f t="shared" si="499"/>
        <v>#DIV/0!</v>
      </c>
      <c r="BR560" s="495" t="e">
        <f t="shared" si="500"/>
        <v>#DIV/0!</v>
      </c>
      <c r="BS560" s="495" t="e">
        <f t="shared" si="501"/>
        <v>#DIV/0!</v>
      </c>
      <c r="BT560" s="495" t="e">
        <f t="shared" si="502"/>
        <v>#DIV/0!</v>
      </c>
      <c r="BU560" s="495" t="e">
        <f t="shared" si="503"/>
        <v>#DIV/0!</v>
      </c>
      <c r="BV560" s="495" t="e">
        <f t="shared" si="504"/>
        <v>#DIV/0!</v>
      </c>
      <c r="BW560" s="495" t="e">
        <f t="shared" si="505"/>
        <v>#DIV/0!</v>
      </c>
      <c r="BX560" s="495" t="e">
        <f t="shared" si="506"/>
        <v>#DIV/0!</v>
      </c>
      <c r="BY560" s="495" t="str">
        <f t="shared" si="507"/>
        <v xml:space="preserve"> </v>
      </c>
    </row>
    <row r="561" spans="1:77" s="28" customFormat="1" ht="9" customHeight="1">
      <c r="A561" s="278">
        <v>181</v>
      </c>
      <c r="B561" s="276" t="s">
        <v>853</v>
      </c>
      <c r="C561" s="249">
        <v>596.15</v>
      </c>
      <c r="D561" s="376"/>
      <c r="E561" s="407"/>
      <c r="F561" s="249"/>
      <c r="G561" s="249"/>
      <c r="H561" s="407">
        <v>373166.06</v>
      </c>
      <c r="I561" s="407">
        <f t="shared" si="531"/>
        <v>172533.42</v>
      </c>
      <c r="J561" s="217">
        <v>0</v>
      </c>
      <c r="K561" s="469">
        <v>0</v>
      </c>
      <c r="L561" s="217">
        <v>0</v>
      </c>
      <c r="M561" s="469">
        <v>105</v>
      </c>
      <c r="N561" s="217">
        <f>ROUND(0.955*(C561*303.05)+0.01,2)</f>
        <v>172533.42</v>
      </c>
      <c r="O561" s="249">
        <v>0</v>
      </c>
      <c r="P561" s="407">
        <v>0</v>
      </c>
      <c r="Q561" s="249">
        <v>0</v>
      </c>
      <c r="R561" s="407">
        <v>0</v>
      </c>
      <c r="S561" s="249">
        <v>0</v>
      </c>
      <c r="T561" s="407">
        <v>0</v>
      </c>
      <c r="U561" s="130">
        <v>0</v>
      </c>
      <c r="V561" s="407">
        <v>0</v>
      </c>
      <c r="W561" s="410">
        <v>0</v>
      </c>
      <c r="X561" s="407">
        <v>0</v>
      </c>
      <c r="Y561" s="410">
        <v>0</v>
      </c>
      <c r="Z561" s="410">
        <v>0</v>
      </c>
      <c r="AA561" s="410">
        <v>0</v>
      </c>
      <c r="AB561" s="410">
        <v>0</v>
      </c>
      <c r="AC561" s="410">
        <v>0</v>
      </c>
      <c r="AD561" s="410">
        <v>0</v>
      </c>
      <c r="AE561" s="410">
        <v>0</v>
      </c>
      <c r="AF561" s="410">
        <v>0</v>
      </c>
      <c r="AG561" s="410">
        <v>0</v>
      </c>
      <c r="AH561" s="410">
        <v>0</v>
      </c>
      <c r="AI561" s="407">
        <f>ROUND(0.955*C561*322.91,2)</f>
        <v>183840.17</v>
      </c>
      <c r="AJ561" s="410">
        <f t="shared" ref="AJ561:AJ563" si="532">ROUND(0.03*(303.05+322.91)*C561,2)</f>
        <v>11194.98</v>
      </c>
      <c r="AK561" s="410">
        <f t="shared" ref="AK561:AK563" si="533">ROUND(0.015*(303.05+322.91)*C561,2)</f>
        <v>5597.49</v>
      </c>
      <c r="AL561" s="410">
        <v>0</v>
      </c>
      <c r="AM561" s="446"/>
      <c r="AN561" s="446"/>
      <c r="AP561" s="486" t="e">
        <f t="shared" si="480"/>
        <v>#DIV/0!</v>
      </c>
      <c r="AQ561" s="486" t="e">
        <f t="shared" si="486"/>
        <v>#DIV/0!</v>
      </c>
      <c r="AR561" s="486">
        <f t="shared" si="487"/>
        <v>1643.1754285714287</v>
      </c>
      <c r="AS561" s="486" t="e">
        <f t="shared" si="488"/>
        <v>#DIV/0!</v>
      </c>
      <c r="AT561" s="486" t="e">
        <f t="shared" si="489"/>
        <v>#DIV/0!</v>
      </c>
      <c r="AU561" s="486" t="e">
        <f t="shared" si="490"/>
        <v>#DIV/0!</v>
      </c>
      <c r="AV561" s="486" t="e">
        <f t="shared" si="491"/>
        <v>#DIV/0!</v>
      </c>
      <c r="AW561" s="486" t="e">
        <f t="shared" si="492"/>
        <v>#DIV/0!</v>
      </c>
      <c r="AX561" s="486" t="e">
        <f t="shared" si="493"/>
        <v>#DIV/0!</v>
      </c>
      <c r="AY561" s="486" t="e">
        <f t="shared" si="494"/>
        <v>#DIV/0!</v>
      </c>
      <c r="AZ561" s="486" t="e">
        <f t="shared" si="495"/>
        <v>#DIV/0!</v>
      </c>
      <c r="BA561" s="486">
        <f t="shared" si="481"/>
        <v>308.37904889708972</v>
      </c>
      <c r="BB561" s="494">
        <v>5155.41</v>
      </c>
      <c r="BC561" s="494">
        <v>2070.12</v>
      </c>
      <c r="BD561" s="494">
        <v>848.92</v>
      </c>
      <c r="BE561" s="494">
        <v>819.73</v>
      </c>
      <c r="BF561" s="494">
        <v>611.5</v>
      </c>
      <c r="BG561" s="494">
        <v>1080.04</v>
      </c>
      <c r="BH561" s="494">
        <v>2671800.0099999998</v>
      </c>
      <c r="BI561" s="494">
        <f t="shared" si="518"/>
        <v>4422.8500000000004</v>
      </c>
      <c r="BJ561" s="494">
        <v>14289.54</v>
      </c>
      <c r="BK561" s="494">
        <v>3389.61</v>
      </c>
      <c r="BL561" s="494">
        <v>5995.76</v>
      </c>
      <c r="BM561" s="494">
        <v>548.62</v>
      </c>
      <c r="BN561" s="495" t="e">
        <f t="shared" si="496"/>
        <v>#DIV/0!</v>
      </c>
      <c r="BO561" s="495" t="e">
        <f t="shared" si="497"/>
        <v>#DIV/0!</v>
      </c>
      <c r="BP561" s="495" t="str">
        <f t="shared" si="498"/>
        <v>+</v>
      </c>
      <c r="BQ561" s="495" t="e">
        <f t="shared" si="499"/>
        <v>#DIV/0!</v>
      </c>
      <c r="BR561" s="495" t="e">
        <f t="shared" si="500"/>
        <v>#DIV/0!</v>
      </c>
      <c r="BS561" s="495" t="e">
        <f t="shared" si="501"/>
        <v>#DIV/0!</v>
      </c>
      <c r="BT561" s="495" t="e">
        <f t="shared" si="502"/>
        <v>#DIV/0!</v>
      </c>
      <c r="BU561" s="495" t="e">
        <f t="shared" si="503"/>
        <v>#DIV/0!</v>
      </c>
      <c r="BV561" s="495" t="e">
        <f t="shared" si="504"/>
        <v>#DIV/0!</v>
      </c>
      <c r="BW561" s="495" t="e">
        <f t="shared" si="505"/>
        <v>#DIV/0!</v>
      </c>
      <c r="BX561" s="495" t="e">
        <f t="shared" si="506"/>
        <v>#DIV/0!</v>
      </c>
      <c r="BY561" s="495" t="str">
        <f t="shared" si="507"/>
        <v xml:space="preserve"> </v>
      </c>
    </row>
    <row r="562" spans="1:77" s="28" customFormat="1" ht="9" customHeight="1">
      <c r="A562" s="278">
        <v>182</v>
      </c>
      <c r="B562" s="276" t="s">
        <v>854</v>
      </c>
      <c r="C562" s="249">
        <v>590.36</v>
      </c>
      <c r="D562" s="376"/>
      <c r="E562" s="407"/>
      <c r="F562" s="249"/>
      <c r="G562" s="249"/>
      <c r="H562" s="407">
        <v>369541.75</v>
      </c>
      <c r="I562" s="407">
        <f t="shared" si="531"/>
        <v>170857.71</v>
      </c>
      <c r="J562" s="217">
        <v>0</v>
      </c>
      <c r="K562" s="469">
        <v>0</v>
      </c>
      <c r="L562" s="217">
        <v>0</v>
      </c>
      <c r="M562" s="469">
        <v>49</v>
      </c>
      <c r="N562" s="217">
        <f>ROUND(0.955*(C562*303.05),2)</f>
        <v>170857.71</v>
      </c>
      <c r="O562" s="249">
        <v>0</v>
      </c>
      <c r="P562" s="407">
        <v>0</v>
      </c>
      <c r="Q562" s="249">
        <v>0</v>
      </c>
      <c r="R562" s="407">
        <v>0</v>
      </c>
      <c r="S562" s="249">
        <v>0</v>
      </c>
      <c r="T562" s="407">
        <v>0</v>
      </c>
      <c r="U562" s="130">
        <v>0</v>
      </c>
      <c r="V562" s="407">
        <v>0</v>
      </c>
      <c r="W562" s="410">
        <v>0</v>
      </c>
      <c r="X562" s="407">
        <v>0</v>
      </c>
      <c r="Y562" s="410">
        <v>0</v>
      </c>
      <c r="Z562" s="410">
        <v>0</v>
      </c>
      <c r="AA562" s="410">
        <v>0</v>
      </c>
      <c r="AB562" s="410">
        <v>0</v>
      </c>
      <c r="AC562" s="410">
        <v>0</v>
      </c>
      <c r="AD562" s="410">
        <v>0</v>
      </c>
      <c r="AE562" s="410">
        <v>0</v>
      </c>
      <c r="AF562" s="410">
        <v>0</v>
      </c>
      <c r="AG562" s="410">
        <v>0</v>
      </c>
      <c r="AH562" s="410">
        <v>0</v>
      </c>
      <c r="AI562" s="407">
        <f>ROUND(0.955*C562*322.91,2)</f>
        <v>182054.66</v>
      </c>
      <c r="AJ562" s="410">
        <f t="shared" si="532"/>
        <v>11086.25</v>
      </c>
      <c r="AK562" s="410">
        <f t="shared" si="533"/>
        <v>5543.13</v>
      </c>
      <c r="AL562" s="410">
        <v>0</v>
      </c>
      <c r="AM562" s="446"/>
      <c r="AN562" s="446"/>
      <c r="AP562" s="486" t="e">
        <f t="shared" si="480"/>
        <v>#DIV/0!</v>
      </c>
      <c r="AQ562" s="486" t="e">
        <f t="shared" si="486"/>
        <v>#DIV/0!</v>
      </c>
      <c r="AR562" s="486">
        <f t="shared" si="487"/>
        <v>3486.8920408163262</v>
      </c>
      <c r="AS562" s="486" t="e">
        <f t="shared" si="488"/>
        <v>#DIV/0!</v>
      </c>
      <c r="AT562" s="486" t="e">
        <f t="shared" si="489"/>
        <v>#DIV/0!</v>
      </c>
      <c r="AU562" s="486" t="e">
        <f t="shared" si="490"/>
        <v>#DIV/0!</v>
      </c>
      <c r="AV562" s="486" t="e">
        <f t="shared" si="491"/>
        <v>#DIV/0!</v>
      </c>
      <c r="AW562" s="486" t="e">
        <f t="shared" si="492"/>
        <v>#DIV/0!</v>
      </c>
      <c r="AX562" s="486" t="e">
        <f t="shared" si="493"/>
        <v>#DIV/0!</v>
      </c>
      <c r="AY562" s="486" t="e">
        <f t="shared" si="494"/>
        <v>#DIV/0!</v>
      </c>
      <c r="AZ562" s="486" t="e">
        <f t="shared" si="495"/>
        <v>#DIV/0!</v>
      </c>
      <c r="BA562" s="486">
        <f t="shared" si="481"/>
        <v>308.37905684666981</v>
      </c>
      <c r="BB562" s="494">
        <v>5155.41</v>
      </c>
      <c r="BC562" s="494">
        <v>2070.12</v>
      </c>
      <c r="BD562" s="494">
        <v>848.92</v>
      </c>
      <c r="BE562" s="494">
        <v>819.73</v>
      </c>
      <c r="BF562" s="494">
        <v>611.5</v>
      </c>
      <c r="BG562" s="494">
        <v>1080.04</v>
      </c>
      <c r="BH562" s="494">
        <v>2671800.0099999998</v>
      </c>
      <c r="BI562" s="494">
        <f t="shared" si="518"/>
        <v>4422.8500000000004</v>
      </c>
      <c r="BJ562" s="494">
        <v>14289.54</v>
      </c>
      <c r="BK562" s="494">
        <v>3389.61</v>
      </c>
      <c r="BL562" s="494">
        <v>5995.76</v>
      </c>
      <c r="BM562" s="494">
        <v>548.62</v>
      </c>
      <c r="BN562" s="495" t="e">
        <f t="shared" si="496"/>
        <v>#DIV/0!</v>
      </c>
      <c r="BO562" s="495" t="e">
        <f t="shared" si="497"/>
        <v>#DIV/0!</v>
      </c>
      <c r="BP562" s="495" t="str">
        <f t="shared" si="498"/>
        <v>+</v>
      </c>
      <c r="BQ562" s="495" t="e">
        <f t="shared" si="499"/>
        <v>#DIV/0!</v>
      </c>
      <c r="BR562" s="495" t="e">
        <f t="shared" si="500"/>
        <v>#DIV/0!</v>
      </c>
      <c r="BS562" s="495" t="e">
        <f t="shared" si="501"/>
        <v>#DIV/0!</v>
      </c>
      <c r="BT562" s="495" t="e">
        <f t="shared" si="502"/>
        <v>#DIV/0!</v>
      </c>
      <c r="BU562" s="495" t="e">
        <f t="shared" si="503"/>
        <v>#DIV/0!</v>
      </c>
      <c r="BV562" s="495" t="e">
        <f t="shared" si="504"/>
        <v>#DIV/0!</v>
      </c>
      <c r="BW562" s="495" t="e">
        <f t="shared" si="505"/>
        <v>#DIV/0!</v>
      </c>
      <c r="BX562" s="495" t="e">
        <f t="shared" si="506"/>
        <v>#DIV/0!</v>
      </c>
      <c r="BY562" s="495" t="str">
        <f t="shared" si="507"/>
        <v xml:space="preserve"> </v>
      </c>
    </row>
    <row r="563" spans="1:77" s="28" customFormat="1" ht="9" customHeight="1">
      <c r="A563" s="278">
        <v>183</v>
      </c>
      <c r="B563" s="276" t="s">
        <v>855</v>
      </c>
      <c r="C563" s="249">
        <v>585.69000000000005</v>
      </c>
      <c r="D563" s="376"/>
      <c r="E563" s="407"/>
      <c r="F563" s="249"/>
      <c r="G563" s="249"/>
      <c r="H563" s="407">
        <v>366618.51</v>
      </c>
      <c r="I563" s="407">
        <f t="shared" si="531"/>
        <v>169506.14</v>
      </c>
      <c r="J563" s="217">
        <v>0</v>
      </c>
      <c r="K563" s="469">
        <v>0</v>
      </c>
      <c r="L563" s="217">
        <v>0</v>
      </c>
      <c r="M563" s="469">
        <v>73</v>
      </c>
      <c r="N563" s="217">
        <f>ROUND(0.955*(C563*303.05)-0.01,2)</f>
        <v>169506.14</v>
      </c>
      <c r="O563" s="249">
        <v>0</v>
      </c>
      <c r="P563" s="407">
        <v>0</v>
      </c>
      <c r="Q563" s="249">
        <v>0</v>
      </c>
      <c r="R563" s="407">
        <v>0</v>
      </c>
      <c r="S563" s="249">
        <v>0</v>
      </c>
      <c r="T563" s="407">
        <v>0</v>
      </c>
      <c r="U563" s="130">
        <v>0</v>
      </c>
      <c r="V563" s="407">
        <v>0</v>
      </c>
      <c r="W563" s="410">
        <v>0</v>
      </c>
      <c r="X563" s="407">
        <v>0</v>
      </c>
      <c r="Y563" s="410">
        <v>0</v>
      </c>
      <c r="Z563" s="410">
        <v>0</v>
      </c>
      <c r="AA563" s="410">
        <v>0</v>
      </c>
      <c r="AB563" s="410">
        <v>0</v>
      </c>
      <c r="AC563" s="410">
        <v>0</v>
      </c>
      <c r="AD563" s="410">
        <v>0</v>
      </c>
      <c r="AE563" s="410">
        <v>0</v>
      </c>
      <c r="AF563" s="410">
        <v>0</v>
      </c>
      <c r="AG563" s="410">
        <v>0</v>
      </c>
      <c r="AH563" s="410">
        <v>0</v>
      </c>
      <c r="AI563" s="407">
        <f>ROUND(0.955*C563*322.91,2)</f>
        <v>180614.53</v>
      </c>
      <c r="AJ563" s="410">
        <f t="shared" si="532"/>
        <v>10998.56</v>
      </c>
      <c r="AK563" s="410">
        <f t="shared" si="533"/>
        <v>5499.28</v>
      </c>
      <c r="AL563" s="410">
        <v>0</v>
      </c>
      <c r="AM563" s="446"/>
      <c r="AN563" s="446"/>
      <c r="AP563" s="486" t="e">
        <f t="shared" si="480"/>
        <v>#DIV/0!</v>
      </c>
      <c r="AQ563" s="486" t="e">
        <f t="shared" si="486"/>
        <v>#DIV/0!</v>
      </c>
      <c r="AR563" s="486">
        <f t="shared" si="487"/>
        <v>2322.0019178082193</v>
      </c>
      <c r="AS563" s="486" t="e">
        <f t="shared" si="488"/>
        <v>#DIV/0!</v>
      </c>
      <c r="AT563" s="486" t="e">
        <f t="shared" si="489"/>
        <v>#DIV/0!</v>
      </c>
      <c r="AU563" s="486" t="e">
        <f t="shared" si="490"/>
        <v>#DIV/0!</v>
      </c>
      <c r="AV563" s="486" t="e">
        <f t="shared" si="491"/>
        <v>#DIV/0!</v>
      </c>
      <c r="AW563" s="486" t="e">
        <f t="shared" si="492"/>
        <v>#DIV/0!</v>
      </c>
      <c r="AX563" s="486" t="e">
        <f t="shared" si="493"/>
        <v>#DIV/0!</v>
      </c>
      <c r="AY563" s="486" t="e">
        <f t="shared" si="494"/>
        <v>#DIV/0!</v>
      </c>
      <c r="AZ563" s="486" t="e">
        <f t="shared" si="495"/>
        <v>#DIV/0!</v>
      </c>
      <c r="BA563" s="486">
        <f t="shared" si="481"/>
        <v>308.37905718041964</v>
      </c>
      <c r="BB563" s="494">
        <v>5155.41</v>
      </c>
      <c r="BC563" s="494">
        <v>2070.12</v>
      </c>
      <c r="BD563" s="494">
        <v>848.92</v>
      </c>
      <c r="BE563" s="494">
        <v>819.73</v>
      </c>
      <c r="BF563" s="494">
        <v>611.5</v>
      </c>
      <c r="BG563" s="494">
        <v>1080.04</v>
      </c>
      <c r="BH563" s="494">
        <v>2671800.0099999998</v>
      </c>
      <c r="BI563" s="494">
        <f t="shared" si="518"/>
        <v>4422.8500000000004</v>
      </c>
      <c r="BJ563" s="494">
        <v>14289.54</v>
      </c>
      <c r="BK563" s="494">
        <v>3389.61</v>
      </c>
      <c r="BL563" s="494">
        <v>5995.76</v>
      </c>
      <c r="BM563" s="494">
        <v>548.62</v>
      </c>
      <c r="BN563" s="495" t="e">
        <f t="shared" si="496"/>
        <v>#DIV/0!</v>
      </c>
      <c r="BO563" s="495" t="e">
        <f t="shared" si="497"/>
        <v>#DIV/0!</v>
      </c>
      <c r="BP563" s="495" t="str">
        <f t="shared" si="498"/>
        <v>+</v>
      </c>
      <c r="BQ563" s="495" t="e">
        <f t="shared" si="499"/>
        <v>#DIV/0!</v>
      </c>
      <c r="BR563" s="495" t="e">
        <f t="shared" si="500"/>
        <v>#DIV/0!</v>
      </c>
      <c r="BS563" s="495" t="e">
        <f t="shared" si="501"/>
        <v>#DIV/0!</v>
      </c>
      <c r="BT563" s="495" t="e">
        <f t="shared" si="502"/>
        <v>#DIV/0!</v>
      </c>
      <c r="BU563" s="495" t="e">
        <f t="shared" si="503"/>
        <v>#DIV/0!</v>
      </c>
      <c r="BV563" s="495" t="e">
        <f t="shared" si="504"/>
        <v>#DIV/0!</v>
      </c>
      <c r="BW563" s="495" t="e">
        <f t="shared" si="505"/>
        <v>#DIV/0!</v>
      </c>
      <c r="BX563" s="495" t="e">
        <f t="shared" si="506"/>
        <v>#DIV/0!</v>
      </c>
      <c r="BY563" s="495" t="str">
        <f t="shared" si="507"/>
        <v xml:space="preserve"> </v>
      </c>
    </row>
    <row r="564" spans="1:77" s="28" customFormat="1" ht="35.25" customHeight="1">
      <c r="A564" s="954" t="s">
        <v>1152</v>
      </c>
      <c r="B564" s="954"/>
      <c r="C564" s="407">
        <f>SUM(C560:C563)</f>
        <v>2631.1800000000003</v>
      </c>
      <c r="D564" s="407"/>
      <c r="E564" s="407" t="s">
        <v>391</v>
      </c>
      <c r="F564" s="249"/>
      <c r="G564" s="249"/>
      <c r="H564" s="407">
        <f>SUM(H560:H563)</f>
        <v>1647013.44</v>
      </c>
      <c r="I564" s="407">
        <f t="shared" ref="I564:AL564" si="534">SUM(I560:I563)</f>
        <v>761497.03</v>
      </c>
      <c r="J564" s="407">
        <f t="shared" si="534"/>
        <v>0</v>
      </c>
      <c r="K564" s="407">
        <f t="shared" si="534"/>
        <v>0</v>
      </c>
      <c r="L564" s="407">
        <f t="shared" si="534"/>
        <v>0</v>
      </c>
      <c r="M564" s="407">
        <f t="shared" si="534"/>
        <v>322</v>
      </c>
      <c r="N564" s="407">
        <f t="shared" si="534"/>
        <v>761497.03</v>
      </c>
      <c r="O564" s="407">
        <f t="shared" si="534"/>
        <v>0</v>
      </c>
      <c r="P564" s="407">
        <f t="shared" si="534"/>
        <v>0</v>
      </c>
      <c r="Q564" s="407">
        <f t="shared" si="534"/>
        <v>0</v>
      </c>
      <c r="R564" s="407">
        <f t="shared" si="534"/>
        <v>0</v>
      </c>
      <c r="S564" s="407">
        <f t="shared" si="534"/>
        <v>0</v>
      </c>
      <c r="T564" s="407">
        <f t="shared" si="534"/>
        <v>0</v>
      </c>
      <c r="U564" s="130">
        <f t="shared" si="534"/>
        <v>0</v>
      </c>
      <c r="V564" s="407">
        <f t="shared" si="534"/>
        <v>0</v>
      </c>
      <c r="W564" s="407">
        <f t="shared" si="534"/>
        <v>0</v>
      </c>
      <c r="X564" s="407">
        <f t="shared" si="534"/>
        <v>0</v>
      </c>
      <c r="Y564" s="407">
        <f t="shared" si="534"/>
        <v>0</v>
      </c>
      <c r="Z564" s="407">
        <f t="shared" si="534"/>
        <v>0</v>
      </c>
      <c r="AA564" s="407">
        <f t="shared" si="534"/>
        <v>0</v>
      </c>
      <c r="AB564" s="407">
        <f t="shared" si="534"/>
        <v>0</v>
      </c>
      <c r="AC564" s="407">
        <f t="shared" si="534"/>
        <v>0</v>
      </c>
      <c r="AD564" s="407">
        <f t="shared" si="534"/>
        <v>0</v>
      </c>
      <c r="AE564" s="407">
        <f t="shared" si="534"/>
        <v>0</v>
      </c>
      <c r="AF564" s="407">
        <f t="shared" si="534"/>
        <v>0</v>
      </c>
      <c r="AG564" s="407">
        <f t="shared" si="534"/>
        <v>0</v>
      </c>
      <c r="AH564" s="407">
        <f t="shared" si="534"/>
        <v>0</v>
      </c>
      <c r="AI564" s="407">
        <f t="shared" si="534"/>
        <v>811400.8</v>
      </c>
      <c r="AJ564" s="407">
        <f t="shared" si="534"/>
        <v>49410.399999999994</v>
      </c>
      <c r="AK564" s="407">
        <f t="shared" si="534"/>
        <v>24705.21</v>
      </c>
      <c r="AL564" s="407">
        <f t="shared" si="534"/>
        <v>0</v>
      </c>
      <c r="AM564" s="280"/>
      <c r="AN564" s="280"/>
      <c r="AP564" s="486" t="e">
        <f t="shared" si="480"/>
        <v>#DIV/0!</v>
      </c>
      <c r="AQ564" s="486" t="e">
        <f t="shared" si="486"/>
        <v>#DIV/0!</v>
      </c>
      <c r="AR564" s="497">
        <f t="shared" si="487"/>
        <v>2364.8976086956523</v>
      </c>
      <c r="AS564" s="497" t="e">
        <f t="shared" si="488"/>
        <v>#DIV/0!</v>
      </c>
      <c r="AT564" s="497" t="e">
        <f t="shared" si="489"/>
        <v>#DIV/0!</v>
      </c>
      <c r="AU564" s="497" t="e">
        <f t="shared" si="490"/>
        <v>#DIV/0!</v>
      </c>
      <c r="AV564" s="497" t="e">
        <f t="shared" si="491"/>
        <v>#DIV/0!</v>
      </c>
      <c r="AW564" s="497" t="e">
        <f t="shared" si="492"/>
        <v>#DIV/0!</v>
      </c>
      <c r="AX564" s="497" t="e">
        <f t="shared" si="493"/>
        <v>#DIV/0!</v>
      </c>
      <c r="AY564" s="486" t="e">
        <f t="shared" si="494"/>
        <v>#DIV/0!</v>
      </c>
      <c r="AZ564" s="497" t="e">
        <f t="shared" si="495"/>
        <v>#DIV/0!</v>
      </c>
      <c r="BA564" s="486">
        <f t="shared" si="481"/>
        <v>308.37905426462652</v>
      </c>
      <c r="BB564" s="494">
        <v>5155.41</v>
      </c>
      <c r="BC564" s="494">
        <v>2070.12</v>
      </c>
      <c r="BD564" s="494">
        <v>848.92</v>
      </c>
      <c r="BE564" s="494">
        <v>819.73</v>
      </c>
      <c r="BF564" s="494">
        <v>611.5</v>
      </c>
      <c r="BG564" s="494">
        <v>1080.04</v>
      </c>
      <c r="BH564" s="494">
        <v>2671800.0099999998</v>
      </c>
      <c r="BI564" s="494">
        <f t="shared" si="518"/>
        <v>4422.8500000000004</v>
      </c>
      <c r="BJ564" s="494">
        <v>14289.54</v>
      </c>
      <c r="BK564" s="494">
        <v>3389.61</v>
      </c>
      <c r="BL564" s="494">
        <v>5995.76</v>
      </c>
      <c r="BM564" s="494">
        <v>548.62</v>
      </c>
      <c r="BN564" s="493" t="e">
        <f t="shared" si="496"/>
        <v>#DIV/0!</v>
      </c>
      <c r="BO564" s="493" t="e">
        <f t="shared" si="497"/>
        <v>#DIV/0!</v>
      </c>
      <c r="BP564" s="493" t="str">
        <f t="shared" si="498"/>
        <v>+</v>
      </c>
      <c r="BQ564" s="493" t="e">
        <f t="shared" si="499"/>
        <v>#DIV/0!</v>
      </c>
      <c r="BR564" s="493" t="e">
        <f t="shared" si="500"/>
        <v>#DIV/0!</v>
      </c>
      <c r="BS564" s="493" t="e">
        <f t="shared" si="501"/>
        <v>#DIV/0!</v>
      </c>
      <c r="BT564" s="493" t="e">
        <f t="shared" si="502"/>
        <v>#DIV/0!</v>
      </c>
      <c r="BU564" s="493" t="e">
        <f t="shared" si="503"/>
        <v>#DIV/0!</v>
      </c>
      <c r="BV564" s="493" t="e">
        <f t="shared" si="504"/>
        <v>#DIV/0!</v>
      </c>
      <c r="BW564" s="493" t="e">
        <f t="shared" si="505"/>
        <v>#DIV/0!</v>
      </c>
      <c r="BX564" s="493" t="e">
        <f t="shared" si="506"/>
        <v>#DIV/0!</v>
      </c>
      <c r="BY564" s="493" t="str">
        <f t="shared" si="507"/>
        <v xml:space="preserve"> </v>
      </c>
    </row>
    <row r="565" spans="1:77" s="28" customFormat="1" ht="11.25" customHeight="1">
      <c r="A565" s="833" t="s">
        <v>435</v>
      </c>
      <c r="B565" s="834"/>
      <c r="C565" s="834"/>
      <c r="D565" s="834"/>
      <c r="E565" s="834"/>
      <c r="F565" s="834"/>
      <c r="G565" s="834"/>
      <c r="H565" s="834"/>
      <c r="I565" s="834"/>
      <c r="J565" s="834"/>
      <c r="K565" s="834"/>
      <c r="L565" s="834"/>
      <c r="M565" s="834"/>
      <c r="N565" s="834"/>
      <c r="O565" s="834"/>
      <c r="P565" s="834"/>
      <c r="Q565" s="834"/>
      <c r="R565" s="834"/>
      <c r="S565" s="834"/>
      <c r="T565" s="834"/>
      <c r="U565" s="834"/>
      <c r="V565" s="834"/>
      <c r="W565" s="834"/>
      <c r="X565" s="834"/>
      <c r="Y565" s="834"/>
      <c r="Z565" s="834"/>
      <c r="AA565" s="834"/>
      <c r="AB565" s="834"/>
      <c r="AC565" s="834"/>
      <c r="AD565" s="834"/>
      <c r="AE565" s="834"/>
      <c r="AF565" s="834"/>
      <c r="AG565" s="834"/>
      <c r="AH565" s="834"/>
      <c r="AI565" s="834"/>
      <c r="AJ565" s="834"/>
      <c r="AK565" s="834"/>
      <c r="AL565" s="835"/>
      <c r="AM565" s="280"/>
      <c r="AN565" s="280"/>
      <c r="AP565" s="486" t="e">
        <f t="shared" si="480"/>
        <v>#DIV/0!</v>
      </c>
      <c r="AQ565" s="486" t="e">
        <f t="shared" si="486"/>
        <v>#DIV/0!</v>
      </c>
      <c r="AR565" s="497" t="e">
        <f t="shared" si="487"/>
        <v>#DIV/0!</v>
      </c>
      <c r="AS565" s="497" t="e">
        <f t="shared" si="488"/>
        <v>#DIV/0!</v>
      </c>
      <c r="AT565" s="497" t="e">
        <f t="shared" si="489"/>
        <v>#DIV/0!</v>
      </c>
      <c r="AU565" s="497" t="e">
        <f t="shared" si="490"/>
        <v>#DIV/0!</v>
      </c>
      <c r="AV565" s="497" t="e">
        <f t="shared" si="491"/>
        <v>#DIV/0!</v>
      </c>
      <c r="AW565" s="497" t="e">
        <f t="shared" si="492"/>
        <v>#DIV/0!</v>
      </c>
      <c r="AX565" s="497" t="e">
        <f t="shared" si="493"/>
        <v>#DIV/0!</v>
      </c>
      <c r="AY565" s="486" t="e">
        <f t="shared" si="494"/>
        <v>#DIV/0!</v>
      </c>
      <c r="AZ565" s="497" t="e">
        <f t="shared" si="495"/>
        <v>#DIV/0!</v>
      </c>
      <c r="BA565" s="486" t="e">
        <f t="shared" si="481"/>
        <v>#DIV/0!</v>
      </c>
      <c r="BB565" s="494">
        <v>5155.41</v>
      </c>
      <c r="BC565" s="494">
        <v>2070.12</v>
      </c>
      <c r="BD565" s="494">
        <v>848.92</v>
      </c>
      <c r="BE565" s="494">
        <v>819.73</v>
      </c>
      <c r="BF565" s="494">
        <v>611.5</v>
      </c>
      <c r="BG565" s="494">
        <v>1080.04</v>
      </c>
      <c r="BH565" s="494">
        <v>2671800.0099999998</v>
      </c>
      <c r="BI565" s="494">
        <f t="shared" si="518"/>
        <v>4422.8500000000004</v>
      </c>
      <c r="BJ565" s="494">
        <v>14289.54</v>
      </c>
      <c r="BK565" s="494">
        <v>3389.61</v>
      </c>
      <c r="BL565" s="494">
        <v>5995.76</v>
      </c>
      <c r="BM565" s="494">
        <v>548.62</v>
      </c>
      <c r="BN565" s="493" t="e">
        <f t="shared" si="496"/>
        <v>#DIV/0!</v>
      </c>
      <c r="BO565" s="493" t="e">
        <f t="shared" si="497"/>
        <v>#DIV/0!</v>
      </c>
      <c r="BP565" s="493" t="e">
        <f t="shared" si="498"/>
        <v>#DIV/0!</v>
      </c>
      <c r="BQ565" s="493" t="e">
        <f t="shared" si="499"/>
        <v>#DIV/0!</v>
      </c>
      <c r="BR565" s="493" t="e">
        <f t="shared" si="500"/>
        <v>#DIV/0!</v>
      </c>
      <c r="BS565" s="493" t="e">
        <f t="shared" si="501"/>
        <v>#DIV/0!</v>
      </c>
      <c r="BT565" s="493" t="e">
        <f t="shared" si="502"/>
        <v>#DIV/0!</v>
      </c>
      <c r="BU565" s="493" t="e">
        <f t="shared" si="503"/>
        <v>#DIV/0!</v>
      </c>
      <c r="BV565" s="493" t="e">
        <f t="shared" si="504"/>
        <v>#DIV/0!</v>
      </c>
      <c r="BW565" s="493" t="e">
        <f t="shared" si="505"/>
        <v>#DIV/0!</v>
      </c>
      <c r="BX565" s="493" t="e">
        <f t="shared" si="506"/>
        <v>#DIV/0!</v>
      </c>
      <c r="BY565" s="493" t="e">
        <f t="shared" si="507"/>
        <v>#DIV/0!</v>
      </c>
    </row>
    <row r="566" spans="1:77" s="28" customFormat="1" ht="9" customHeight="1">
      <c r="A566" s="166">
        <v>184</v>
      </c>
      <c r="B566" s="276" t="s">
        <v>859</v>
      </c>
      <c r="C566" s="249">
        <v>424.1</v>
      </c>
      <c r="D566" s="376"/>
      <c r="E566" s="407" t="s">
        <v>1006</v>
      </c>
      <c r="F566" s="249"/>
      <c r="G566" s="249"/>
      <c r="H566" s="407">
        <v>1513512</v>
      </c>
      <c r="I566" s="407">
        <f t="shared" ref="I566:I567" si="535">J566+L566+N566+P566+R566+T566</f>
        <v>0</v>
      </c>
      <c r="J566" s="217">
        <v>0</v>
      </c>
      <c r="K566" s="469">
        <v>0</v>
      </c>
      <c r="L566" s="217">
        <v>0</v>
      </c>
      <c r="M566" s="469">
        <v>0</v>
      </c>
      <c r="N566" s="217">
        <v>0</v>
      </c>
      <c r="O566" s="249">
        <v>0</v>
      </c>
      <c r="P566" s="407">
        <v>0</v>
      </c>
      <c r="Q566" s="249">
        <v>0</v>
      </c>
      <c r="R566" s="407">
        <v>0</v>
      </c>
      <c r="S566" s="249">
        <v>0</v>
      </c>
      <c r="T566" s="407">
        <v>0</v>
      </c>
      <c r="U566" s="130">
        <v>0</v>
      </c>
      <c r="V566" s="407">
        <v>0</v>
      </c>
      <c r="W566" s="410">
        <v>468</v>
      </c>
      <c r="X566" s="407">
        <f t="shared" ref="X566:X567" si="536">ROUND(H566/100*95.5,2)</f>
        <v>1445403.96</v>
      </c>
      <c r="Y566" s="410">
        <v>0</v>
      </c>
      <c r="Z566" s="410">
        <v>0</v>
      </c>
      <c r="AA566" s="410">
        <v>0</v>
      </c>
      <c r="AB566" s="410">
        <v>0</v>
      </c>
      <c r="AC566" s="410">
        <v>0</v>
      </c>
      <c r="AD566" s="410">
        <v>0</v>
      </c>
      <c r="AE566" s="410">
        <v>0</v>
      </c>
      <c r="AF566" s="410">
        <v>0</v>
      </c>
      <c r="AG566" s="410">
        <v>0</v>
      </c>
      <c r="AH566" s="410">
        <v>0</v>
      </c>
      <c r="AI566" s="410">
        <v>0</v>
      </c>
      <c r="AJ566" s="410">
        <f t="shared" ref="AJ566:AJ567" si="537">ROUND(H566/100*3,2)</f>
        <v>45405.36</v>
      </c>
      <c r="AK566" s="410">
        <f t="shared" ref="AK566:AK567" si="538">ROUND(H566/100*1.5,2)</f>
        <v>22702.68</v>
      </c>
      <c r="AL566" s="410">
        <v>0</v>
      </c>
      <c r="AM566" s="446"/>
      <c r="AN566" s="446"/>
      <c r="AP566" s="486" t="e">
        <f t="shared" si="480"/>
        <v>#DIV/0!</v>
      </c>
      <c r="AQ566" s="486" t="e">
        <f t="shared" si="486"/>
        <v>#DIV/0!</v>
      </c>
      <c r="AR566" s="486" t="e">
        <f t="shared" si="487"/>
        <v>#DIV/0!</v>
      </c>
      <c r="AS566" s="486" t="e">
        <f t="shared" si="488"/>
        <v>#DIV/0!</v>
      </c>
      <c r="AT566" s="486" t="e">
        <f t="shared" si="489"/>
        <v>#DIV/0!</v>
      </c>
      <c r="AU566" s="486" t="e">
        <f t="shared" si="490"/>
        <v>#DIV/0!</v>
      </c>
      <c r="AV566" s="486" t="e">
        <f t="shared" si="491"/>
        <v>#DIV/0!</v>
      </c>
      <c r="AW566" s="486">
        <f t="shared" si="492"/>
        <v>3088.47</v>
      </c>
      <c r="AX566" s="486" t="e">
        <f t="shared" si="493"/>
        <v>#DIV/0!</v>
      </c>
      <c r="AY566" s="486" t="e">
        <f t="shared" si="494"/>
        <v>#DIV/0!</v>
      </c>
      <c r="AZ566" s="486" t="e">
        <f t="shared" si="495"/>
        <v>#DIV/0!</v>
      </c>
      <c r="BA566" s="486">
        <f t="shared" si="481"/>
        <v>0</v>
      </c>
      <c r="BB566" s="494">
        <v>5155.41</v>
      </c>
      <c r="BC566" s="494">
        <v>2070.12</v>
      </c>
      <c r="BD566" s="494">
        <v>848.92</v>
      </c>
      <c r="BE566" s="494">
        <v>819.73</v>
      </c>
      <c r="BF566" s="494">
        <v>611.5</v>
      </c>
      <c r="BG566" s="494">
        <v>1080.04</v>
      </c>
      <c r="BH566" s="494">
        <v>2671800.0099999998</v>
      </c>
      <c r="BI566" s="494">
        <f t="shared" si="518"/>
        <v>4422.8500000000004</v>
      </c>
      <c r="BJ566" s="494">
        <v>14289.54</v>
      </c>
      <c r="BK566" s="494">
        <v>3389.61</v>
      </c>
      <c r="BL566" s="494">
        <v>5995.76</v>
      </c>
      <c r="BM566" s="494">
        <v>548.62</v>
      </c>
      <c r="BN566" s="495" t="e">
        <f t="shared" si="496"/>
        <v>#DIV/0!</v>
      </c>
      <c r="BO566" s="495" t="e">
        <f t="shared" si="497"/>
        <v>#DIV/0!</v>
      </c>
      <c r="BP566" s="495" t="e">
        <f t="shared" si="498"/>
        <v>#DIV/0!</v>
      </c>
      <c r="BQ566" s="495" t="e">
        <f t="shared" si="499"/>
        <v>#DIV/0!</v>
      </c>
      <c r="BR566" s="495" t="e">
        <f t="shared" si="500"/>
        <v>#DIV/0!</v>
      </c>
      <c r="BS566" s="495" t="e">
        <f t="shared" si="501"/>
        <v>#DIV/0!</v>
      </c>
      <c r="BT566" s="495" t="e">
        <f t="shared" si="502"/>
        <v>#DIV/0!</v>
      </c>
      <c r="BU566" s="495" t="str">
        <f t="shared" si="503"/>
        <v xml:space="preserve"> </v>
      </c>
      <c r="BV566" s="495" t="e">
        <f t="shared" si="504"/>
        <v>#DIV/0!</v>
      </c>
      <c r="BW566" s="495" t="e">
        <f t="shared" si="505"/>
        <v>#DIV/0!</v>
      </c>
      <c r="BX566" s="495" t="e">
        <f t="shared" si="506"/>
        <v>#DIV/0!</v>
      </c>
      <c r="BY566" s="495" t="str">
        <f t="shared" si="507"/>
        <v xml:space="preserve"> </v>
      </c>
    </row>
    <row r="567" spans="1:77" s="28" customFormat="1" ht="9" customHeight="1">
      <c r="A567" s="166">
        <v>185</v>
      </c>
      <c r="B567" s="276" t="s">
        <v>860</v>
      </c>
      <c r="C567" s="249">
        <v>488.2</v>
      </c>
      <c r="D567" s="376"/>
      <c r="E567" s="407" t="s">
        <v>1006</v>
      </c>
      <c r="F567" s="249"/>
      <c r="G567" s="249"/>
      <c r="H567" s="407">
        <v>1752828</v>
      </c>
      <c r="I567" s="407">
        <f t="shared" si="535"/>
        <v>0</v>
      </c>
      <c r="J567" s="217">
        <v>0</v>
      </c>
      <c r="K567" s="469">
        <v>0</v>
      </c>
      <c r="L567" s="217">
        <v>0</v>
      </c>
      <c r="M567" s="469">
        <v>0</v>
      </c>
      <c r="N567" s="217">
        <v>0</v>
      </c>
      <c r="O567" s="249">
        <v>0</v>
      </c>
      <c r="P567" s="407">
        <v>0</v>
      </c>
      <c r="Q567" s="249">
        <v>0</v>
      </c>
      <c r="R567" s="407">
        <v>0</v>
      </c>
      <c r="S567" s="249">
        <v>0</v>
      </c>
      <c r="T567" s="407">
        <v>0</v>
      </c>
      <c r="U567" s="130">
        <v>0</v>
      </c>
      <c r="V567" s="407">
        <v>0</v>
      </c>
      <c r="W567" s="410">
        <v>542</v>
      </c>
      <c r="X567" s="407">
        <f t="shared" si="536"/>
        <v>1673950.74</v>
      </c>
      <c r="Y567" s="410">
        <v>0</v>
      </c>
      <c r="Z567" s="410">
        <v>0</v>
      </c>
      <c r="AA567" s="410">
        <v>0</v>
      </c>
      <c r="AB567" s="410">
        <v>0</v>
      </c>
      <c r="AC567" s="410">
        <v>0</v>
      </c>
      <c r="AD567" s="410">
        <v>0</v>
      </c>
      <c r="AE567" s="410">
        <v>0</v>
      </c>
      <c r="AF567" s="410">
        <v>0</v>
      </c>
      <c r="AG567" s="410">
        <v>0</v>
      </c>
      <c r="AH567" s="410">
        <v>0</v>
      </c>
      <c r="AI567" s="410">
        <v>0</v>
      </c>
      <c r="AJ567" s="410">
        <f t="shared" si="537"/>
        <v>52584.84</v>
      </c>
      <c r="AK567" s="410">
        <f t="shared" si="538"/>
        <v>26292.42</v>
      </c>
      <c r="AL567" s="410">
        <v>0</v>
      </c>
      <c r="AM567" s="446"/>
      <c r="AN567" s="446"/>
      <c r="AP567" s="486" t="e">
        <f t="shared" si="480"/>
        <v>#DIV/0!</v>
      </c>
      <c r="AQ567" s="486" t="e">
        <f t="shared" si="486"/>
        <v>#DIV/0!</v>
      </c>
      <c r="AR567" s="486" t="e">
        <f t="shared" si="487"/>
        <v>#DIV/0!</v>
      </c>
      <c r="AS567" s="486" t="e">
        <f t="shared" si="488"/>
        <v>#DIV/0!</v>
      </c>
      <c r="AT567" s="486" t="e">
        <f t="shared" si="489"/>
        <v>#DIV/0!</v>
      </c>
      <c r="AU567" s="486" t="e">
        <f t="shared" si="490"/>
        <v>#DIV/0!</v>
      </c>
      <c r="AV567" s="486" t="e">
        <f t="shared" si="491"/>
        <v>#DIV/0!</v>
      </c>
      <c r="AW567" s="486">
        <f t="shared" si="492"/>
        <v>3088.47</v>
      </c>
      <c r="AX567" s="486" t="e">
        <f t="shared" si="493"/>
        <v>#DIV/0!</v>
      </c>
      <c r="AY567" s="486" t="e">
        <f t="shared" si="494"/>
        <v>#DIV/0!</v>
      </c>
      <c r="AZ567" s="486" t="e">
        <f t="shared" si="495"/>
        <v>#DIV/0!</v>
      </c>
      <c r="BA567" s="486">
        <f t="shared" si="481"/>
        <v>0</v>
      </c>
      <c r="BB567" s="494">
        <v>5155.41</v>
      </c>
      <c r="BC567" s="494">
        <v>2070.12</v>
      </c>
      <c r="BD567" s="494">
        <v>848.92</v>
      </c>
      <c r="BE567" s="494">
        <v>819.73</v>
      </c>
      <c r="BF567" s="494">
        <v>611.5</v>
      </c>
      <c r="BG567" s="494">
        <v>1080.04</v>
      </c>
      <c r="BH567" s="494">
        <v>2671800.0099999998</v>
      </c>
      <c r="BI567" s="494">
        <f t="shared" si="518"/>
        <v>4422.8500000000004</v>
      </c>
      <c r="BJ567" s="494">
        <v>14289.54</v>
      </c>
      <c r="BK567" s="494">
        <v>3389.61</v>
      </c>
      <c r="BL567" s="494">
        <v>5995.76</v>
      </c>
      <c r="BM567" s="494">
        <v>548.62</v>
      </c>
      <c r="BN567" s="495" t="e">
        <f t="shared" si="496"/>
        <v>#DIV/0!</v>
      </c>
      <c r="BO567" s="495" t="e">
        <f t="shared" si="497"/>
        <v>#DIV/0!</v>
      </c>
      <c r="BP567" s="495" t="e">
        <f t="shared" si="498"/>
        <v>#DIV/0!</v>
      </c>
      <c r="BQ567" s="495" t="e">
        <f t="shared" si="499"/>
        <v>#DIV/0!</v>
      </c>
      <c r="BR567" s="495" t="e">
        <f t="shared" si="500"/>
        <v>#DIV/0!</v>
      </c>
      <c r="BS567" s="495" t="e">
        <f t="shared" si="501"/>
        <v>#DIV/0!</v>
      </c>
      <c r="BT567" s="495" t="e">
        <f t="shared" si="502"/>
        <v>#DIV/0!</v>
      </c>
      <c r="BU567" s="495" t="str">
        <f t="shared" si="503"/>
        <v xml:space="preserve"> </v>
      </c>
      <c r="BV567" s="495" t="e">
        <f t="shared" si="504"/>
        <v>#DIV/0!</v>
      </c>
      <c r="BW567" s="495" t="e">
        <f t="shared" si="505"/>
        <v>#DIV/0!</v>
      </c>
      <c r="BX567" s="495" t="e">
        <f t="shared" si="506"/>
        <v>#DIV/0!</v>
      </c>
      <c r="BY567" s="495" t="str">
        <f t="shared" si="507"/>
        <v xml:space="preserve"> </v>
      </c>
    </row>
    <row r="568" spans="1:77" s="28" customFormat="1" ht="24.75" customHeight="1">
      <c r="A568" s="954" t="s">
        <v>436</v>
      </c>
      <c r="B568" s="954"/>
      <c r="C568" s="407">
        <f>SUM(C566:C567)</f>
        <v>912.3</v>
      </c>
      <c r="D568" s="396"/>
      <c r="E568" s="167" t="s">
        <v>391</v>
      </c>
      <c r="F568" s="399"/>
      <c r="G568" s="399"/>
      <c r="H568" s="407">
        <f>SUM(H566:H567)</f>
        <v>3266340</v>
      </c>
      <c r="I568" s="407">
        <f t="shared" ref="I568:AN568" si="539">SUM(I566:I567)</f>
        <v>0</v>
      </c>
      <c r="J568" s="407">
        <f t="shared" si="539"/>
        <v>0</v>
      </c>
      <c r="K568" s="407">
        <f t="shared" si="539"/>
        <v>0</v>
      </c>
      <c r="L568" s="407">
        <f t="shared" si="539"/>
        <v>0</v>
      </c>
      <c r="M568" s="407">
        <f t="shared" si="539"/>
        <v>0</v>
      </c>
      <c r="N568" s="407">
        <f t="shared" si="539"/>
        <v>0</v>
      </c>
      <c r="O568" s="407">
        <f t="shared" si="539"/>
        <v>0</v>
      </c>
      <c r="P568" s="407">
        <f t="shared" si="539"/>
        <v>0</v>
      </c>
      <c r="Q568" s="407">
        <f t="shared" si="539"/>
        <v>0</v>
      </c>
      <c r="R568" s="407">
        <f t="shared" si="539"/>
        <v>0</v>
      </c>
      <c r="S568" s="407">
        <f t="shared" si="539"/>
        <v>0</v>
      </c>
      <c r="T568" s="407">
        <f t="shared" si="539"/>
        <v>0</v>
      </c>
      <c r="U568" s="130">
        <f t="shared" si="539"/>
        <v>0</v>
      </c>
      <c r="V568" s="407">
        <f t="shared" si="539"/>
        <v>0</v>
      </c>
      <c r="W568" s="407">
        <f t="shared" si="539"/>
        <v>1010</v>
      </c>
      <c r="X568" s="407">
        <f t="shared" si="539"/>
        <v>3119354.7</v>
      </c>
      <c r="Y568" s="407">
        <f t="shared" si="539"/>
        <v>0</v>
      </c>
      <c r="Z568" s="407">
        <f t="shared" si="539"/>
        <v>0</v>
      </c>
      <c r="AA568" s="407">
        <f t="shared" si="539"/>
        <v>0</v>
      </c>
      <c r="AB568" s="407">
        <f t="shared" si="539"/>
        <v>0</v>
      </c>
      <c r="AC568" s="407">
        <f t="shared" si="539"/>
        <v>0</v>
      </c>
      <c r="AD568" s="407">
        <f t="shared" si="539"/>
        <v>0</v>
      </c>
      <c r="AE568" s="407">
        <f t="shared" si="539"/>
        <v>0</v>
      </c>
      <c r="AF568" s="407">
        <f t="shared" si="539"/>
        <v>0</v>
      </c>
      <c r="AG568" s="407">
        <f t="shared" si="539"/>
        <v>0</v>
      </c>
      <c r="AH568" s="407">
        <f t="shared" si="539"/>
        <v>0</v>
      </c>
      <c r="AI568" s="407">
        <f t="shared" si="539"/>
        <v>0</v>
      </c>
      <c r="AJ568" s="407">
        <f t="shared" si="539"/>
        <v>97990.2</v>
      </c>
      <c r="AK568" s="407">
        <f t="shared" si="539"/>
        <v>48995.1</v>
      </c>
      <c r="AL568" s="407">
        <f t="shared" si="539"/>
        <v>0</v>
      </c>
      <c r="AM568" s="407">
        <f t="shared" si="539"/>
        <v>0</v>
      </c>
      <c r="AN568" s="407">
        <f t="shared" si="539"/>
        <v>0</v>
      </c>
      <c r="AP568" s="486" t="e">
        <f t="shared" si="480"/>
        <v>#DIV/0!</v>
      </c>
      <c r="AQ568" s="486" t="e">
        <f t="shared" si="486"/>
        <v>#DIV/0!</v>
      </c>
      <c r="AR568" s="497" t="e">
        <f t="shared" si="487"/>
        <v>#DIV/0!</v>
      </c>
      <c r="AS568" s="497" t="e">
        <f t="shared" si="488"/>
        <v>#DIV/0!</v>
      </c>
      <c r="AT568" s="497" t="e">
        <f t="shared" si="489"/>
        <v>#DIV/0!</v>
      </c>
      <c r="AU568" s="497" t="e">
        <f t="shared" si="490"/>
        <v>#DIV/0!</v>
      </c>
      <c r="AV568" s="497" t="e">
        <f t="shared" si="491"/>
        <v>#DIV/0!</v>
      </c>
      <c r="AW568" s="497">
        <f t="shared" si="492"/>
        <v>3088.4700000000003</v>
      </c>
      <c r="AX568" s="497" t="e">
        <f t="shared" si="493"/>
        <v>#DIV/0!</v>
      </c>
      <c r="AY568" s="486" t="e">
        <f t="shared" si="494"/>
        <v>#DIV/0!</v>
      </c>
      <c r="AZ568" s="497" t="e">
        <f t="shared" si="495"/>
        <v>#DIV/0!</v>
      </c>
      <c r="BA568" s="486">
        <f t="shared" si="481"/>
        <v>0</v>
      </c>
      <c r="BB568" s="494">
        <v>5155.41</v>
      </c>
      <c r="BC568" s="494">
        <v>2070.12</v>
      </c>
      <c r="BD568" s="494">
        <v>848.92</v>
      </c>
      <c r="BE568" s="494">
        <v>819.73</v>
      </c>
      <c r="BF568" s="494">
        <v>611.5</v>
      </c>
      <c r="BG568" s="494">
        <v>1080.04</v>
      </c>
      <c r="BH568" s="494">
        <v>2671800.0099999998</v>
      </c>
      <c r="BI568" s="494">
        <f t="shared" si="518"/>
        <v>4422.8500000000004</v>
      </c>
      <c r="BJ568" s="494">
        <v>14289.54</v>
      </c>
      <c r="BK568" s="494">
        <v>3389.61</v>
      </c>
      <c r="BL568" s="494">
        <v>5995.76</v>
      </c>
      <c r="BM568" s="494">
        <v>548.62</v>
      </c>
      <c r="BN568" s="493" t="e">
        <f t="shared" si="496"/>
        <v>#DIV/0!</v>
      </c>
      <c r="BO568" s="493" t="e">
        <f t="shared" si="497"/>
        <v>#DIV/0!</v>
      </c>
      <c r="BP568" s="493" t="e">
        <f t="shared" si="498"/>
        <v>#DIV/0!</v>
      </c>
      <c r="BQ568" s="493" t="e">
        <f t="shared" si="499"/>
        <v>#DIV/0!</v>
      </c>
      <c r="BR568" s="493" t="e">
        <f t="shared" si="500"/>
        <v>#DIV/0!</v>
      </c>
      <c r="BS568" s="493" t="e">
        <f t="shared" si="501"/>
        <v>#DIV/0!</v>
      </c>
      <c r="BT568" s="493" t="e">
        <f t="shared" si="502"/>
        <v>#DIV/0!</v>
      </c>
      <c r="BU568" s="493" t="str">
        <f t="shared" si="503"/>
        <v xml:space="preserve"> </v>
      </c>
      <c r="BV568" s="493" t="e">
        <f t="shared" si="504"/>
        <v>#DIV/0!</v>
      </c>
      <c r="BW568" s="493" t="e">
        <f t="shared" si="505"/>
        <v>#DIV/0!</v>
      </c>
      <c r="BX568" s="493" t="e">
        <f t="shared" si="506"/>
        <v>#DIV/0!</v>
      </c>
      <c r="BY568" s="493" t="str">
        <f t="shared" si="507"/>
        <v xml:space="preserve"> </v>
      </c>
    </row>
    <row r="569" spans="1:77" s="28" customFormat="1" ht="13.5" customHeight="1">
      <c r="A569" s="837" t="s">
        <v>1085</v>
      </c>
      <c r="B569" s="838"/>
      <c r="C569" s="838"/>
      <c r="D569" s="838"/>
      <c r="E569" s="838"/>
      <c r="F569" s="838"/>
      <c r="G569" s="838"/>
      <c r="H569" s="838"/>
      <c r="I569" s="838"/>
      <c r="J569" s="838"/>
      <c r="K569" s="838"/>
      <c r="L569" s="838"/>
      <c r="M569" s="838"/>
      <c r="N569" s="838"/>
      <c r="O569" s="838"/>
      <c r="P569" s="838"/>
      <c r="Q569" s="838"/>
      <c r="R569" s="838"/>
      <c r="S569" s="838"/>
      <c r="T569" s="838"/>
      <c r="U569" s="838"/>
      <c r="V569" s="838"/>
      <c r="W569" s="838"/>
      <c r="X569" s="838"/>
      <c r="Y569" s="838"/>
      <c r="Z569" s="838"/>
      <c r="AA569" s="838"/>
      <c r="AB569" s="838"/>
      <c r="AC569" s="838"/>
      <c r="AD569" s="838"/>
      <c r="AE569" s="838"/>
      <c r="AF569" s="838"/>
      <c r="AG569" s="838"/>
      <c r="AH569" s="838"/>
      <c r="AI569" s="838"/>
      <c r="AJ569" s="838"/>
      <c r="AK569" s="838"/>
      <c r="AL569" s="839"/>
      <c r="AM569" s="280"/>
      <c r="AN569" s="280"/>
      <c r="AP569" s="486" t="e">
        <f t="shared" si="480"/>
        <v>#DIV/0!</v>
      </c>
      <c r="AQ569" s="486" t="e">
        <f t="shared" si="486"/>
        <v>#DIV/0!</v>
      </c>
      <c r="AR569" s="497" t="e">
        <f t="shared" si="487"/>
        <v>#DIV/0!</v>
      </c>
      <c r="AS569" s="497" t="e">
        <f t="shared" si="488"/>
        <v>#DIV/0!</v>
      </c>
      <c r="AT569" s="497" t="e">
        <f t="shared" si="489"/>
        <v>#DIV/0!</v>
      </c>
      <c r="AU569" s="497" t="e">
        <f t="shared" si="490"/>
        <v>#DIV/0!</v>
      </c>
      <c r="AV569" s="497" t="e">
        <f t="shared" si="491"/>
        <v>#DIV/0!</v>
      </c>
      <c r="AW569" s="497" t="e">
        <f t="shared" si="492"/>
        <v>#DIV/0!</v>
      </c>
      <c r="AX569" s="497" t="e">
        <f t="shared" si="493"/>
        <v>#DIV/0!</v>
      </c>
      <c r="AY569" s="486" t="e">
        <f t="shared" si="494"/>
        <v>#DIV/0!</v>
      </c>
      <c r="AZ569" s="497" t="e">
        <f t="shared" si="495"/>
        <v>#DIV/0!</v>
      </c>
      <c r="BA569" s="486" t="e">
        <f t="shared" si="481"/>
        <v>#DIV/0!</v>
      </c>
      <c r="BB569" s="494">
        <v>5155.41</v>
      </c>
      <c r="BC569" s="494">
        <v>2070.12</v>
      </c>
      <c r="BD569" s="494">
        <v>848.92</v>
      </c>
      <c r="BE569" s="494">
        <v>819.73</v>
      </c>
      <c r="BF569" s="494">
        <v>611.5</v>
      </c>
      <c r="BG569" s="494">
        <v>1080.04</v>
      </c>
      <c r="BH569" s="494">
        <v>2671800.0099999998</v>
      </c>
      <c r="BI569" s="494">
        <f t="shared" si="518"/>
        <v>4422.8500000000004</v>
      </c>
      <c r="BJ569" s="494">
        <v>14289.54</v>
      </c>
      <c r="BK569" s="494">
        <v>3389.61</v>
      </c>
      <c r="BL569" s="494">
        <v>5995.76</v>
      </c>
      <c r="BM569" s="494">
        <v>548.62</v>
      </c>
      <c r="BN569" s="493" t="e">
        <f t="shared" si="496"/>
        <v>#DIV/0!</v>
      </c>
      <c r="BO569" s="493" t="e">
        <f t="shared" si="497"/>
        <v>#DIV/0!</v>
      </c>
      <c r="BP569" s="493" t="e">
        <f t="shared" si="498"/>
        <v>#DIV/0!</v>
      </c>
      <c r="BQ569" s="493" t="e">
        <f t="shared" si="499"/>
        <v>#DIV/0!</v>
      </c>
      <c r="BR569" s="493" t="e">
        <f t="shared" si="500"/>
        <v>#DIV/0!</v>
      </c>
      <c r="BS569" s="493" t="e">
        <f t="shared" si="501"/>
        <v>#DIV/0!</v>
      </c>
      <c r="BT569" s="493" t="e">
        <f t="shared" si="502"/>
        <v>#DIV/0!</v>
      </c>
      <c r="BU569" s="493" t="e">
        <f t="shared" si="503"/>
        <v>#DIV/0!</v>
      </c>
      <c r="BV569" s="493" t="e">
        <f t="shared" si="504"/>
        <v>#DIV/0!</v>
      </c>
      <c r="BW569" s="493" t="e">
        <f t="shared" si="505"/>
        <v>#DIV/0!</v>
      </c>
      <c r="BX569" s="493" t="e">
        <f t="shared" si="506"/>
        <v>#DIV/0!</v>
      </c>
      <c r="BY569" s="493" t="e">
        <f t="shared" si="507"/>
        <v>#DIV/0!</v>
      </c>
    </row>
    <row r="570" spans="1:77" s="28" customFormat="1" ht="9" customHeight="1">
      <c r="A570" s="278">
        <v>186</v>
      </c>
      <c r="B570" s="276" t="s">
        <v>887</v>
      </c>
      <c r="C570" s="249">
        <v>8774</v>
      </c>
      <c r="D570" s="376"/>
      <c r="E570" s="407" t="s">
        <v>1005</v>
      </c>
      <c r="F570" s="249"/>
      <c r="G570" s="249"/>
      <c r="H570" s="407">
        <v>7967926.5999999996</v>
      </c>
      <c r="I570" s="407">
        <f t="shared" ref="I570" si="540">J570+L570+N570+P570+R570+T570</f>
        <v>0</v>
      </c>
      <c r="J570" s="217">
        <v>0</v>
      </c>
      <c r="K570" s="469">
        <v>0</v>
      </c>
      <c r="L570" s="217">
        <v>0</v>
      </c>
      <c r="M570" s="469">
        <v>0</v>
      </c>
      <c r="N570" s="217">
        <v>0</v>
      </c>
      <c r="O570" s="249">
        <v>0</v>
      </c>
      <c r="P570" s="407">
        <v>0</v>
      </c>
      <c r="Q570" s="249">
        <v>0</v>
      </c>
      <c r="R570" s="407">
        <v>0</v>
      </c>
      <c r="S570" s="249">
        <v>0</v>
      </c>
      <c r="T570" s="407">
        <v>0</v>
      </c>
      <c r="U570" s="130">
        <v>0</v>
      </c>
      <c r="V570" s="407">
        <v>0</v>
      </c>
      <c r="W570" s="410">
        <v>2389.9</v>
      </c>
      <c r="X570" s="407">
        <f t="shared" ref="X570" si="541">ROUND(H570/100*95.5,2)</f>
        <v>7609369.9000000004</v>
      </c>
      <c r="Y570" s="410">
        <v>0</v>
      </c>
      <c r="Z570" s="410">
        <v>0</v>
      </c>
      <c r="AA570" s="410">
        <v>0</v>
      </c>
      <c r="AB570" s="410">
        <v>0</v>
      </c>
      <c r="AC570" s="410">
        <v>0</v>
      </c>
      <c r="AD570" s="410">
        <v>0</v>
      </c>
      <c r="AE570" s="410">
        <v>0</v>
      </c>
      <c r="AF570" s="410">
        <v>0</v>
      </c>
      <c r="AG570" s="410">
        <v>0</v>
      </c>
      <c r="AH570" s="410">
        <v>0</v>
      </c>
      <c r="AI570" s="410">
        <v>0</v>
      </c>
      <c r="AJ570" s="410">
        <f t="shared" ref="AJ570" si="542">ROUND(H570/100*3,2)</f>
        <v>239037.8</v>
      </c>
      <c r="AK570" s="410">
        <f t="shared" ref="AK570" si="543">ROUND(H570/100*1.5,2)</f>
        <v>119518.9</v>
      </c>
      <c r="AL570" s="410">
        <v>0</v>
      </c>
      <c r="AM570" s="446"/>
      <c r="AN570" s="446"/>
      <c r="AP570" s="486" t="e">
        <f t="shared" si="480"/>
        <v>#DIV/0!</v>
      </c>
      <c r="AQ570" s="486" t="e">
        <f t="shared" si="486"/>
        <v>#DIV/0!</v>
      </c>
      <c r="AR570" s="486" t="e">
        <f t="shared" si="487"/>
        <v>#DIV/0!</v>
      </c>
      <c r="AS570" s="486" t="e">
        <f t="shared" si="488"/>
        <v>#DIV/0!</v>
      </c>
      <c r="AT570" s="486" t="e">
        <f t="shared" si="489"/>
        <v>#DIV/0!</v>
      </c>
      <c r="AU570" s="486" t="e">
        <f t="shared" si="490"/>
        <v>#DIV/0!</v>
      </c>
      <c r="AV570" s="486" t="e">
        <f t="shared" si="491"/>
        <v>#DIV/0!</v>
      </c>
      <c r="AW570" s="486">
        <f t="shared" si="492"/>
        <v>3183.9699987447175</v>
      </c>
      <c r="AX570" s="486" t="e">
        <f t="shared" si="493"/>
        <v>#DIV/0!</v>
      </c>
      <c r="AY570" s="486" t="e">
        <f t="shared" si="494"/>
        <v>#DIV/0!</v>
      </c>
      <c r="AZ570" s="486" t="e">
        <f t="shared" si="495"/>
        <v>#DIV/0!</v>
      </c>
      <c r="BA570" s="486">
        <f t="shared" si="481"/>
        <v>0</v>
      </c>
      <c r="BB570" s="494">
        <v>5155.41</v>
      </c>
      <c r="BC570" s="494">
        <v>2070.12</v>
      </c>
      <c r="BD570" s="494">
        <v>848.92</v>
      </c>
      <c r="BE570" s="494">
        <v>819.73</v>
      </c>
      <c r="BF570" s="494">
        <v>611.5</v>
      </c>
      <c r="BG570" s="494">
        <v>1080.04</v>
      </c>
      <c r="BH570" s="494">
        <v>2671800.0099999998</v>
      </c>
      <c r="BI570" s="494">
        <f t="shared" si="518"/>
        <v>4607.6000000000004</v>
      </c>
      <c r="BJ570" s="494">
        <v>14289.54</v>
      </c>
      <c r="BK570" s="494">
        <v>3389.61</v>
      </c>
      <c r="BL570" s="494">
        <v>5995.76</v>
      </c>
      <c r="BM570" s="494">
        <v>548.62</v>
      </c>
      <c r="BN570" s="495" t="e">
        <f t="shared" si="496"/>
        <v>#DIV/0!</v>
      </c>
      <c r="BO570" s="495" t="e">
        <f t="shared" si="497"/>
        <v>#DIV/0!</v>
      </c>
      <c r="BP570" s="495" t="e">
        <f t="shared" si="498"/>
        <v>#DIV/0!</v>
      </c>
      <c r="BQ570" s="495" t="e">
        <f t="shared" si="499"/>
        <v>#DIV/0!</v>
      </c>
      <c r="BR570" s="495" t="e">
        <f t="shared" si="500"/>
        <v>#DIV/0!</v>
      </c>
      <c r="BS570" s="495" t="e">
        <f t="shared" si="501"/>
        <v>#DIV/0!</v>
      </c>
      <c r="BT570" s="495" t="e">
        <f t="shared" si="502"/>
        <v>#DIV/0!</v>
      </c>
      <c r="BU570" s="495" t="str">
        <f t="shared" si="503"/>
        <v xml:space="preserve"> </v>
      </c>
      <c r="BV570" s="495" t="e">
        <f t="shared" si="504"/>
        <v>#DIV/0!</v>
      </c>
      <c r="BW570" s="495" t="e">
        <f t="shared" si="505"/>
        <v>#DIV/0!</v>
      </c>
      <c r="BX570" s="495" t="e">
        <f t="shared" si="506"/>
        <v>#DIV/0!</v>
      </c>
      <c r="BY570" s="495" t="str">
        <f t="shared" si="507"/>
        <v xml:space="preserve"> </v>
      </c>
    </row>
    <row r="571" spans="1:77" s="28" customFormat="1" ht="33.75" customHeight="1">
      <c r="A571" s="954" t="s">
        <v>1086</v>
      </c>
      <c r="B571" s="954"/>
      <c r="C571" s="407">
        <f>SUM(C570)</f>
        <v>8774</v>
      </c>
      <c r="D571" s="396"/>
      <c r="E571" s="407" t="s">
        <v>391</v>
      </c>
      <c r="F571" s="249"/>
      <c r="G571" s="249"/>
      <c r="H571" s="407">
        <f>SUM(H570)</f>
        <v>7967926.5999999996</v>
      </c>
      <c r="I571" s="407">
        <f t="shared" ref="I571:AL571" si="544">SUM(I570)</f>
        <v>0</v>
      </c>
      <c r="J571" s="407">
        <f t="shared" si="544"/>
        <v>0</v>
      </c>
      <c r="K571" s="407">
        <f t="shared" si="544"/>
        <v>0</v>
      </c>
      <c r="L571" s="407">
        <f t="shared" si="544"/>
        <v>0</v>
      </c>
      <c r="M571" s="407">
        <f t="shared" si="544"/>
        <v>0</v>
      </c>
      <c r="N571" s="407">
        <f t="shared" si="544"/>
        <v>0</v>
      </c>
      <c r="O571" s="407">
        <f t="shared" si="544"/>
        <v>0</v>
      </c>
      <c r="P571" s="407">
        <f t="shared" si="544"/>
        <v>0</v>
      </c>
      <c r="Q571" s="407">
        <f t="shared" si="544"/>
        <v>0</v>
      </c>
      <c r="R571" s="407">
        <f t="shared" si="544"/>
        <v>0</v>
      </c>
      <c r="S571" s="407">
        <f t="shared" si="544"/>
        <v>0</v>
      </c>
      <c r="T571" s="407">
        <f t="shared" si="544"/>
        <v>0</v>
      </c>
      <c r="U571" s="130">
        <f t="shared" si="544"/>
        <v>0</v>
      </c>
      <c r="V571" s="407">
        <f t="shared" si="544"/>
        <v>0</v>
      </c>
      <c r="W571" s="407">
        <f t="shared" si="544"/>
        <v>2389.9</v>
      </c>
      <c r="X571" s="407">
        <f t="shared" si="544"/>
        <v>7609369.9000000004</v>
      </c>
      <c r="Y571" s="407">
        <f t="shared" si="544"/>
        <v>0</v>
      </c>
      <c r="Z571" s="407">
        <f t="shared" si="544"/>
        <v>0</v>
      </c>
      <c r="AA571" s="407">
        <f t="shared" si="544"/>
        <v>0</v>
      </c>
      <c r="AB571" s="407">
        <f t="shared" si="544"/>
        <v>0</v>
      </c>
      <c r="AC571" s="407">
        <f t="shared" si="544"/>
        <v>0</v>
      </c>
      <c r="AD571" s="407">
        <f t="shared" si="544"/>
        <v>0</v>
      </c>
      <c r="AE571" s="407">
        <f t="shared" si="544"/>
        <v>0</v>
      </c>
      <c r="AF571" s="407">
        <f t="shared" si="544"/>
        <v>0</v>
      </c>
      <c r="AG571" s="407">
        <f t="shared" si="544"/>
        <v>0</v>
      </c>
      <c r="AH571" s="407">
        <f t="shared" si="544"/>
        <v>0</v>
      </c>
      <c r="AI571" s="407">
        <f t="shared" si="544"/>
        <v>0</v>
      </c>
      <c r="AJ571" s="407">
        <f t="shared" si="544"/>
        <v>239037.8</v>
      </c>
      <c r="AK571" s="407">
        <f t="shared" si="544"/>
        <v>119518.9</v>
      </c>
      <c r="AL571" s="407">
        <f t="shared" si="544"/>
        <v>0</v>
      </c>
      <c r="AM571" s="280"/>
      <c r="AN571" s="280"/>
      <c r="AP571" s="486" t="e">
        <f t="shared" si="480"/>
        <v>#DIV/0!</v>
      </c>
      <c r="AQ571" s="486" t="e">
        <f t="shared" si="486"/>
        <v>#DIV/0!</v>
      </c>
      <c r="AR571" s="497" t="e">
        <f t="shared" si="487"/>
        <v>#DIV/0!</v>
      </c>
      <c r="AS571" s="497" t="e">
        <f t="shared" si="488"/>
        <v>#DIV/0!</v>
      </c>
      <c r="AT571" s="497" t="e">
        <f t="shared" si="489"/>
        <v>#DIV/0!</v>
      </c>
      <c r="AU571" s="497" t="e">
        <f t="shared" si="490"/>
        <v>#DIV/0!</v>
      </c>
      <c r="AV571" s="497" t="e">
        <f t="shared" si="491"/>
        <v>#DIV/0!</v>
      </c>
      <c r="AW571" s="497">
        <f t="shared" si="492"/>
        <v>3183.9699987447175</v>
      </c>
      <c r="AX571" s="497" t="e">
        <f t="shared" si="493"/>
        <v>#DIV/0!</v>
      </c>
      <c r="AY571" s="486" t="e">
        <f t="shared" si="494"/>
        <v>#DIV/0!</v>
      </c>
      <c r="AZ571" s="497" t="e">
        <f t="shared" si="495"/>
        <v>#DIV/0!</v>
      </c>
      <c r="BA571" s="486">
        <f t="shared" si="481"/>
        <v>0</v>
      </c>
      <c r="BB571" s="494">
        <v>5155.41</v>
      </c>
      <c r="BC571" s="494">
        <v>2070.12</v>
      </c>
      <c r="BD571" s="494">
        <v>848.92</v>
      </c>
      <c r="BE571" s="494">
        <v>819.73</v>
      </c>
      <c r="BF571" s="494">
        <v>611.5</v>
      </c>
      <c r="BG571" s="494">
        <v>1080.04</v>
      </c>
      <c r="BH571" s="494">
        <v>2671800.0099999998</v>
      </c>
      <c r="BI571" s="494">
        <f t="shared" si="518"/>
        <v>4422.8500000000004</v>
      </c>
      <c r="BJ571" s="494">
        <v>14289.54</v>
      </c>
      <c r="BK571" s="494">
        <v>3389.61</v>
      </c>
      <c r="BL571" s="494">
        <v>5995.76</v>
      </c>
      <c r="BM571" s="494">
        <v>548.62</v>
      </c>
      <c r="BN571" s="493" t="e">
        <f t="shared" si="496"/>
        <v>#DIV/0!</v>
      </c>
      <c r="BO571" s="493" t="e">
        <f t="shared" si="497"/>
        <v>#DIV/0!</v>
      </c>
      <c r="BP571" s="493" t="e">
        <f t="shared" si="498"/>
        <v>#DIV/0!</v>
      </c>
      <c r="BQ571" s="493" t="e">
        <f t="shared" si="499"/>
        <v>#DIV/0!</v>
      </c>
      <c r="BR571" s="493" t="e">
        <f t="shared" si="500"/>
        <v>#DIV/0!</v>
      </c>
      <c r="BS571" s="493" t="e">
        <f t="shared" si="501"/>
        <v>#DIV/0!</v>
      </c>
      <c r="BT571" s="493" t="e">
        <f t="shared" si="502"/>
        <v>#DIV/0!</v>
      </c>
      <c r="BU571" s="493" t="str">
        <f t="shared" si="503"/>
        <v xml:space="preserve"> </v>
      </c>
      <c r="BV571" s="493" t="e">
        <f t="shared" si="504"/>
        <v>#DIV/0!</v>
      </c>
      <c r="BW571" s="493" t="e">
        <f t="shared" si="505"/>
        <v>#DIV/0!</v>
      </c>
      <c r="BX571" s="493" t="e">
        <f t="shared" si="506"/>
        <v>#DIV/0!</v>
      </c>
      <c r="BY571" s="493" t="str">
        <f t="shared" si="507"/>
        <v xml:space="preserve"> </v>
      </c>
    </row>
    <row r="572" spans="1:77" s="28" customFormat="1" ht="15.75" customHeight="1">
      <c r="A572" s="837" t="s">
        <v>305</v>
      </c>
      <c r="B572" s="838"/>
      <c r="C572" s="838"/>
      <c r="D572" s="838"/>
      <c r="E572" s="838"/>
      <c r="F572" s="838"/>
      <c r="G572" s="838"/>
      <c r="H572" s="838"/>
      <c r="I572" s="838"/>
      <c r="J572" s="838"/>
      <c r="K572" s="838"/>
      <c r="L572" s="838"/>
      <c r="M572" s="838"/>
      <c r="N572" s="838"/>
      <c r="O572" s="838"/>
      <c r="P572" s="838"/>
      <c r="Q572" s="838"/>
      <c r="R572" s="838"/>
      <c r="S572" s="838"/>
      <c r="T572" s="838"/>
      <c r="U572" s="838"/>
      <c r="V572" s="838"/>
      <c r="W572" s="838"/>
      <c r="X572" s="838"/>
      <c r="Y572" s="838"/>
      <c r="Z572" s="838"/>
      <c r="AA572" s="838"/>
      <c r="AB572" s="838"/>
      <c r="AC572" s="838"/>
      <c r="AD572" s="838"/>
      <c r="AE572" s="838"/>
      <c r="AF572" s="838"/>
      <c r="AG572" s="838"/>
      <c r="AH572" s="838"/>
      <c r="AI572" s="838"/>
      <c r="AJ572" s="838"/>
      <c r="AK572" s="838"/>
      <c r="AL572" s="839"/>
      <c r="AM572" s="280"/>
      <c r="AN572" s="280"/>
      <c r="AP572" s="486" t="e">
        <f t="shared" si="480"/>
        <v>#DIV/0!</v>
      </c>
      <c r="AQ572" s="486" t="e">
        <f t="shared" si="486"/>
        <v>#DIV/0!</v>
      </c>
      <c r="AR572" s="497" t="e">
        <f t="shared" si="487"/>
        <v>#DIV/0!</v>
      </c>
      <c r="AS572" s="497" t="e">
        <f t="shared" si="488"/>
        <v>#DIV/0!</v>
      </c>
      <c r="AT572" s="497" t="e">
        <f t="shared" si="489"/>
        <v>#DIV/0!</v>
      </c>
      <c r="AU572" s="497" t="e">
        <f t="shared" si="490"/>
        <v>#DIV/0!</v>
      </c>
      <c r="AV572" s="497" t="e">
        <f t="shared" si="491"/>
        <v>#DIV/0!</v>
      </c>
      <c r="AW572" s="497" t="e">
        <f t="shared" si="492"/>
        <v>#DIV/0!</v>
      </c>
      <c r="AX572" s="497" t="e">
        <f t="shared" si="493"/>
        <v>#DIV/0!</v>
      </c>
      <c r="AY572" s="486" t="e">
        <f t="shared" si="494"/>
        <v>#DIV/0!</v>
      </c>
      <c r="AZ572" s="497" t="e">
        <f t="shared" si="495"/>
        <v>#DIV/0!</v>
      </c>
      <c r="BA572" s="486" t="e">
        <f t="shared" si="481"/>
        <v>#DIV/0!</v>
      </c>
      <c r="BB572" s="494">
        <v>5155.41</v>
      </c>
      <c r="BC572" s="494">
        <v>2070.12</v>
      </c>
      <c r="BD572" s="494">
        <v>848.92</v>
      </c>
      <c r="BE572" s="494">
        <v>819.73</v>
      </c>
      <c r="BF572" s="494">
        <v>611.5</v>
      </c>
      <c r="BG572" s="494">
        <v>1080.04</v>
      </c>
      <c r="BH572" s="494">
        <v>2671800.0099999998</v>
      </c>
      <c r="BI572" s="494">
        <f t="shared" si="518"/>
        <v>4422.8500000000004</v>
      </c>
      <c r="BJ572" s="494">
        <v>14289.54</v>
      </c>
      <c r="BK572" s="494">
        <v>3389.61</v>
      </c>
      <c r="BL572" s="494">
        <v>5995.76</v>
      </c>
      <c r="BM572" s="494">
        <v>548.62</v>
      </c>
      <c r="BN572" s="493" t="e">
        <f t="shared" si="496"/>
        <v>#DIV/0!</v>
      </c>
      <c r="BO572" s="493" t="e">
        <f t="shared" si="497"/>
        <v>#DIV/0!</v>
      </c>
      <c r="BP572" s="493" t="e">
        <f t="shared" si="498"/>
        <v>#DIV/0!</v>
      </c>
      <c r="BQ572" s="493" t="e">
        <f t="shared" si="499"/>
        <v>#DIV/0!</v>
      </c>
      <c r="BR572" s="493" t="e">
        <f t="shared" si="500"/>
        <v>#DIV/0!</v>
      </c>
      <c r="BS572" s="493" t="e">
        <f t="shared" si="501"/>
        <v>#DIV/0!</v>
      </c>
      <c r="BT572" s="493" t="e">
        <f t="shared" si="502"/>
        <v>#DIV/0!</v>
      </c>
      <c r="BU572" s="493" t="e">
        <f t="shared" si="503"/>
        <v>#DIV/0!</v>
      </c>
      <c r="BV572" s="493" t="e">
        <f t="shared" si="504"/>
        <v>#DIV/0!</v>
      </c>
      <c r="BW572" s="493" t="e">
        <f t="shared" si="505"/>
        <v>#DIV/0!</v>
      </c>
      <c r="BX572" s="493" t="e">
        <f t="shared" si="506"/>
        <v>#DIV/0!</v>
      </c>
      <c r="BY572" s="493" t="e">
        <f t="shared" si="507"/>
        <v>#DIV/0!</v>
      </c>
    </row>
    <row r="573" spans="1:77" s="28" customFormat="1" ht="9" customHeight="1">
      <c r="A573" s="278">
        <v>187</v>
      </c>
      <c r="B573" s="276" t="s">
        <v>888</v>
      </c>
      <c r="C573" s="249">
        <v>602.1</v>
      </c>
      <c r="D573" s="376"/>
      <c r="E573" s="407" t="s">
        <v>1006</v>
      </c>
      <c r="F573" s="249"/>
      <c r="G573" s="249"/>
      <c r="H573" s="407">
        <v>1734588.24</v>
      </c>
      <c r="I573" s="407">
        <f t="shared" ref="I573" si="545">J573+L573+N573+P573+R573+T573</f>
        <v>0</v>
      </c>
      <c r="J573" s="217">
        <v>0</v>
      </c>
      <c r="K573" s="469">
        <v>0</v>
      </c>
      <c r="L573" s="217">
        <v>0</v>
      </c>
      <c r="M573" s="469">
        <v>0</v>
      </c>
      <c r="N573" s="217">
        <v>0</v>
      </c>
      <c r="O573" s="249">
        <v>0</v>
      </c>
      <c r="P573" s="407">
        <v>0</v>
      </c>
      <c r="Q573" s="249">
        <v>0</v>
      </c>
      <c r="R573" s="407">
        <v>0</v>
      </c>
      <c r="S573" s="249">
        <v>0</v>
      </c>
      <c r="T573" s="407">
        <v>0</v>
      </c>
      <c r="U573" s="130">
        <v>0</v>
      </c>
      <c r="V573" s="407">
        <v>0</v>
      </c>
      <c r="W573" s="410">
        <v>536.36</v>
      </c>
      <c r="X573" s="407">
        <f t="shared" ref="X573" si="546">ROUND(H573/100*95.5,2)</f>
        <v>1656531.77</v>
      </c>
      <c r="Y573" s="410">
        <v>0</v>
      </c>
      <c r="Z573" s="410">
        <v>0</v>
      </c>
      <c r="AA573" s="410">
        <v>0</v>
      </c>
      <c r="AB573" s="410">
        <v>0</v>
      </c>
      <c r="AC573" s="410">
        <v>0</v>
      </c>
      <c r="AD573" s="410">
        <v>0</v>
      </c>
      <c r="AE573" s="410">
        <v>0</v>
      </c>
      <c r="AF573" s="410">
        <v>0</v>
      </c>
      <c r="AG573" s="410">
        <v>0</v>
      </c>
      <c r="AH573" s="410">
        <v>0</v>
      </c>
      <c r="AI573" s="410">
        <v>0</v>
      </c>
      <c r="AJ573" s="410">
        <f t="shared" ref="AJ573" si="547">ROUND(H573/100*3,2)</f>
        <v>52037.65</v>
      </c>
      <c r="AK573" s="410">
        <f t="shared" ref="AK573" si="548">ROUND(H573/100*1.5,2)</f>
        <v>26018.82</v>
      </c>
      <c r="AL573" s="410">
        <v>0</v>
      </c>
      <c r="AM573" s="446"/>
      <c r="AN573" s="446"/>
      <c r="AP573" s="486" t="e">
        <f t="shared" si="480"/>
        <v>#DIV/0!</v>
      </c>
      <c r="AQ573" s="486" t="e">
        <f t="shared" si="486"/>
        <v>#DIV/0!</v>
      </c>
      <c r="AR573" s="486" t="e">
        <f t="shared" si="487"/>
        <v>#DIV/0!</v>
      </c>
      <c r="AS573" s="486" t="e">
        <f t="shared" si="488"/>
        <v>#DIV/0!</v>
      </c>
      <c r="AT573" s="486" t="e">
        <f t="shared" si="489"/>
        <v>#DIV/0!</v>
      </c>
      <c r="AU573" s="486" t="e">
        <f t="shared" si="490"/>
        <v>#DIV/0!</v>
      </c>
      <c r="AV573" s="486" t="e">
        <f t="shared" si="491"/>
        <v>#DIV/0!</v>
      </c>
      <c r="AW573" s="486">
        <f t="shared" si="492"/>
        <v>3088.4700014915356</v>
      </c>
      <c r="AX573" s="486" t="e">
        <f t="shared" si="493"/>
        <v>#DIV/0!</v>
      </c>
      <c r="AY573" s="486" t="e">
        <f t="shared" si="494"/>
        <v>#DIV/0!</v>
      </c>
      <c r="AZ573" s="486" t="e">
        <f t="shared" si="495"/>
        <v>#DIV/0!</v>
      </c>
      <c r="BA573" s="486">
        <f t="shared" si="481"/>
        <v>0</v>
      </c>
      <c r="BB573" s="494">
        <v>5155.41</v>
      </c>
      <c r="BC573" s="494">
        <v>2070.12</v>
      </c>
      <c r="BD573" s="494">
        <v>848.92</v>
      </c>
      <c r="BE573" s="494">
        <v>819.73</v>
      </c>
      <c r="BF573" s="494">
        <v>611.5</v>
      </c>
      <c r="BG573" s="494">
        <v>1080.04</v>
      </c>
      <c r="BH573" s="494">
        <v>2671800.0099999998</v>
      </c>
      <c r="BI573" s="494">
        <f t="shared" si="518"/>
        <v>4422.8500000000004</v>
      </c>
      <c r="BJ573" s="494">
        <v>14289.54</v>
      </c>
      <c r="BK573" s="494">
        <v>3389.61</v>
      </c>
      <c r="BL573" s="494">
        <v>5995.76</v>
      </c>
      <c r="BM573" s="494">
        <v>548.62</v>
      </c>
      <c r="BN573" s="495" t="e">
        <f t="shared" si="496"/>
        <v>#DIV/0!</v>
      </c>
      <c r="BO573" s="495" t="e">
        <f t="shared" si="497"/>
        <v>#DIV/0!</v>
      </c>
      <c r="BP573" s="495" t="e">
        <f t="shared" si="498"/>
        <v>#DIV/0!</v>
      </c>
      <c r="BQ573" s="495" t="e">
        <f t="shared" si="499"/>
        <v>#DIV/0!</v>
      </c>
      <c r="BR573" s="495" t="e">
        <f t="shared" si="500"/>
        <v>#DIV/0!</v>
      </c>
      <c r="BS573" s="495" t="e">
        <f t="shared" si="501"/>
        <v>#DIV/0!</v>
      </c>
      <c r="BT573" s="495" t="e">
        <f t="shared" si="502"/>
        <v>#DIV/0!</v>
      </c>
      <c r="BU573" s="495" t="str">
        <f t="shared" si="503"/>
        <v xml:space="preserve"> </v>
      </c>
      <c r="BV573" s="495" t="e">
        <f t="shared" si="504"/>
        <v>#DIV/0!</v>
      </c>
      <c r="BW573" s="495" t="e">
        <f t="shared" si="505"/>
        <v>#DIV/0!</v>
      </c>
      <c r="BX573" s="495" t="e">
        <f t="shared" si="506"/>
        <v>#DIV/0!</v>
      </c>
      <c r="BY573" s="495" t="str">
        <f t="shared" si="507"/>
        <v xml:space="preserve"> </v>
      </c>
    </row>
    <row r="574" spans="1:77" s="28" customFormat="1" ht="35.25" customHeight="1">
      <c r="A574" s="954" t="s">
        <v>300</v>
      </c>
      <c r="B574" s="954"/>
      <c r="C574" s="407">
        <f>SUM(C573)</f>
        <v>602.1</v>
      </c>
      <c r="D574" s="396"/>
      <c r="E574" s="407" t="s">
        <v>391</v>
      </c>
      <c r="F574" s="249"/>
      <c r="G574" s="249"/>
      <c r="H574" s="407">
        <f>SUM(H573)</f>
        <v>1734588.24</v>
      </c>
      <c r="I574" s="407">
        <f t="shared" ref="I574:AL574" si="549">SUM(I573)</f>
        <v>0</v>
      </c>
      <c r="J574" s="407">
        <f t="shared" si="549"/>
        <v>0</v>
      </c>
      <c r="K574" s="407">
        <f t="shared" si="549"/>
        <v>0</v>
      </c>
      <c r="L574" s="407">
        <f t="shared" si="549"/>
        <v>0</v>
      </c>
      <c r="M574" s="407">
        <f t="shared" si="549"/>
        <v>0</v>
      </c>
      <c r="N574" s="407">
        <f t="shared" si="549"/>
        <v>0</v>
      </c>
      <c r="O574" s="407">
        <f t="shared" si="549"/>
        <v>0</v>
      </c>
      <c r="P574" s="407">
        <f t="shared" si="549"/>
        <v>0</v>
      </c>
      <c r="Q574" s="407">
        <f t="shared" si="549"/>
        <v>0</v>
      </c>
      <c r="R574" s="407">
        <f t="shared" si="549"/>
        <v>0</v>
      </c>
      <c r="S574" s="407">
        <f t="shared" si="549"/>
        <v>0</v>
      </c>
      <c r="T574" s="407">
        <f t="shared" si="549"/>
        <v>0</v>
      </c>
      <c r="U574" s="130">
        <f t="shared" si="549"/>
        <v>0</v>
      </c>
      <c r="V574" s="407">
        <f t="shared" si="549"/>
        <v>0</v>
      </c>
      <c r="W574" s="407">
        <f t="shared" si="549"/>
        <v>536.36</v>
      </c>
      <c r="X574" s="407">
        <f t="shared" si="549"/>
        <v>1656531.77</v>
      </c>
      <c r="Y574" s="407">
        <f t="shared" si="549"/>
        <v>0</v>
      </c>
      <c r="Z574" s="407">
        <f t="shared" si="549"/>
        <v>0</v>
      </c>
      <c r="AA574" s="407">
        <f t="shared" si="549"/>
        <v>0</v>
      </c>
      <c r="AB574" s="407">
        <f t="shared" si="549"/>
        <v>0</v>
      </c>
      <c r="AC574" s="407">
        <f t="shared" si="549"/>
        <v>0</v>
      </c>
      <c r="AD574" s="407">
        <f t="shared" si="549"/>
        <v>0</v>
      </c>
      <c r="AE574" s="407">
        <f t="shared" si="549"/>
        <v>0</v>
      </c>
      <c r="AF574" s="407">
        <f t="shared" si="549"/>
        <v>0</v>
      </c>
      <c r="AG574" s="407">
        <f t="shared" si="549"/>
        <v>0</v>
      </c>
      <c r="AH574" s="407">
        <f t="shared" si="549"/>
        <v>0</v>
      </c>
      <c r="AI574" s="407">
        <f t="shared" si="549"/>
        <v>0</v>
      </c>
      <c r="AJ574" s="407">
        <f t="shared" si="549"/>
        <v>52037.65</v>
      </c>
      <c r="AK574" s="407">
        <f t="shared" si="549"/>
        <v>26018.82</v>
      </c>
      <c r="AL574" s="407">
        <f t="shared" si="549"/>
        <v>0</v>
      </c>
      <c r="AM574" s="280"/>
      <c r="AN574" s="280"/>
      <c r="AP574" s="486" t="e">
        <f t="shared" si="480"/>
        <v>#DIV/0!</v>
      </c>
      <c r="AQ574" s="486" t="e">
        <f t="shared" si="486"/>
        <v>#DIV/0!</v>
      </c>
      <c r="AR574" s="497" t="e">
        <f t="shared" si="487"/>
        <v>#DIV/0!</v>
      </c>
      <c r="AS574" s="497" t="e">
        <f t="shared" si="488"/>
        <v>#DIV/0!</v>
      </c>
      <c r="AT574" s="497" t="e">
        <f t="shared" si="489"/>
        <v>#DIV/0!</v>
      </c>
      <c r="AU574" s="497" t="e">
        <f t="shared" si="490"/>
        <v>#DIV/0!</v>
      </c>
      <c r="AV574" s="497" t="e">
        <f t="shared" si="491"/>
        <v>#DIV/0!</v>
      </c>
      <c r="AW574" s="497">
        <f t="shared" si="492"/>
        <v>3088.4700014915356</v>
      </c>
      <c r="AX574" s="497" t="e">
        <f t="shared" si="493"/>
        <v>#DIV/0!</v>
      </c>
      <c r="AY574" s="486" t="e">
        <f t="shared" si="494"/>
        <v>#DIV/0!</v>
      </c>
      <c r="AZ574" s="497" t="e">
        <f t="shared" si="495"/>
        <v>#DIV/0!</v>
      </c>
      <c r="BA574" s="486">
        <f t="shared" si="481"/>
        <v>0</v>
      </c>
      <c r="BB574" s="494">
        <v>5155.41</v>
      </c>
      <c r="BC574" s="494">
        <v>2070.12</v>
      </c>
      <c r="BD574" s="494">
        <v>848.92</v>
      </c>
      <c r="BE574" s="494">
        <v>819.73</v>
      </c>
      <c r="BF574" s="494">
        <v>611.5</v>
      </c>
      <c r="BG574" s="494">
        <v>1080.04</v>
      </c>
      <c r="BH574" s="494">
        <v>2671800.0099999998</v>
      </c>
      <c r="BI574" s="494">
        <f t="shared" si="518"/>
        <v>4422.8500000000004</v>
      </c>
      <c r="BJ574" s="494">
        <v>14289.54</v>
      </c>
      <c r="BK574" s="494">
        <v>3389.61</v>
      </c>
      <c r="BL574" s="494">
        <v>5995.76</v>
      </c>
      <c r="BM574" s="494">
        <v>548.62</v>
      </c>
      <c r="BN574" s="493" t="e">
        <f t="shared" si="496"/>
        <v>#DIV/0!</v>
      </c>
      <c r="BO574" s="493" t="e">
        <f t="shared" si="497"/>
        <v>#DIV/0!</v>
      </c>
      <c r="BP574" s="493" t="e">
        <f t="shared" si="498"/>
        <v>#DIV/0!</v>
      </c>
      <c r="BQ574" s="493" t="e">
        <f t="shared" si="499"/>
        <v>#DIV/0!</v>
      </c>
      <c r="BR574" s="493" t="e">
        <f t="shared" si="500"/>
        <v>#DIV/0!</v>
      </c>
      <c r="BS574" s="493" t="e">
        <f t="shared" si="501"/>
        <v>#DIV/0!</v>
      </c>
      <c r="BT574" s="493" t="e">
        <f t="shared" si="502"/>
        <v>#DIV/0!</v>
      </c>
      <c r="BU574" s="493" t="str">
        <f t="shared" si="503"/>
        <v xml:space="preserve"> </v>
      </c>
      <c r="BV574" s="493" t="e">
        <f t="shared" si="504"/>
        <v>#DIV/0!</v>
      </c>
      <c r="BW574" s="493" t="e">
        <f t="shared" si="505"/>
        <v>#DIV/0!</v>
      </c>
      <c r="BX574" s="493" t="e">
        <f t="shared" si="506"/>
        <v>#DIV/0!</v>
      </c>
      <c r="BY574" s="493" t="str">
        <f t="shared" si="507"/>
        <v xml:space="preserve"> </v>
      </c>
    </row>
    <row r="575" spans="1:77" s="28" customFormat="1" ht="14.25" customHeight="1">
      <c r="A575" s="837" t="s">
        <v>295</v>
      </c>
      <c r="B575" s="838"/>
      <c r="C575" s="838"/>
      <c r="D575" s="838"/>
      <c r="E575" s="838"/>
      <c r="F575" s="838"/>
      <c r="G575" s="838"/>
      <c r="H575" s="838"/>
      <c r="I575" s="838"/>
      <c r="J575" s="838"/>
      <c r="K575" s="838"/>
      <c r="L575" s="838"/>
      <c r="M575" s="838"/>
      <c r="N575" s="838"/>
      <c r="O575" s="838"/>
      <c r="P575" s="838"/>
      <c r="Q575" s="838"/>
      <c r="R575" s="838"/>
      <c r="S575" s="838"/>
      <c r="T575" s="838"/>
      <c r="U575" s="838"/>
      <c r="V575" s="838"/>
      <c r="W575" s="838"/>
      <c r="X575" s="838"/>
      <c r="Y575" s="838"/>
      <c r="Z575" s="838"/>
      <c r="AA575" s="838"/>
      <c r="AB575" s="838"/>
      <c r="AC575" s="838"/>
      <c r="AD575" s="838"/>
      <c r="AE575" s="838"/>
      <c r="AF575" s="838"/>
      <c r="AG575" s="838"/>
      <c r="AH575" s="838"/>
      <c r="AI575" s="838"/>
      <c r="AJ575" s="838"/>
      <c r="AK575" s="838"/>
      <c r="AL575" s="839"/>
      <c r="AM575" s="280"/>
      <c r="AN575" s="280"/>
      <c r="AP575" s="486" t="e">
        <f t="shared" si="480"/>
        <v>#DIV/0!</v>
      </c>
      <c r="AQ575" s="486" t="e">
        <f t="shared" si="486"/>
        <v>#DIV/0!</v>
      </c>
      <c r="AR575" s="497" t="e">
        <f t="shared" si="487"/>
        <v>#DIV/0!</v>
      </c>
      <c r="AS575" s="497" t="e">
        <f t="shared" si="488"/>
        <v>#DIV/0!</v>
      </c>
      <c r="AT575" s="497" t="e">
        <f t="shared" si="489"/>
        <v>#DIV/0!</v>
      </c>
      <c r="AU575" s="497" t="e">
        <f t="shared" si="490"/>
        <v>#DIV/0!</v>
      </c>
      <c r="AV575" s="497" t="e">
        <f t="shared" si="491"/>
        <v>#DIV/0!</v>
      </c>
      <c r="AW575" s="497" t="e">
        <f t="shared" si="492"/>
        <v>#DIV/0!</v>
      </c>
      <c r="AX575" s="497" t="e">
        <f t="shared" si="493"/>
        <v>#DIV/0!</v>
      </c>
      <c r="AY575" s="486" t="e">
        <f t="shared" si="494"/>
        <v>#DIV/0!</v>
      </c>
      <c r="AZ575" s="497" t="e">
        <f t="shared" si="495"/>
        <v>#DIV/0!</v>
      </c>
      <c r="BA575" s="486" t="e">
        <f t="shared" si="481"/>
        <v>#DIV/0!</v>
      </c>
      <c r="BB575" s="494">
        <v>5155.41</v>
      </c>
      <c r="BC575" s="494">
        <v>2070.12</v>
      </c>
      <c r="BD575" s="494">
        <v>848.92</v>
      </c>
      <c r="BE575" s="494">
        <v>819.73</v>
      </c>
      <c r="BF575" s="494">
        <v>611.5</v>
      </c>
      <c r="BG575" s="494">
        <v>1080.04</v>
      </c>
      <c r="BH575" s="494">
        <v>2671800.0099999998</v>
      </c>
      <c r="BI575" s="494">
        <f t="shared" si="518"/>
        <v>4422.8500000000004</v>
      </c>
      <c r="BJ575" s="494">
        <v>14289.54</v>
      </c>
      <c r="BK575" s="494">
        <v>3389.61</v>
      </c>
      <c r="BL575" s="494">
        <v>5995.76</v>
      </c>
      <c r="BM575" s="494">
        <v>548.62</v>
      </c>
      <c r="BN575" s="493" t="e">
        <f t="shared" si="496"/>
        <v>#DIV/0!</v>
      </c>
      <c r="BO575" s="493" t="e">
        <f t="shared" si="497"/>
        <v>#DIV/0!</v>
      </c>
      <c r="BP575" s="493" t="e">
        <f t="shared" si="498"/>
        <v>#DIV/0!</v>
      </c>
      <c r="BQ575" s="493" t="e">
        <f t="shared" si="499"/>
        <v>#DIV/0!</v>
      </c>
      <c r="BR575" s="493" t="e">
        <f t="shared" si="500"/>
        <v>#DIV/0!</v>
      </c>
      <c r="BS575" s="493" t="e">
        <f t="shared" si="501"/>
        <v>#DIV/0!</v>
      </c>
      <c r="BT575" s="493" t="e">
        <f t="shared" si="502"/>
        <v>#DIV/0!</v>
      </c>
      <c r="BU575" s="493" t="e">
        <f t="shared" si="503"/>
        <v>#DIV/0!</v>
      </c>
      <c r="BV575" s="493" t="e">
        <f t="shared" si="504"/>
        <v>#DIV/0!</v>
      </c>
      <c r="BW575" s="493" t="e">
        <f t="shared" si="505"/>
        <v>#DIV/0!</v>
      </c>
      <c r="BX575" s="493" t="e">
        <f t="shared" si="506"/>
        <v>#DIV/0!</v>
      </c>
      <c r="BY575" s="493" t="e">
        <f t="shared" si="507"/>
        <v>#DIV/0!</v>
      </c>
    </row>
    <row r="576" spans="1:77" s="28" customFormat="1" ht="9" customHeight="1">
      <c r="A576" s="278">
        <v>188</v>
      </c>
      <c r="B576" s="276" t="s">
        <v>872</v>
      </c>
      <c r="C576" s="249">
        <v>4437.3999999999996</v>
      </c>
      <c r="D576" s="376"/>
      <c r="E576" s="407" t="s">
        <v>1005</v>
      </c>
      <c r="F576" s="249"/>
      <c r="G576" s="249"/>
      <c r="H576" s="407">
        <v>4456224.4000000004</v>
      </c>
      <c r="I576" s="407">
        <f t="shared" ref="I576:I584" si="550">J576+L576+N576+P576+R576+T576</f>
        <v>0</v>
      </c>
      <c r="J576" s="217">
        <v>0</v>
      </c>
      <c r="K576" s="469">
        <v>0</v>
      </c>
      <c r="L576" s="217">
        <v>0</v>
      </c>
      <c r="M576" s="469">
        <v>0</v>
      </c>
      <c r="N576" s="217">
        <v>0</v>
      </c>
      <c r="O576" s="249">
        <v>0</v>
      </c>
      <c r="P576" s="407">
        <v>0</v>
      </c>
      <c r="Q576" s="249">
        <v>0</v>
      </c>
      <c r="R576" s="407">
        <v>0</v>
      </c>
      <c r="S576" s="249">
        <v>0</v>
      </c>
      <c r="T576" s="407">
        <v>0</v>
      </c>
      <c r="U576" s="130">
        <v>0</v>
      </c>
      <c r="V576" s="407">
        <v>0</v>
      </c>
      <c r="W576" s="410">
        <v>1336.6</v>
      </c>
      <c r="X576" s="407">
        <f t="shared" ref="X576:X584" si="551">ROUND(H576/100*95.5,2)</f>
        <v>4255694.3</v>
      </c>
      <c r="Y576" s="410">
        <v>0</v>
      </c>
      <c r="Z576" s="410">
        <v>0</v>
      </c>
      <c r="AA576" s="410">
        <v>0</v>
      </c>
      <c r="AB576" s="410">
        <v>0</v>
      </c>
      <c r="AC576" s="410">
        <v>0</v>
      </c>
      <c r="AD576" s="410">
        <v>0</v>
      </c>
      <c r="AE576" s="410">
        <v>0</v>
      </c>
      <c r="AF576" s="410">
        <v>0</v>
      </c>
      <c r="AG576" s="410">
        <v>0</v>
      </c>
      <c r="AH576" s="410">
        <v>0</v>
      </c>
      <c r="AI576" s="410">
        <v>0</v>
      </c>
      <c r="AJ576" s="410">
        <f t="shared" ref="AJ576:AJ584" si="552">ROUND(H576/100*3,2)</f>
        <v>133686.73000000001</v>
      </c>
      <c r="AK576" s="410">
        <f t="shared" ref="AK576:AK584" si="553">ROUND(H576/100*1.5,2)</f>
        <v>66843.37</v>
      </c>
      <c r="AL576" s="410">
        <v>0</v>
      </c>
      <c r="AM576" s="446"/>
      <c r="AN576" s="446"/>
      <c r="AP576" s="486" t="e">
        <f t="shared" si="480"/>
        <v>#DIV/0!</v>
      </c>
      <c r="AQ576" s="486" t="e">
        <f t="shared" si="486"/>
        <v>#DIV/0!</v>
      </c>
      <c r="AR576" s="486" t="e">
        <f t="shared" si="487"/>
        <v>#DIV/0!</v>
      </c>
      <c r="AS576" s="486" t="e">
        <f t="shared" si="488"/>
        <v>#DIV/0!</v>
      </c>
      <c r="AT576" s="486" t="e">
        <f t="shared" si="489"/>
        <v>#DIV/0!</v>
      </c>
      <c r="AU576" s="486" t="e">
        <f t="shared" si="490"/>
        <v>#DIV/0!</v>
      </c>
      <c r="AV576" s="486" t="e">
        <f t="shared" si="491"/>
        <v>#DIV/0!</v>
      </c>
      <c r="AW576" s="486">
        <f t="shared" si="492"/>
        <v>3183.9699985036659</v>
      </c>
      <c r="AX576" s="486" t="e">
        <f t="shared" si="493"/>
        <v>#DIV/0!</v>
      </c>
      <c r="AY576" s="486" t="e">
        <f t="shared" si="494"/>
        <v>#DIV/0!</v>
      </c>
      <c r="AZ576" s="486" t="e">
        <f t="shared" si="495"/>
        <v>#DIV/0!</v>
      </c>
      <c r="BA576" s="486">
        <f t="shared" si="481"/>
        <v>0</v>
      </c>
      <c r="BB576" s="494">
        <v>5155.41</v>
      </c>
      <c r="BC576" s="494">
        <v>2070.12</v>
      </c>
      <c r="BD576" s="494">
        <v>848.92</v>
      </c>
      <c r="BE576" s="494">
        <v>819.73</v>
      </c>
      <c r="BF576" s="494">
        <v>611.5</v>
      </c>
      <c r="BG576" s="494">
        <v>1080.04</v>
      </c>
      <c r="BH576" s="494">
        <v>2671800.0099999998</v>
      </c>
      <c r="BI576" s="494">
        <f t="shared" si="518"/>
        <v>4607.6000000000004</v>
      </c>
      <c r="BJ576" s="494">
        <v>14289.54</v>
      </c>
      <c r="BK576" s="494">
        <v>3389.61</v>
      </c>
      <c r="BL576" s="494">
        <v>5995.76</v>
      </c>
      <c r="BM576" s="494">
        <v>548.62</v>
      </c>
      <c r="BN576" s="495" t="e">
        <f t="shared" si="496"/>
        <v>#DIV/0!</v>
      </c>
      <c r="BO576" s="495" t="e">
        <f t="shared" si="497"/>
        <v>#DIV/0!</v>
      </c>
      <c r="BP576" s="495" t="e">
        <f t="shared" si="498"/>
        <v>#DIV/0!</v>
      </c>
      <c r="BQ576" s="495" t="e">
        <f t="shared" si="499"/>
        <v>#DIV/0!</v>
      </c>
      <c r="BR576" s="495" t="e">
        <f t="shared" si="500"/>
        <v>#DIV/0!</v>
      </c>
      <c r="BS576" s="495" t="e">
        <f t="shared" si="501"/>
        <v>#DIV/0!</v>
      </c>
      <c r="BT576" s="495" t="e">
        <f t="shared" si="502"/>
        <v>#DIV/0!</v>
      </c>
      <c r="BU576" s="495" t="str">
        <f t="shared" si="503"/>
        <v xml:space="preserve"> </v>
      </c>
      <c r="BV576" s="495" t="e">
        <f t="shared" si="504"/>
        <v>#DIV/0!</v>
      </c>
      <c r="BW576" s="495" t="e">
        <f t="shared" si="505"/>
        <v>#DIV/0!</v>
      </c>
      <c r="BX576" s="495" t="e">
        <f t="shared" si="506"/>
        <v>#DIV/0!</v>
      </c>
      <c r="BY576" s="495" t="str">
        <f t="shared" si="507"/>
        <v xml:space="preserve"> </v>
      </c>
    </row>
    <row r="577" spans="1:77" s="28" customFormat="1" ht="9" customHeight="1">
      <c r="A577" s="278">
        <v>189</v>
      </c>
      <c r="B577" s="276" t="s">
        <v>873</v>
      </c>
      <c r="C577" s="249">
        <v>2840.9</v>
      </c>
      <c r="D577" s="376"/>
      <c r="E577" s="407" t="s">
        <v>1005</v>
      </c>
      <c r="F577" s="249"/>
      <c r="G577" s="249"/>
      <c r="H577" s="407">
        <v>2658531.6</v>
      </c>
      <c r="I577" s="407">
        <f t="shared" si="550"/>
        <v>0</v>
      </c>
      <c r="J577" s="217">
        <v>0</v>
      </c>
      <c r="K577" s="469">
        <v>0</v>
      </c>
      <c r="L577" s="217">
        <v>0</v>
      </c>
      <c r="M577" s="469">
        <v>0</v>
      </c>
      <c r="N577" s="217">
        <v>0</v>
      </c>
      <c r="O577" s="249">
        <v>0</v>
      </c>
      <c r="P577" s="407">
        <v>0</v>
      </c>
      <c r="Q577" s="249">
        <v>0</v>
      </c>
      <c r="R577" s="407">
        <v>0</v>
      </c>
      <c r="S577" s="249">
        <v>0</v>
      </c>
      <c r="T577" s="407">
        <v>0</v>
      </c>
      <c r="U577" s="130">
        <v>0</v>
      </c>
      <c r="V577" s="407">
        <v>0</v>
      </c>
      <c r="W577" s="410">
        <v>797.4</v>
      </c>
      <c r="X577" s="407">
        <f t="shared" si="551"/>
        <v>2538897.6800000002</v>
      </c>
      <c r="Y577" s="410">
        <v>0</v>
      </c>
      <c r="Z577" s="410">
        <v>0</v>
      </c>
      <c r="AA577" s="410">
        <v>0</v>
      </c>
      <c r="AB577" s="410">
        <v>0</v>
      </c>
      <c r="AC577" s="410">
        <v>0</v>
      </c>
      <c r="AD577" s="410">
        <v>0</v>
      </c>
      <c r="AE577" s="410">
        <v>0</v>
      </c>
      <c r="AF577" s="410">
        <v>0</v>
      </c>
      <c r="AG577" s="410">
        <v>0</v>
      </c>
      <c r="AH577" s="410">
        <v>0</v>
      </c>
      <c r="AI577" s="410">
        <v>0</v>
      </c>
      <c r="AJ577" s="410">
        <f t="shared" si="552"/>
        <v>79755.95</v>
      </c>
      <c r="AK577" s="410">
        <f t="shared" si="553"/>
        <v>39877.97</v>
      </c>
      <c r="AL577" s="410">
        <v>0</v>
      </c>
      <c r="AM577" s="446"/>
      <c r="AN577" s="446"/>
      <c r="AP577" s="486" t="e">
        <f t="shared" si="480"/>
        <v>#DIV/0!</v>
      </c>
      <c r="AQ577" s="486" t="e">
        <f t="shared" si="486"/>
        <v>#DIV/0!</v>
      </c>
      <c r="AR577" s="486" t="e">
        <f t="shared" si="487"/>
        <v>#DIV/0!</v>
      </c>
      <c r="AS577" s="486" t="e">
        <f t="shared" si="488"/>
        <v>#DIV/0!</v>
      </c>
      <c r="AT577" s="486" t="e">
        <f t="shared" si="489"/>
        <v>#DIV/0!</v>
      </c>
      <c r="AU577" s="486" t="e">
        <f t="shared" si="490"/>
        <v>#DIV/0!</v>
      </c>
      <c r="AV577" s="486" t="e">
        <f t="shared" si="491"/>
        <v>#DIV/0!</v>
      </c>
      <c r="AW577" s="486">
        <f t="shared" si="492"/>
        <v>3183.970002508152</v>
      </c>
      <c r="AX577" s="486" t="e">
        <f t="shared" si="493"/>
        <v>#DIV/0!</v>
      </c>
      <c r="AY577" s="486" t="e">
        <f t="shared" si="494"/>
        <v>#DIV/0!</v>
      </c>
      <c r="AZ577" s="486" t="e">
        <f t="shared" si="495"/>
        <v>#DIV/0!</v>
      </c>
      <c r="BA577" s="486">
        <f t="shared" si="481"/>
        <v>0</v>
      </c>
      <c r="BB577" s="494">
        <v>5155.41</v>
      </c>
      <c r="BC577" s="494">
        <v>2070.12</v>
      </c>
      <c r="BD577" s="494">
        <v>848.92</v>
      </c>
      <c r="BE577" s="494">
        <v>819.73</v>
      </c>
      <c r="BF577" s="494">
        <v>611.5</v>
      </c>
      <c r="BG577" s="494">
        <v>1080.04</v>
      </c>
      <c r="BH577" s="494">
        <v>2671800.0099999998</v>
      </c>
      <c r="BI577" s="494">
        <f t="shared" si="518"/>
        <v>4607.6000000000004</v>
      </c>
      <c r="BJ577" s="494">
        <v>14289.54</v>
      </c>
      <c r="BK577" s="494">
        <v>3389.61</v>
      </c>
      <c r="BL577" s="494">
        <v>5995.76</v>
      </c>
      <c r="BM577" s="494">
        <v>548.62</v>
      </c>
      <c r="BN577" s="495" t="e">
        <f t="shared" si="496"/>
        <v>#DIV/0!</v>
      </c>
      <c r="BO577" s="495" t="e">
        <f t="shared" si="497"/>
        <v>#DIV/0!</v>
      </c>
      <c r="BP577" s="495" t="e">
        <f t="shared" si="498"/>
        <v>#DIV/0!</v>
      </c>
      <c r="BQ577" s="495" t="e">
        <f t="shared" si="499"/>
        <v>#DIV/0!</v>
      </c>
      <c r="BR577" s="495" t="e">
        <f t="shared" si="500"/>
        <v>#DIV/0!</v>
      </c>
      <c r="BS577" s="495" t="e">
        <f t="shared" si="501"/>
        <v>#DIV/0!</v>
      </c>
      <c r="BT577" s="495" t="e">
        <f t="shared" si="502"/>
        <v>#DIV/0!</v>
      </c>
      <c r="BU577" s="495" t="str">
        <f t="shared" si="503"/>
        <v xml:space="preserve"> </v>
      </c>
      <c r="BV577" s="495" t="e">
        <f t="shared" si="504"/>
        <v>#DIV/0!</v>
      </c>
      <c r="BW577" s="495" t="e">
        <f t="shared" si="505"/>
        <v>#DIV/0!</v>
      </c>
      <c r="BX577" s="495" t="e">
        <f t="shared" si="506"/>
        <v>#DIV/0!</v>
      </c>
      <c r="BY577" s="495" t="str">
        <f t="shared" si="507"/>
        <v xml:space="preserve"> </v>
      </c>
    </row>
    <row r="578" spans="1:77" s="28" customFormat="1" ht="9" customHeight="1">
      <c r="A578" s="406">
        <v>190</v>
      </c>
      <c r="B578" s="276" t="s">
        <v>874</v>
      </c>
      <c r="C578" s="249">
        <v>504.1</v>
      </c>
      <c r="D578" s="376"/>
      <c r="E578" s="407" t="s">
        <v>1006</v>
      </c>
      <c r="F578" s="249"/>
      <c r="G578" s="249"/>
      <c r="H578" s="407">
        <v>1804572</v>
      </c>
      <c r="I578" s="407">
        <f t="shared" si="550"/>
        <v>0</v>
      </c>
      <c r="J578" s="217">
        <v>0</v>
      </c>
      <c r="K578" s="469">
        <v>0</v>
      </c>
      <c r="L578" s="217">
        <v>0</v>
      </c>
      <c r="M578" s="469">
        <v>0</v>
      </c>
      <c r="N578" s="217">
        <v>0</v>
      </c>
      <c r="O578" s="249">
        <v>0</v>
      </c>
      <c r="P578" s="407">
        <v>0</v>
      </c>
      <c r="Q578" s="249">
        <v>0</v>
      </c>
      <c r="R578" s="407">
        <v>0</v>
      </c>
      <c r="S578" s="249">
        <v>0</v>
      </c>
      <c r="T578" s="407">
        <v>0</v>
      </c>
      <c r="U578" s="130">
        <v>0</v>
      </c>
      <c r="V578" s="407">
        <v>0</v>
      </c>
      <c r="W578" s="410">
        <v>558</v>
      </c>
      <c r="X578" s="407">
        <f t="shared" si="551"/>
        <v>1723366.26</v>
      </c>
      <c r="Y578" s="410">
        <v>0</v>
      </c>
      <c r="Z578" s="410">
        <v>0</v>
      </c>
      <c r="AA578" s="410">
        <v>0</v>
      </c>
      <c r="AB578" s="410">
        <v>0</v>
      </c>
      <c r="AC578" s="410">
        <v>0</v>
      </c>
      <c r="AD578" s="410">
        <v>0</v>
      </c>
      <c r="AE578" s="410">
        <v>0</v>
      </c>
      <c r="AF578" s="410">
        <v>0</v>
      </c>
      <c r="AG578" s="410">
        <v>0</v>
      </c>
      <c r="AH578" s="410">
        <v>0</v>
      </c>
      <c r="AI578" s="410">
        <v>0</v>
      </c>
      <c r="AJ578" s="410">
        <f t="shared" si="552"/>
        <v>54137.16</v>
      </c>
      <c r="AK578" s="410">
        <f t="shared" si="553"/>
        <v>27068.58</v>
      </c>
      <c r="AL578" s="410">
        <v>0</v>
      </c>
      <c r="AM578" s="446"/>
      <c r="AN578" s="446"/>
      <c r="AP578" s="486" t="e">
        <f t="shared" si="480"/>
        <v>#DIV/0!</v>
      </c>
      <c r="AQ578" s="486" t="e">
        <f t="shared" si="486"/>
        <v>#DIV/0!</v>
      </c>
      <c r="AR578" s="486" t="e">
        <f t="shared" si="487"/>
        <v>#DIV/0!</v>
      </c>
      <c r="AS578" s="486" t="e">
        <f t="shared" si="488"/>
        <v>#DIV/0!</v>
      </c>
      <c r="AT578" s="486" t="e">
        <f t="shared" si="489"/>
        <v>#DIV/0!</v>
      </c>
      <c r="AU578" s="486" t="e">
        <f t="shared" si="490"/>
        <v>#DIV/0!</v>
      </c>
      <c r="AV578" s="486" t="e">
        <f t="shared" si="491"/>
        <v>#DIV/0!</v>
      </c>
      <c r="AW578" s="486">
        <f t="shared" si="492"/>
        <v>3088.47</v>
      </c>
      <c r="AX578" s="486" t="e">
        <f t="shared" si="493"/>
        <v>#DIV/0!</v>
      </c>
      <c r="AY578" s="486" t="e">
        <f t="shared" si="494"/>
        <v>#DIV/0!</v>
      </c>
      <c r="AZ578" s="486" t="e">
        <f t="shared" si="495"/>
        <v>#DIV/0!</v>
      </c>
      <c r="BA578" s="486">
        <f t="shared" si="481"/>
        <v>0</v>
      </c>
      <c r="BB578" s="494">
        <v>5155.41</v>
      </c>
      <c r="BC578" s="494">
        <v>2070.12</v>
      </c>
      <c r="BD578" s="494">
        <v>848.92</v>
      </c>
      <c r="BE578" s="494">
        <v>819.73</v>
      </c>
      <c r="BF578" s="494">
        <v>611.5</v>
      </c>
      <c r="BG578" s="494">
        <v>1080.04</v>
      </c>
      <c r="BH578" s="494">
        <v>2671800.0099999998</v>
      </c>
      <c r="BI578" s="494">
        <f t="shared" si="518"/>
        <v>4422.8500000000004</v>
      </c>
      <c r="BJ578" s="494">
        <v>14289.54</v>
      </c>
      <c r="BK578" s="494">
        <v>3389.61</v>
      </c>
      <c r="BL578" s="494">
        <v>5995.76</v>
      </c>
      <c r="BM578" s="494">
        <v>548.62</v>
      </c>
      <c r="BN578" s="495" t="e">
        <f t="shared" si="496"/>
        <v>#DIV/0!</v>
      </c>
      <c r="BO578" s="495" t="e">
        <f t="shared" si="497"/>
        <v>#DIV/0!</v>
      </c>
      <c r="BP578" s="495" t="e">
        <f t="shared" si="498"/>
        <v>#DIV/0!</v>
      </c>
      <c r="BQ578" s="495" t="e">
        <f t="shared" si="499"/>
        <v>#DIV/0!</v>
      </c>
      <c r="BR578" s="495" t="e">
        <f t="shared" si="500"/>
        <v>#DIV/0!</v>
      </c>
      <c r="BS578" s="495" t="e">
        <f t="shared" si="501"/>
        <v>#DIV/0!</v>
      </c>
      <c r="BT578" s="495" t="e">
        <f t="shared" si="502"/>
        <v>#DIV/0!</v>
      </c>
      <c r="BU578" s="495" t="str">
        <f t="shared" si="503"/>
        <v xml:space="preserve"> </v>
      </c>
      <c r="BV578" s="495" t="e">
        <f t="shared" si="504"/>
        <v>#DIV/0!</v>
      </c>
      <c r="BW578" s="495" t="e">
        <f t="shared" si="505"/>
        <v>#DIV/0!</v>
      </c>
      <c r="BX578" s="495" t="e">
        <f t="shared" si="506"/>
        <v>#DIV/0!</v>
      </c>
      <c r="BY578" s="495" t="str">
        <f t="shared" si="507"/>
        <v xml:space="preserve"> </v>
      </c>
    </row>
    <row r="579" spans="1:77" s="28" customFormat="1" ht="9" customHeight="1">
      <c r="A579" s="406">
        <v>191</v>
      </c>
      <c r="B579" s="405" t="s">
        <v>875</v>
      </c>
      <c r="C579" s="249">
        <v>718.4</v>
      </c>
      <c r="D579" s="376">
        <v>315.5</v>
      </c>
      <c r="E579" s="407"/>
      <c r="F579" s="407"/>
      <c r="G579" s="407"/>
      <c r="H579" s="407">
        <v>2080457.6600000001</v>
      </c>
      <c r="I579" s="407">
        <f t="shared" si="550"/>
        <v>1765297.5600000003</v>
      </c>
      <c r="J579" s="205">
        <f>ROUND(0.955*(C579*370),2)</f>
        <v>253846.64</v>
      </c>
      <c r="K579" s="469">
        <v>490</v>
      </c>
      <c r="L579" s="217">
        <f>ROUND(0.955*(C579*1200),2)</f>
        <v>823286.4</v>
      </c>
      <c r="M579" s="469">
        <v>0</v>
      </c>
      <c r="N579" s="217">
        <f>ROUND(0.955*(C579*303.05),2)</f>
        <v>207914.12</v>
      </c>
      <c r="O579" s="249">
        <v>220</v>
      </c>
      <c r="P579" s="407">
        <f>ROUND(0.955*(C579*210),2)</f>
        <v>144075.12</v>
      </c>
      <c r="Q579" s="249">
        <v>0</v>
      </c>
      <c r="R579" s="407">
        <f>ROUND(0.955*(C579*270),2)</f>
        <v>185239.44</v>
      </c>
      <c r="S579" s="249">
        <v>201</v>
      </c>
      <c r="T579" s="407">
        <f>ROUND(0.955*(C579*220),2)</f>
        <v>150935.84</v>
      </c>
      <c r="U579" s="130">
        <v>0</v>
      </c>
      <c r="V579" s="407">
        <v>0</v>
      </c>
      <c r="W579" s="410">
        <v>0</v>
      </c>
      <c r="X579" s="407">
        <v>0</v>
      </c>
      <c r="Y579" s="410">
        <v>0</v>
      </c>
      <c r="Z579" s="410">
        <v>0</v>
      </c>
      <c r="AA579" s="410">
        <v>0</v>
      </c>
      <c r="AB579" s="410">
        <v>0</v>
      </c>
      <c r="AC579" s="410">
        <v>0</v>
      </c>
      <c r="AD579" s="410">
        <v>0</v>
      </c>
      <c r="AE579" s="410">
        <v>0</v>
      </c>
      <c r="AF579" s="410">
        <v>0</v>
      </c>
      <c r="AG579" s="410">
        <v>0</v>
      </c>
      <c r="AH579" s="410">
        <v>0</v>
      </c>
      <c r="AI579" s="407">
        <f>ROUND(0.955*C579*322.91,2)</f>
        <v>221539.51</v>
      </c>
      <c r="AJ579" s="410">
        <f>ROUND(0.03*(220+1200+270+370+210+303.05+322.91)*C579,2)</f>
        <v>62413.73</v>
      </c>
      <c r="AK579" s="410">
        <f>ROUND(0.015*(220+270+1200+370+210+303.05+322.91)*C579,2)</f>
        <v>31206.86</v>
      </c>
      <c r="AL579" s="410">
        <v>0</v>
      </c>
      <c r="AM579" s="446"/>
      <c r="AN579" s="446"/>
      <c r="AP579" s="486">
        <f t="shared" si="480"/>
        <v>804.58522979397787</v>
      </c>
      <c r="AQ579" s="486">
        <f t="shared" si="486"/>
        <v>1680.1763265306122</v>
      </c>
      <c r="AR579" s="486" t="e">
        <f t="shared" si="487"/>
        <v>#DIV/0!</v>
      </c>
      <c r="AS579" s="486">
        <f t="shared" si="488"/>
        <v>654.88690909090906</v>
      </c>
      <c r="AT579" s="486" t="e">
        <f t="shared" si="489"/>
        <v>#DIV/0!</v>
      </c>
      <c r="AU579" s="486">
        <f t="shared" si="490"/>
        <v>750.92457711442785</v>
      </c>
      <c r="AV579" s="486" t="e">
        <f t="shared" si="491"/>
        <v>#DIV/0!</v>
      </c>
      <c r="AW579" s="486" t="e">
        <f t="shared" si="492"/>
        <v>#DIV/0!</v>
      </c>
      <c r="AX579" s="486" t="e">
        <f t="shared" si="493"/>
        <v>#DIV/0!</v>
      </c>
      <c r="AY579" s="486" t="e">
        <f t="shared" si="494"/>
        <v>#DIV/0!</v>
      </c>
      <c r="AZ579" s="486" t="e">
        <f t="shared" si="495"/>
        <v>#DIV/0!</v>
      </c>
      <c r="BA579" s="486">
        <f t="shared" si="481"/>
        <v>308.37905066815148</v>
      </c>
      <c r="BB579" s="494">
        <v>5155.41</v>
      </c>
      <c r="BC579" s="494">
        <v>2070.12</v>
      </c>
      <c r="BD579" s="494">
        <v>848.92</v>
      </c>
      <c r="BE579" s="494">
        <v>819.73</v>
      </c>
      <c r="BF579" s="494">
        <v>611.5</v>
      </c>
      <c r="BG579" s="494">
        <v>1080.04</v>
      </c>
      <c r="BH579" s="494">
        <v>2671800.0099999998</v>
      </c>
      <c r="BI579" s="494">
        <f t="shared" si="518"/>
        <v>4422.8500000000004</v>
      </c>
      <c r="BJ579" s="494">
        <v>14289.54</v>
      </c>
      <c r="BK579" s="494">
        <v>3389.61</v>
      </c>
      <c r="BL579" s="494">
        <v>5995.76</v>
      </c>
      <c r="BM579" s="494">
        <v>548.62</v>
      </c>
      <c r="BN579" s="495" t="str">
        <f t="shared" si="496"/>
        <v xml:space="preserve"> </v>
      </c>
      <c r="BO579" s="495" t="str">
        <f t="shared" si="497"/>
        <v xml:space="preserve"> </v>
      </c>
      <c r="BP579" s="495" t="e">
        <f t="shared" si="498"/>
        <v>#DIV/0!</v>
      </c>
      <c r="BQ579" s="495" t="str">
        <f t="shared" si="499"/>
        <v xml:space="preserve"> </v>
      </c>
      <c r="BR579" s="495" t="e">
        <f t="shared" si="500"/>
        <v>#DIV/0!</v>
      </c>
      <c r="BS579" s="495" t="str">
        <f t="shared" si="501"/>
        <v xml:space="preserve"> </v>
      </c>
      <c r="BT579" s="495" t="e">
        <f t="shared" si="502"/>
        <v>#DIV/0!</v>
      </c>
      <c r="BU579" s="495" t="e">
        <f t="shared" si="503"/>
        <v>#DIV/0!</v>
      </c>
      <c r="BV579" s="495" t="e">
        <f t="shared" si="504"/>
        <v>#DIV/0!</v>
      </c>
      <c r="BW579" s="495" t="e">
        <f t="shared" si="505"/>
        <v>#DIV/0!</v>
      </c>
      <c r="BX579" s="495" t="e">
        <f t="shared" si="506"/>
        <v>#DIV/0!</v>
      </c>
      <c r="BY579" s="495" t="str">
        <f t="shared" si="507"/>
        <v xml:space="preserve"> </v>
      </c>
    </row>
    <row r="580" spans="1:77" s="28" customFormat="1" ht="9" customHeight="1">
      <c r="A580" s="406">
        <v>192</v>
      </c>
      <c r="B580" s="276" t="s">
        <v>876</v>
      </c>
      <c r="C580" s="249">
        <v>784.7</v>
      </c>
      <c r="D580" s="376"/>
      <c r="E580" s="407" t="s">
        <v>1006</v>
      </c>
      <c r="F580" s="249"/>
      <c r="G580" s="249"/>
      <c r="H580" s="407">
        <v>2248406.16</v>
      </c>
      <c r="I580" s="407">
        <f t="shared" si="550"/>
        <v>0</v>
      </c>
      <c r="J580" s="217">
        <v>0</v>
      </c>
      <c r="K580" s="469">
        <v>0</v>
      </c>
      <c r="L580" s="217">
        <v>0</v>
      </c>
      <c r="M580" s="469">
        <v>0</v>
      </c>
      <c r="N580" s="217">
        <v>0</v>
      </c>
      <c r="O580" s="249">
        <v>0</v>
      </c>
      <c r="P580" s="407">
        <v>0</v>
      </c>
      <c r="Q580" s="249">
        <v>0</v>
      </c>
      <c r="R580" s="407">
        <v>0</v>
      </c>
      <c r="S580" s="249">
        <v>0</v>
      </c>
      <c r="T580" s="407">
        <v>0</v>
      </c>
      <c r="U580" s="130">
        <v>0</v>
      </c>
      <c r="V580" s="407">
        <v>0</v>
      </c>
      <c r="W580" s="410">
        <v>695.24</v>
      </c>
      <c r="X580" s="407">
        <f>ROUND(H580/100*95.5+0.01,2)</f>
        <v>2147227.89</v>
      </c>
      <c r="Y580" s="410">
        <v>0</v>
      </c>
      <c r="Z580" s="410">
        <v>0</v>
      </c>
      <c r="AA580" s="410">
        <v>0</v>
      </c>
      <c r="AB580" s="410">
        <v>0</v>
      </c>
      <c r="AC580" s="410">
        <v>0</v>
      </c>
      <c r="AD580" s="410">
        <v>0</v>
      </c>
      <c r="AE580" s="410">
        <v>0</v>
      </c>
      <c r="AF580" s="410">
        <v>0</v>
      </c>
      <c r="AG580" s="410">
        <v>0</v>
      </c>
      <c r="AH580" s="410">
        <v>0</v>
      </c>
      <c r="AI580" s="410">
        <v>0</v>
      </c>
      <c r="AJ580" s="410">
        <f t="shared" si="552"/>
        <v>67452.179999999993</v>
      </c>
      <c r="AK580" s="410">
        <f t="shared" si="553"/>
        <v>33726.089999999997</v>
      </c>
      <c r="AL580" s="410">
        <v>0</v>
      </c>
      <c r="AM580" s="446"/>
      <c r="AN580" s="446"/>
      <c r="AP580" s="486" t="e">
        <f t="shared" si="480"/>
        <v>#DIV/0!</v>
      </c>
      <c r="AQ580" s="486" t="e">
        <f t="shared" si="486"/>
        <v>#DIV/0!</v>
      </c>
      <c r="AR580" s="486" t="e">
        <f t="shared" si="487"/>
        <v>#DIV/0!</v>
      </c>
      <c r="AS580" s="486" t="e">
        <f t="shared" si="488"/>
        <v>#DIV/0!</v>
      </c>
      <c r="AT580" s="486" t="e">
        <f t="shared" si="489"/>
        <v>#DIV/0!</v>
      </c>
      <c r="AU580" s="486" t="e">
        <f t="shared" si="490"/>
        <v>#DIV/0!</v>
      </c>
      <c r="AV580" s="486" t="e">
        <f t="shared" si="491"/>
        <v>#DIV/0!</v>
      </c>
      <c r="AW580" s="486">
        <f t="shared" si="492"/>
        <v>3088.4700103561363</v>
      </c>
      <c r="AX580" s="486" t="e">
        <f t="shared" si="493"/>
        <v>#DIV/0!</v>
      </c>
      <c r="AY580" s="486" t="e">
        <f t="shared" si="494"/>
        <v>#DIV/0!</v>
      </c>
      <c r="AZ580" s="486" t="e">
        <f t="shared" si="495"/>
        <v>#DIV/0!</v>
      </c>
      <c r="BA580" s="486">
        <f t="shared" si="481"/>
        <v>0</v>
      </c>
      <c r="BB580" s="494">
        <v>5155.41</v>
      </c>
      <c r="BC580" s="494">
        <v>2070.12</v>
      </c>
      <c r="BD580" s="494">
        <v>848.92</v>
      </c>
      <c r="BE580" s="494">
        <v>819.73</v>
      </c>
      <c r="BF580" s="494">
        <v>611.5</v>
      </c>
      <c r="BG580" s="494">
        <v>1080.04</v>
      </c>
      <c r="BH580" s="494">
        <v>2671800.0099999998</v>
      </c>
      <c r="BI580" s="494">
        <f t="shared" si="518"/>
        <v>4422.8500000000004</v>
      </c>
      <c r="BJ580" s="494">
        <v>14289.54</v>
      </c>
      <c r="BK580" s="494">
        <v>3389.61</v>
      </c>
      <c r="BL580" s="494">
        <v>5995.76</v>
      </c>
      <c r="BM580" s="494">
        <v>548.62</v>
      </c>
      <c r="BN580" s="495" t="e">
        <f t="shared" si="496"/>
        <v>#DIV/0!</v>
      </c>
      <c r="BO580" s="495" t="e">
        <f t="shared" si="497"/>
        <v>#DIV/0!</v>
      </c>
      <c r="BP580" s="495" t="e">
        <f t="shared" si="498"/>
        <v>#DIV/0!</v>
      </c>
      <c r="BQ580" s="495" t="e">
        <f t="shared" si="499"/>
        <v>#DIV/0!</v>
      </c>
      <c r="BR580" s="495" t="e">
        <f t="shared" si="500"/>
        <v>#DIV/0!</v>
      </c>
      <c r="BS580" s="495" t="e">
        <f t="shared" si="501"/>
        <v>#DIV/0!</v>
      </c>
      <c r="BT580" s="495" t="e">
        <f t="shared" si="502"/>
        <v>#DIV/0!</v>
      </c>
      <c r="BU580" s="495" t="str">
        <f t="shared" si="503"/>
        <v xml:space="preserve"> </v>
      </c>
      <c r="BV580" s="495" t="e">
        <f t="shared" si="504"/>
        <v>#DIV/0!</v>
      </c>
      <c r="BW580" s="495" t="e">
        <f t="shared" si="505"/>
        <v>#DIV/0!</v>
      </c>
      <c r="BX580" s="495" t="e">
        <f t="shared" si="506"/>
        <v>#DIV/0!</v>
      </c>
      <c r="BY580" s="495" t="str">
        <f t="shared" si="507"/>
        <v xml:space="preserve"> </v>
      </c>
    </row>
    <row r="581" spans="1:77" s="28" customFormat="1" ht="9" customHeight="1">
      <c r="A581" s="406">
        <v>193</v>
      </c>
      <c r="B581" s="276" t="s">
        <v>877</v>
      </c>
      <c r="C581" s="249">
        <v>4096.8</v>
      </c>
      <c r="D581" s="376"/>
      <c r="E581" s="407" t="s">
        <v>1005</v>
      </c>
      <c r="F581" s="249"/>
      <c r="G581" s="249"/>
      <c r="H581" s="407">
        <v>4169667.1</v>
      </c>
      <c r="I581" s="407">
        <f t="shared" si="550"/>
        <v>0</v>
      </c>
      <c r="J581" s="217">
        <v>0</v>
      </c>
      <c r="K581" s="469">
        <v>0</v>
      </c>
      <c r="L581" s="217">
        <v>0</v>
      </c>
      <c r="M581" s="469">
        <v>0</v>
      </c>
      <c r="N581" s="217">
        <v>0</v>
      </c>
      <c r="O581" s="249">
        <v>0</v>
      </c>
      <c r="P581" s="407">
        <v>0</v>
      </c>
      <c r="Q581" s="249">
        <v>0</v>
      </c>
      <c r="R581" s="407">
        <v>0</v>
      </c>
      <c r="S581" s="249">
        <v>0</v>
      </c>
      <c r="T581" s="407">
        <v>0</v>
      </c>
      <c r="U581" s="130">
        <v>0</v>
      </c>
      <c r="V581" s="407">
        <v>0</v>
      </c>
      <c r="W581" s="410">
        <v>1250.6500000000001</v>
      </c>
      <c r="X581" s="407">
        <f t="shared" si="551"/>
        <v>3982032.08</v>
      </c>
      <c r="Y581" s="410">
        <v>0</v>
      </c>
      <c r="Z581" s="410">
        <v>0</v>
      </c>
      <c r="AA581" s="410">
        <v>0</v>
      </c>
      <c r="AB581" s="410">
        <v>0</v>
      </c>
      <c r="AC581" s="410">
        <v>0</v>
      </c>
      <c r="AD581" s="410">
        <v>0</v>
      </c>
      <c r="AE581" s="410">
        <v>0</v>
      </c>
      <c r="AF581" s="410">
        <v>0</v>
      </c>
      <c r="AG581" s="410">
        <v>0</v>
      </c>
      <c r="AH581" s="410">
        <v>0</v>
      </c>
      <c r="AI581" s="410">
        <v>0</v>
      </c>
      <c r="AJ581" s="410">
        <f t="shared" si="552"/>
        <v>125090.01</v>
      </c>
      <c r="AK581" s="410">
        <f t="shared" si="553"/>
        <v>62545.01</v>
      </c>
      <c r="AL581" s="410">
        <v>0</v>
      </c>
      <c r="AM581" s="446"/>
      <c r="AN581" s="446"/>
      <c r="AP581" s="486" t="e">
        <f t="shared" si="480"/>
        <v>#DIV/0!</v>
      </c>
      <c r="AQ581" s="486" t="e">
        <f t="shared" si="486"/>
        <v>#DIV/0!</v>
      </c>
      <c r="AR581" s="486" t="e">
        <f t="shared" si="487"/>
        <v>#DIV/0!</v>
      </c>
      <c r="AS581" s="486" t="e">
        <f t="shared" si="488"/>
        <v>#DIV/0!</v>
      </c>
      <c r="AT581" s="486" t="e">
        <f t="shared" si="489"/>
        <v>#DIV/0!</v>
      </c>
      <c r="AU581" s="486" t="e">
        <f t="shared" si="490"/>
        <v>#DIV/0!</v>
      </c>
      <c r="AV581" s="486" t="e">
        <f t="shared" si="491"/>
        <v>#DIV/0!</v>
      </c>
      <c r="AW581" s="486">
        <f t="shared" si="492"/>
        <v>3183.9699996002078</v>
      </c>
      <c r="AX581" s="486" t="e">
        <f t="shared" si="493"/>
        <v>#DIV/0!</v>
      </c>
      <c r="AY581" s="486" t="e">
        <f t="shared" si="494"/>
        <v>#DIV/0!</v>
      </c>
      <c r="AZ581" s="486" t="e">
        <f t="shared" si="495"/>
        <v>#DIV/0!</v>
      </c>
      <c r="BA581" s="486">
        <f t="shared" si="481"/>
        <v>0</v>
      </c>
      <c r="BB581" s="494">
        <v>5155.41</v>
      </c>
      <c r="BC581" s="494">
        <v>2070.12</v>
      </c>
      <c r="BD581" s="494">
        <v>848.92</v>
      </c>
      <c r="BE581" s="494">
        <v>819.73</v>
      </c>
      <c r="BF581" s="494">
        <v>611.5</v>
      </c>
      <c r="BG581" s="494">
        <v>1080.04</v>
      </c>
      <c r="BH581" s="494">
        <v>2671800.0099999998</v>
      </c>
      <c r="BI581" s="494">
        <f t="shared" si="518"/>
        <v>4607.6000000000004</v>
      </c>
      <c r="BJ581" s="494">
        <v>14289.54</v>
      </c>
      <c r="BK581" s="494">
        <v>3389.61</v>
      </c>
      <c r="BL581" s="494">
        <v>5995.76</v>
      </c>
      <c r="BM581" s="494">
        <v>548.62</v>
      </c>
      <c r="BN581" s="495" t="e">
        <f t="shared" si="496"/>
        <v>#DIV/0!</v>
      </c>
      <c r="BO581" s="495" t="e">
        <f t="shared" si="497"/>
        <v>#DIV/0!</v>
      </c>
      <c r="BP581" s="495" t="e">
        <f t="shared" si="498"/>
        <v>#DIV/0!</v>
      </c>
      <c r="BQ581" s="495" t="e">
        <f t="shared" si="499"/>
        <v>#DIV/0!</v>
      </c>
      <c r="BR581" s="495" t="e">
        <f t="shared" si="500"/>
        <v>#DIV/0!</v>
      </c>
      <c r="BS581" s="495" t="e">
        <f t="shared" si="501"/>
        <v>#DIV/0!</v>
      </c>
      <c r="BT581" s="495" t="e">
        <f t="shared" si="502"/>
        <v>#DIV/0!</v>
      </c>
      <c r="BU581" s="495" t="str">
        <f t="shared" si="503"/>
        <v xml:space="preserve"> </v>
      </c>
      <c r="BV581" s="495" t="e">
        <f t="shared" si="504"/>
        <v>#DIV/0!</v>
      </c>
      <c r="BW581" s="495" t="e">
        <f t="shared" si="505"/>
        <v>#DIV/0!</v>
      </c>
      <c r="BX581" s="495" t="e">
        <f t="shared" si="506"/>
        <v>#DIV/0!</v>
      </c>
      <c r="BY581" s="495" t="str">
        <f t="shared" si="507"/>
        <v xml:space="preserve"> </v>
      </c>
    </row>
    <row r="582" spans="1:77" s="28" customFormat="1" ht="9" customHeight="1">
      <c r="A582" s="406">
        <v>194</v>
      </c>
      <c r="B582" s="276" t="s">
        <v>878</v>
      </c>
      <c r="C582" s="249">
        <v>384.5</v>
      </c>
      <c r="D582" s="376"/>
      <c r="E582" s="407" t="s">
        <v>1005</v>
      </c>
      <c r="F582" s="249"/>
      <c r="G582" s="249"/>
      <c r="H582" s="407">
        <v>1024538.2</v>
      </c>
      <c r="I582" s="407">
        <f t="shared" si="550"/>
        <v>0</v>
      </c>
      <c r="J582" s="217">
        <v>0</v>
      </c>
      <c r="K582" s="469">
        <v>0</v>
      </c>
      <c r="L582" s="217">
        <v>0</v>
      </c>
      <c r="M582" s="469">
        <v>0</v>
      </c>
      <c r="N582" s="217">
        <v>0</v>
      </c>
      <c r="O582" s="249">
        <v>0</v>
      </c>
      <c r="P582" s="407">
        <v>0</v>
      </c>
      <c r="Q582" s="249">
        <v>0</v>
      </c>
      <c r="R582" s="407">
        <v>0</v>
      </c>
      <c r="S582" s="249">
        <v>0</v>
      </c>
      <c r="T582" s="407">
        <v>0</v>
      </c>
      <c r="U582" s="130">
        <v>0</v>
      </c>
      <c r="V582" s="407">
        <v>0</v>
      </c>
      <c r="W582" s="410">
        <v>307.3</v>
      </c>
      <c r="X582" s="407">
        <f t="shared" si="551"/>
        <v>978433.98</v>
      </c>
      <c r="Y582" s="410">
        <v>0</v>
      </c>
      <c r="Z582" s="410">
        <v>0</v>
      </c>
      <c r="AA582" s="410">
        <v>0</v>
      </c>
      <c r="AB582" s="410">
        <v>0</v>
      </c>
      <c r="AC582" s="410">
        <v>0</v>
      </c>
      <c r="AD582" s="410">
        <v>0</v>
      </c>
      <c r="AE582" s="410">
        <v>0</v>
      </c>
      <c r="AF582" s="410">
        <v>0</v>
      </c>
      <c r="AG582" s="410">
        <v>0</v>
      </c>
      <c r="AH582" s="410">
        <v>0</v>
      </c>
      <c r="AI582" s="410">
        <v>0</v>
      </c>
      <c r="AJ582" s="410">
        <f t="shared" si="552"/>
        <v>30736.15</v>
      </c>
      <c r="AK582" s="410">
        <f t="shared" si="553"/>
        <v>15368.07</v>
      </c>
      <c r="AL582" s="410">
        <v>0</v>
      </c>
      <c r="AM582" s="446"/>
      <c r="AN582" s="446"/>
      <c r="AP582" s="486" t="e">
        <f t="shared" si="480"/>
        <v>#DIV/0!</v>
      </c>
      <c r="AQ582" s="486" t="e">
        <f t="shared" si="486"/>
        <v>#DIV/0!</v>
      </c>
      <c r="AR582" s="486" t="e">
        <f t="shared" si="487"/>
        <v>#DIV/0!</v>
      </c>
      <c r="AS582" s="486" t="e">
        <f t="shared" si="488"/>
        <v>#DIV/0!</v>
      </c>
      <c r="AT582" s="486" t="e">
        <f t="shared" si="489"/>
        <v>#DIV/0!</v>
      </c>
      <c r="AU582" s="486" t="e">
        <f t="shared" si="490"/>
        <v>#DIV/0!</v>
      </c>
      <c r="AV582" s="486" t="e">
        <f t="shared" si="491"/>
        <v>#DIV/0!</v>
      </c>
      <c r="AW582" s="486">
        <f t="shared" si="492"/>
        <v>3183.9699967458509</v>
      </c>
      <c r="AX582" s="486" t="e">
        <f t="shared" si="493"/>
        <v>#DIV/0!</v>
      </c>
      <c r="AY582" s="486" t="e">
        <f t="shared" si="494"/>
        <v>#DIV/0!</v>
      </c>
      <c r="AZ582" s="486" t="e">
        <f t="shared" si="495"/>
        <v>#DIV/0!</v>
      </c>
      <c r="BA582" s="486">
        <f t="shared" si="481"/>
        <v>0</v>
      </c>
      <c r="BB582" s="494">
        <v>5155.41</v>
      </c>
      <c r="BC582" s="494">
        <v>2070.12</v>
      </c>
      <c r="BD582" s="494">
        <v>848.92</v>
      </c>
      <c r="BE582" s="494">
        <v>819.73</v>
      </c>
      <c r="BF582" s="494">
        <v>611.5</v>
      </c>
      <c r="BG582" s="494">
        <v>1080.04</v>
      </c>
      <c r="BH582" s="494">
        <v>2671800.0099999998</v>
      </c>
      <c r="BI582" s="494">
        <f t="shared" si="518"/>
        <v>4607.6000000000004</v>
      </c>
      <c r="BJ582" s="494">
        <v>14289.54</v>
      </c>
      <c r="BK582" s="494">
        <v>3389.61</v>
      </c>
      <c r="BL582" s="494">
        <v>5995.76</v>
      </c>
      <c r="BM582" s="494">
        <v>548.62</v>
      </c>
      <c r="BN582" s="495" t="e">
        <f t="shared" si="496"/>
        <v>#DIV/0!</v>
      </c>
      <c r="BO582" s="495" t="e">
        <f t="shared" si="497"/>
        <v>#DIV/0!</v>
      </c>
      <c r="BP582" s="495" t="e">
        <f t="shared" si="498"/>
        <v>#DIV/0!</v>
      </c>
      <c r="BQ582" s="495" t="e">
        <f t="shared" si="499"/>
        <v>#DIV/0!</v>
      </c>
      <c r="BR582" s="495" t="e">
        <f t="shared" si="500"/>
        <v>#DIV/0!</v>
      </c>
      <c r="BS582" s="495" t="e">
        <f t="shared" si="501"/>
        <v>#DIV/0!</v>
      </c>
      <c r="BT582" s="495" t="e">
        <f t="shared" si="502"/>
        <v>#DIV/0!</v>
      </c>
      <c r="BU582" s="495" t="str">
        <f t="shared" si="503"/>
        <v xml:space="preserve"> </v>
      </c>
      <c r="BV582" s="495" t="e">
        <f t="shared" si="504"/>
        <v>#DIV/0!</v>
      </c>
      <c r="BW582" s="495" t="e">
        <f t="shared" si="505"/>
        <v>#DIV/0!</v>
      </c>
      <c r="BX582" s="495" t="e">
        <f t="shared" si="506"/>
        <v>#DIV/0!</v>
      </c>
      <c r="BY582" s="495" t="str">
        <f t="shared" si="507"/>
        <v xml:space="preserve"> </v>
      </c>
    </row>
    <row r="583" spans="1:77" s="28" customFormat="1" ht="9" customHeight="1">
      <c r="A583" s="406">
        <v>195</v>
      </c>
      <c r="B583" s="276" t="s">
        <v>879</v>
      </c>
      <c r="C583" s="249">
        <v>458</v>
      </c>
      <c r="D583" s="376"/>
      <c r="E583" s="407" t="s">
        <v>1006</v>
      </c>
      <c r="F583" s="249"/>
      <c r="G583" s="249"/>
      <c r="H583" s="407">
        <v>1623468</v>
      </c>
      <c r="I583" s="407">
        <f t="shared" si="550"/>
        <v>0</v>
      </c>
      <c r="J583" s="217">
        <v>0</v>
      </c>
      <c r="K583" s="469">
        <v>0</v>
      </c>
      <c r="L583" s="217">
        <v>0</v>
      </c>
      <c r="M583" s="469">
        <v>0</v>
      </c>
      <c r="N583" s="217">
        <v>0</v>
      </c>
      <c r="O583" s="249">
        <v>0</v>
      </c>
      <c r="P583" s="407">
        <v>0</v>
      </c>
      <c r="Q583" s="249">
        <v>0</v>
      </c>
      <c r="R583" s="407">
        <v>0</v>
      </c>
      <c r="S583" s="249">
        <v>0</v>
      </c>
      <c r="T583" s="407">
        <v>0</v>
      </c>
      <c r="U583" s="130">
        <v>0</v>
      </c>
      <c r="V583" s="407">
        <v>0</v>
      </c>
      <c r="W583" s="410">
        <v>502</v>
      </c>
      <c r="X583" s="407">
        <f t="shared" si="551"/>
        <v>1550411.94</v>
      </c>
      <c r="Y583" s="410">
        <v>0</v>
      </c>
      <c r="Z583" s="410">
        <v>0</v>
      </c>
      <c r="AA583" s="410">
        <v>0</v>
      </c>
      <c r="AB583" s="410">
        <v>0</v>
      </c>
      <c r="AC583" s="410">
        <v>0</v>
      </c>
      <c r="AD583" s="410">
        <v>0</v>
      </c>
      <c r="AE583" s="410">
        <v>0</v>
      </c>
      <c r="AF583" s="410">
        <v>0</v>
      </c>
      <c r="AG583" s="410">
        <v>0</v>
      </c>
      <c r="AH583" s="410">
        <v>0</v>
      </c>
      <c r="AI583" s="410">
        <v>0</v>
      </c>
      <c r="AJ583" s="410">
        <f t="shared" si="552"/>
        <v>48704.04</v>
      </c>
      <c r="AK583" s="410">
        <f t="shared" si="553"/>
        <v>24352.02</v>
      </c>
      <c r="AL583" s="410">
        <v>0</v>
      </c>
      <c r="AM583" s="446"/>
      <c r="AN583" s="446"/>
      <c r="AP583" s="486" t="e">
        <f t="shared" si="480"/>
        <v>#DIV/0!</v>
      </c>
      <c r="AQ583" s="486" t="e">
        <f t="shared" si="486"/>
        <v>#DIV/0!</v>
      </c>
      <c r="AR583" s="486" t="e">
        <f t="shared" si="487"/>
        <v>#DIV/0!</v>
      </c>
      <c r="AS583" s="486" t="e">
        <f t="shared" si="488"/>
        <v>#DIV/0!</v>
      </c>
      <c r="AT583" s="486" t="e">
        <f t="shared" si="489"/>
        <v>#DIV/0!</v>
      </c>
      <c r="AU583" s="486" t="e">
        <f t="shared" si="490"/>
        <v>#DIV/0!</v>
      </c>
      <c r="AV583" s="486" t="e">
        <f t="shared" si="491"/>
        <v>#DIV/0!</v>
      </c>
      <c r="AW583" s="486">
        <f t="shared" si="492"/>
        <v>3088.47</v>
      </c>
      <c r="AX583" s="486" t="e">
        <f t="shared" si="493"/>
        <v>#DIV/0!</v>
      </c>
      <c r="AY583" s="486" t="e">
        <f t="shared" si="494"/>
        <v>#DIV/0!</v>
      </c>
      <c r="AZ583" s="486" t="e">
        <f t="shared" si="495"/>
        <v>#DIV/0!</v>
      </c>
      <c r="BA583" s="486">
        <f t="shared" si="481"/>
        <v>0</v>
      </c>
      <c r="BB583" s="494">
        <v>5155.41</v>
      </c>
      <c r="BC583" s="494">
        <v>2070.12</v>
      </c>
      <c r="BD583" s="494">
        <v>848.92</v>
      </c>
      <c r="BE583" s="494">
        <v>819.73</v>
      </c>
      <c r="BF583" s="494">
        <v>611.5</v>
      </c>
      <c r="BG583" s="494">
        <v>1080.04</v>
      </c>
      <c r="BH583" s="494">
        <v>2671800.0099999998</v>
      </c>
      <c r="BI583" s="494">
        <f t="shared" si="518"/>
        <v>4422.8500000000004</v>
      </c>
      <c r="BJ583" s="494">
        <v>14289.54</v>
      </c>
      <c r="BK583" s="494">
        <v>3389.61</v>
      </c>
      <c r="BL583" s="494">
        <v>5995.76</v>
      </c>
      <c r="BM583" s="494">
        <v>548.62</v>
      </c>
      <c r="BN583" s="495" t="e">
        <f t="shared" si="496"/>
        <v>#DIV/0!</v>
      </c>
      <c r="BO583" s="495" t="e">
        <f t="shared" si="497"/>
        <v>#DIV/0!</v>
      </c>
      <c r="BP583" s="495" t="e">
        <f t="shared" si="498"/>
        <v>#DIV/0!</v>
      </c>
      <c r="BQ583" s="495" t="e">
        <f t="shared" si="499"/>
        <v>#DIV/0!</v>
      </c>
      <c r="BR583" s="495" t="e">
        <f t="shared" si="500"/>
        <v>#DIV/0!</v>
      </c>
      <c r="BS583" s="495" t="e">
        <f t="shared" si="501"/>
        <v>#DIV/0!</v>
      </c>
      <c r="BT583" s="495" t="e">
        <f t="shared" si="502"/>
        <v>#DIV/0!</v>
      </c>
      <c r="BU583" s="495" t="str">
        <f t="shared" si="503"/>
        <v xml:space="preserve"> </v>
      </c>
      <c r="BV583" s="495" t="e">
        <f t="shared" si="504"/>
        <v>#DIV/0!</v>
      </c>
      <c r="BW583" s="495" t="e">
        <f t="shared" si="505"/>
        <v>#DIV/0!</v>
      </c>
      <c r="BX583" s="495" t="e">
        <f t="shared" si="506"/>
        <v>#DIV/0!</v>
      </c>
      <c r="BY583" s="495" t="str">
        <f t="shared" si="507"/>
        <v xml:space="preserve"> </v>
      </c>
    </row>
    <row r="584" spans="1:77" s="28" customFormat="1" ht="9" customHeight="1">
      <c r="A584" s="406">
        <v>196</v>
      </c>
      <c r="B584" s="276" t="s">
        <v>880</v>
      </c>
      <c r="C584" s="249">
        <v>371</v>
      </c>
      <c r="D584" s="376"/>
      <c r="E584" s="407" t="s">
        <v>1005</v>
      </c>
      <c r="F584" s="249"/>
      <c r="G584" s="249"/>
      <c r="H584" s="407">
        <v>1234913.6000000001</v>
      </c>
      <c r="I584" s="407">
        <f t="shared" si="550"/>
        <v>0</v>
      </c>
      <c r="J584" s="217">
        <v>0</v>
      </c>
      <c r="K584" s="469">
        <v>0</v>
      </c>
      <c r="L584" s="217">
        <v>0</v>
      </c>
      <c r="M584" s="469">
        <v>0</v>
      </c>
      <c r="N584" s="217">
        <v>0</v>
      </c>
      <c r="O584" s="249">
        <v>0</v>
      </c>
      <c r="P584" s="407">
        <v>0</v>
      </c>
      <c r="Q584" s="249">
        <v>0</v>
      </c>
      <c r="R584" s="407">
        <v>0</v>
      </c>
      <c r="S584" s="249">
        <v>0</v>
      </c>
      <c r="T584" s="407">
        <v>0</v>
      </c>
      <c r="U584" s="130">
        <v>0</v>
      </c>
      <c r="V584" s="407">
        <v>0</v>
      </c>
      <c r="W584" s="410">
        <v>370.4</v>
      </c>
      <c r="X584" s="407">
        <f t="shared" si="551"/>
        <v>1179342.49</v>
      </c>
      <c r="Y584" s="410">
        <v>0</v>
      </c>
      <c r="Z584" s="410">
        <v>0</v>
      </c>
      <c r="AA584" s="410">
        <v>0</v>
      </c>
      <c r="AB584" s="410">
        <v>0</v>
      </c>
      <c r="AC584" s="410">
        <v>0</v>
      </c>
      <c r="AD584" s="410">
        <v>0</v>
      </c>
      <c r="AE584" s="410">
        <v>0</v>
      </c>
      <c r="AF584" s="410">
        <v>0</v>
      </c>
      <c r="AG584" s="410">
        <v>0</v>
      </c>
      <c r="AH584" s="410">
        <v>0</v>
      </c>
      <c r="AI584" s="410">
        <v>0</v>
      </c>
      <c r="AJ584" s="410">
        <f t="shared" si="552"/>
        <v>37047.410000000003</v>
      </c>
      <c r="AK584" s="410">
        <f t="shared" si="553"/>
        <v>18523.7</v>
      </c>
      <c r="AL584" s="410">
        <v>0</v>
      </c>
      <c r="AM584" s="446"/>
      <c r="AN584" s="446"/>
      <c r="AP584" s="486" t="e">
        <f t="shared" si="480"/>
        <v>#DIV/0!</v>
      </c>
      <c r="AQ584" s="486" t="e">
        <f t="shared" si="486"/>
        <v>#DIV/0!</v>
      </c>
      <c r="AR584" s="486" t="e">
        <f t="shared" si="487"/>
        <v>#DIV/0!</v>
      </c>
      <c r="AS584" s="486" t="e">
        <f t="shared" si="488"/>
        <v>#DIV/0!</v>
      </c>
      <c r="AT584" s="486" t="e">
        <f t="shared" si="489"/>
        <v>#DIV/0!</v>
      </c>
      <c r="AU584" s="486" t="e">
        <f t="shared" si="490"/>
        <v>#DIV/0!</v>
      </c>
      <c r="AV584" s="486" t="e">
        <f t="shared" si="491"/>
        <v>#DIV/0!</v>
      </c>
      <c r="AW584" s="486">
        <f t="shared" si="492"/>
        <v>3183.970005399568</v>
      </c>
      <c r="AX584" s="486" t="e">
        <f t="shared" si="493"/>
        <v>#DIV/0!</v>
      </c>
      <c r="AY584" s="486" t="e">
        <f t="shared" si="494"/>
        <v>#DIV/0!</v>
      </c>
      <c r="AZ584" s="486" t="e">
        <f t="shared" si="495"/>
        <v>#DIV/0!</v>
      </c>
      <c r="BA584" s="486">
        <f t="shared" si="481"/>
        <v>0</v>
      </c>
      <c r="BB584" s="494">
        <v>5155.41</v>
      </c>
      <c r="BC584" s="494">
        <v>2070.12</v>
      </c>
      <c r="BD584" s="494">
        <v>848.92</v>
      </c>
      <c r="BE584" s="494">
        <v>819.73</v>
      </c>
      <c r="BF584" s="494">
        <v>611.5</v>
      </c>
      <c r="BG584" s="494">
        <v>1080.04</v>
      </c>
      <c r="BH584" s="494">
        <v>2671800.0099999998</v>
      </c>
      <c r="BI584" s="494">
        <f t="shared" si="518"/>
        <v>4607.6000000000004</v>
      </c>
      <c r="BJ584" s="494">
        <v>14289.54</v>
      </c>
      <c r="BK584" s="494">
        <v>3389.61</v>
      </c>
      <c r="BL584" s="494">
        <v>5995.76</v>
      </c>
      <c r="BM584" s="494">
        <v>548.62</v>
      </c>
      <c r="BN584" s="495" t="e">
        <f t="shared" si="496"/>
        <v>#DIV/0!</v>
      </c>
      <c r="BO584" s="495" t="e">
        <f t="shared" si="497"/>
        <v>#DIV/0!</v>
      </c>
      <c r="BP584" s="495" t="e">
        <f t="shared" si="498"/>
        <v>#DIV/0!</v>
      </c>
      <c r="BQ584" s="495" t="e">
        <f t="shared" si="499"/>
        <v>#DIV/0!</v>
      </c>
      <c r="BR584" s="495" t="e">
        <f t="shared" si="500"/>
        <v>#DIV/0!</v>
      </c>
      <c r="BS584" s="495" t="e">
        <f t="shared" si="501"/>
        <v>#DIV/0!</v>
      </c>
      <c r="BT584" s="495" t="e">
        <f t="shared" si="502"/>
        <v>#DIV/0!</v>
      </c>
      <c r="BU584" s="495" t="str">
        <f t="shared" si="503"/>
        <v xml:space="preserve"> </v>
      </c>
      <c r="BV584" s="495" t="e">
        <f t="shared" si="504"/>
        <v>#DIV/0!</v>
      </c>
      <c r="BW584" s="495" t="e">
        <f t="shared" si="505"/>
        <v>#DIV/0!</v>
      </c>
      <c r="BX584" s="495" t="e">
        <f t="shared" si="506"/>
        <v>#DIV/0!</v>
      </c>
      <c r="BY584" s="495" t="str">
        <f t="shared" si="507"/>
        <v xml:space="preserve"> </v>
      </c>
    </row>
    <row r="585" spans="1:77" s="28" customFormat="1" ht="33.75" customHeight="1">
      <c r="A585" s="954" t="s">
        <v>301</v>
      </c>
      <c r="B585" s="954"/>
      <c r="C585" s="407">
        <f>SUM(C576:C584)</f>
        <v>14595.8</v>
      </c>
      <c r="D585" s="407"/>
      <c r="E585" s="407" t="s">
        <v>391</v>
      </c>
      <c r="F585" s="249"/>
      <c r="G585" s="249"/>
      <c r="H585" s="407">
        <f>SUM(H576:H584)</f>
        <v>21300778.720000003</v>
      </c>
      <c r="I585" s="407">
        <f t="shared" ref="I585:AN585" si="554">SUM(I576:I584)</f>
        <v>1765297.5600000003</v>
      </c>
      <c r="J585" s="407">
        <f t="shared" si="554"/>
        <v>253846.64</v>
      </c>
      <c r="K585" s="407">
        <f t="shared" si="554"/>
        <v>490</v>
      </c>
      <c r="L585" s="407">
        <f t="shared" si="554"/>
        <v>823286.4</v>
      </c>
      <c r="M585" s="407">
        <f t="shared" si="554"/>
        <v>0</v>
      </c>
      <c r="N585" s="407">
        <f t="shared" si="554"/>
        <v>207914.12</v>
      </c>
      <c r="O585" s="407">
        <f t="shared" si="554"/>
        <v>220</v>
      </c>
      <c r="P585" s="407">
        <f t="shared" si="554"/>
        <v>144075.12</v>
      </c>
      <c r="Q585" s="407">
        <f t="shared" si="554"/>
        <v>0</v>
      </c>
      <c r="R585" s="407">
        <f t="shared" si="554"/>
        <v>185239.44</v>
      </c>
      <c r="S585" s="407">
        <f t="shared" si="554"/>
        <v>201</v>
      </c>
      <c r="T585" s="407">
        <f t="shared" si="554"/>
        <v>150935.84</v>
      </c>
      <c r="U585" s="130">
        <f t="shared" si="554"/>
        <v>0</v>
      </c>
      <c r="V585" s="407">
        <f t="shared" si="554"/>
        <v>0</v>
      </c>
      <c r="W585" s="407">
        <f t="shared" si="554"/>
        <v>5817.5899999999992</v>
      </c>
      <c r="X585" s="407">
        <f t="shared" si="554"/>
        <v>18355406.620000001</v>
      </c>
      <c r="Y585" s="407">
        <f t="shared" si="554"/>
        <v>0</v>
      </c>
      <c r="Z585" s="407">
        <f t="shared" si="554"/>
        <v>0</v>
      </c>
      <c r="AA585" s="407">
        <f t="shared" si="554"/>
        <v>0</v>
      </c>
      <c r="AB585" s="407">
        <f t="shared" si="554"/>
        <v>0</v>
      </c>
      <c r="AC585" s="407">
        <f t="shared" si="554"/>
        <v>0</v>
      </c>
      <c r="AD585" s="407">
        <f t="shared" si="554"/>
        <v>0</v>
      </c>
      <c r="AE585" s="407">
        <f t="shared" si="554"/>
        <v>0</v>
      </c>
      <c r="AF585" s="407">
        <f t="shared" si="554"/>
        <v>0</v>
      </c>
      <c r="AG585" s="407">
        <f t="shared" si="554"/>
        <v>0</v>
      </c>
      <c r="AH585" s="407">
        <f t="shared" si="554"/>
        <v>0</v>
      </c>
      <c r="AI585" s="407">
        <f t="shared" si="554"/>
        <v>221539.51</v>
      </c>
      <c r="AJ585" s="407">
        <f t="shared" si="554"/>
        <v>639023.35999999999</v>
      </c>
      <c r="AK585" s="407">
        <f t="shared" si="554"/>
        <v>319511.67</v>
      </c>
      <c r="AL585" s="407">
        <f t="shared" si="554"/>
        <v>0</v>
      </c>
      <c r="AM585" s="407">
        <f t="shared" si="554"/>
        <v>0</v>
      </c>
      <c r="AN585" s="407">
        <f t="shared" si="554"/>
        <v>0</v>
      </c>
      <c r="AP585" s="486" t="e">
        <f t="shared" si="480"/>
        <v>#DIV/0!</v>
      </c>
      <c r="AQ585" s="486">
        <f t="shared" si="486"/>
        <v>1680.1763265306122</v>
      </c>
      <c r="AR585" s="497" t="e">
        <f t="shared" si="487"/>
        <v>#DIV/0!</v>
      </c>
      <c r="AS585" s="497">
        <f t="shared" si="488"/>
        <v>654.88690909090906</v>
      </c>
      <c r="AT585" s="497" t="e">
        <f t="shared" si="489"/>
        <v>#DIV/0!</v>
      </c>
      <c r="AU585" s="497">
        <f t="shared" si="490"/>
        <v>750.92457711442785</v>
      </c>
      <c r="AV585" s="497" t="e">
        <f t="shared" si="491"/>
        <v>#DIV/0!</v>
      </c>
      <c r="AW585" s="497">
        <f t="shared" si="492"/>
        <v>3155.1564513827898</v>
      </c>
      <c r="AX585" s="497" t="e">
        <f t="shared" si="493"/>
        <v>#DIV/0!</v>
      </c>
      <c r="AY585" s="486" t="e">
        <f t="shared" si="494"/>
        <v>#DIV/0!</v>
      </c>
      <c r="AZ585" s="497" t="e">
        <f t="shared" si="495"/>
        <v>#DIV/0!</v>
      </c>
      <c r="BA585" s="486">
        <f t="shared" si="481"/>
        <v>15.17830540292413</v>
      </c>
      <c r="BB585" s="494">
        <v>5155.41</v>
      </c>
      <c r="BC585" s="494">
        <v>2070.12</v>
      </c>
      <c r="BD585" s="494">
        <v>848.92</v>
      </c>
      <c r="BE585" s="494">
        <v>819.73</v>
      </c>
      <c r="BF585" s="494">
        <v>611.5</v>
      </c>
      <c r="BG585" s="494">
        <v>1080.04</v>
      </c>
      <c r="BH585" s="494">
        <v>2671800.0099999998</v>
      </c>
      <c r="BI585" s="494">
        <f t="shared" si="518"/>
        <v>4422.8500000000004</v>
      </c>
      <c r="BJ585" s="494">
        <v>14289.54</v>
      </c>
      <c r="BK585" s="494">
        <v>3389.61</v>
      </c>
      <c r="BL585" s="494">
        <v>5995.76</v>
      </c>
      <c r="BM585" s="494">
        <v>548.62</v>
      </c>
      <c r="BN585" s="493" t="e">
        <f t="shared" si="496"/>
        <v>#DIV/0!</v>
      </c>
      <c r="BO585" s="493" t="str">
        <f t="shared" si="497"/>
        <v xml:space="preserve"> </v>
      </c>
      <c r="BP585" s="493" t="e">
        <f t="shared" si="498"/>
        <v>#DIV/0!</v>
      </c>
      <c r="BQ585" s="493" t="str">
        <f t="shared" si="499"/>
        <v xml:space="preserve"> </v>
      </c>
      <c r="BR585" s="493" t="e">
        <f t="shared" si="500"/>
        <v>#DIV/0!</v>
      </c>
      <c r="BS585" s="493" t="str">
        <f t="shared" si="501"/>
        <v xml:space="preserve"> </v>
      </c>
      <c r="BT585" s="493" t="e">
        <f t="shared" si="502"/>
        <v>#DIV/0!</v>
      </c>
      <c r="BU585" s="493" t="str">
        <f t="shared" si="503"/>
        <v xml:space="preserve"> </v>
      </c>
      <c r="BV585" s="493" t="e">
        <f t="shared" si="504"/>
        <v>#DIV/0!</v>
      </c>
      <c r="BW585" s="493" t="e">
        <f t="shared" si="505"/>
        <v>#DIV/0!</v>
      </c>
      <c r="BX585" s="493" t="e">
        <f t="shared" si="506"/>
        <v>#DIV/0!</v>
      </c>
      <c r="BY585" s="493" t="str">
        <f t="shared" si="507"/>
        <v xml:space="preserve"> </v>
      </c>
    </row>
    <row r="586" spans="1:77" s="28" customFormat="1" ht="17.25" customHeight="1">
      <c r="A586" s="837" t="s">
        <v>296</v>
      </c>
      <c r="B586" s="838"/>
      <c r="C586" s="838"/>
      <c r="D586" s="838"/>
      <c r="E586" s="838"/>
      <c r="F586" s="838"/>
      <c r="G586" s="838"/>
      <c r="H586" s="838"/>
      <c r="I586" s="838"/>
      <c r="J586" s="838"/>
      <c r="K586" s="838"/>
      <c r="L586" s="838"/>
      <c r="M586" s="838"/>
      <c r="N586" s="838"/>
      <c r="O586" s="838"/>
      <c r="P586" s="838"/>
      <c r="Q586" s="838"/>
      <c r="R586" s="838"/>
      <c r="S586" s="838"/>
      <c r="T586" s="838"/>
      <c r="U586" s="838"/>
      <c r="V586" s="838"/>
      <c r="W586" s="838"/>
      <c r="X586" s="838"/>
      <c r="Y586" s="838"/>
      <c r="Z586" s="838"/>
      <c r="AA586" s="838"/>
      <c r="AB586" s="838"/>
      <c r="AC586" s="838"/>
      <c r="AD586" s="838"/>
      <c r="AE586" s="838"/>
      <c r="AF586" s="838"/>
      <c r="AG586" s="838"/>
      <c r="AH586" s="838"/>
      <c r="AI586" s="838"/>
      <c r="AJ586" s="838"/>
      <c r="AK586" s="838"/>
      <c r="AL586" s="839"/>
      <c r="AM586" s="280"/>
      <c r="AN586" s="280"/>
      <c r="AP586" s="486" t="e">
        <f t="shared" si="480"/>
        <v>#DIV/0!</v>
      </c>
      <c r="AQ586" s="486" t="e">
        <f t="shared" si="486"/>
        <v>#DIV/0!</v>
      </c>
      <c r="AR586" s="497" t="e">
        <f t="shared" si="487"/>
        <v>#DIV/0!</v>
      </c>
      <c r="AS586" s="497" t="e">
        <f t="shared" si="488"/>
        <v>#DIV/0!</v>
      </c>
      <c r="AT586" s="497" t="e">
        <f t="shared" si="489"/>
        <v>#DIV/0!</v>
      </c>
      <c r="AU586" s="497" t="e">
        <f t="shared" si="490"/>
        <v>#DIV/0!</v>
      </c>
      <c r="AV586" s="497" t="e">
        <f t="shared" si="491"/>
        <v>#DIV/0!</v>
      </c>
      <c r="AW586" s="497" t="e">
        <f t="shared" si="492"/>
        <v>#DIV/0!</v>
      </c>
      <c r="AX586" s="497" t="e">
        <f t="shared" si="493"/>
        <v>#DIV/0!</v>
      </c>
      <c r="AY586" s="486" t="e">
        <f t="shared" si="494"/>
        <v>#DIV/0!</v>
      </c>
      <c r="AZ586" s="497" t="e">
        <f t="shared" si="495"/>
        <v>#DIV/0!</v>
      </c>
      <c r="BA586" s="486" t="e">
        <f t="shared" si="481"/>
        <v>#DIV/0!</v>
      </c>
      <c r="BB586" s="494">
        <v>5155.41</v>
      </c>
      <c r="BC586" s="494">
        <v>2070.12</v>
      </c>
      <c r="BD586" s="494">
        <v>848.92</v>
      </c>
      <c r="BE586" s="494">
        <v>819.73</v>
      </c>
      <c r="BF586" s="494">
        <v>611.5</v>
      </c>
      <c r="BG586" s="494">
        <v>1080.04</v>
      </c>
      <c r="BH586" s="494">
        <v>2671800.0099999998</v>
      </c>
      <c r="BI586" s="494">
        <f t="shared" si="518"/>
        <v>4422.8500000000004</v>
      </c>
      <c r="BJ586" s="494">
        <v>14289.54</v>
      </c>
      <c r="BK586" s="494">
        <v>3389.61</v>
      </c>
      <c r="BL586" s="494">
        <v>5995.76</v>
      </c>
      <c r="BM586" s="494">
        <v>548.62</v>
      </c>
      <c r="BN586" s="493" t="e">
        <f t="shared" si="496"/>
        <v>#DIV/0!</v>
      </c>
      <c r="BO586" s="493" t="e">
        <f t="shared" si="497"/>
        <v>#DIV/0!</v>
      </c>
      <c r="BP586" s="493" t="e">
        <f t="shared" si="498"/>
        <v>#DIV/0!</v>
      </c>
      <c r="BQ586" s="493" t="e">
        <f t="shared" si="499"/>
        <v>#DIV/0!</v>
      </c>
      <c r="BR586" s="493" t="e">
        <f t="shared" si="500"/>
        <v>#DIV/0!</v>
      </c>
      <c r="BS586" s="493" t="e">
        <f t="shared" si="501"/>
        <v>#DIV/0!</v>
      </c>
      <c r="BT586" s="493" t="e">
        <f t="shared" si="502"/>
        <v>#DIV/0!</v>
      </c>
      <c r="BU586" s="493" t="e">
        <f t="shared" si="503"/>
        <v>#DIV/0!</v>
      </c>
      <c r="BV586" s="493" t="e">
        <f t="shared" si="504"/>
        <v>#DIV/0!</v>
      </c>
      <c r="BW586" s="493" t="e">
        <f t="shared" si="505"/>
        <v>#DIV/0!</v>
      </c>
      <c r="BX586" s="493" t="e">
        <f t="shared" si="506"/>
        <v>#DIV/0!</v>
      </c>
      <c r="BY586" s="493" t="e">
        <f t="shared" si="507"/>
        <v>#DIV/0!</v>
      </c>
    </row>
    <row r="587" spans="1:77" s="28" customFormat="1" ht="9" customHeight="1">
      <c r="A587" s="406">
        <v>197</v>
      </c>
      <c r="B587" s="156" t="s">
        <v>885</v>
      </c>
      <c r="C587" s="249">
        <v>347.9</v>
      </c>
      <c r="D587" s="376"/>
      <c r="E587" s="407" t="s">
        <v>1006</v>
      </c>
      <c r="F587" s="249"/>
      <c r="G587" s="249"/>
      <c r="H587" s="407">
        <v>1188495</v>
      </c>
      <c r="I587" s="407">
        <f t="shared" ref="I587" si="555">J587+L587+N587+P587+R587+T587</f>
        <v>0</v>
      </c>
      <c r="J587" s="217">
        <v>0</v>
      </c>
      <c r="K587" s="469">
        <v>0</v>
      </c>
      <c r="L587" s="217">
        <v>0</v>
      </c>
      <c r="M587" s="469">
        <v>0</v>
      </c>
      <c r="N587" s="217">
        <v>0</v>
      </c>
      <c r="O587" s="249">
        <v>0</v>
      </c>
      <c r="P587" s="407">
        <v>0</v>
      </c>
      <c r="Q587" s="249">
        <v>0</v>
      </c>
      <c r="R587" s="407">
        <v>0</v>
      </c>
      <c r="S587" s="249">
        <v>0</v>
      </c>
      <c r="T587" s="407">
        <v>0</v>
      </c>
      <c r="U587" s="130">
        <v>0</v>
      </c>
      <c r="V587" s="407">
        <v>0</v>
      </c>
      <c r="W587" s="410">
        <v>367.5</v>
      </c>
      <c r="X587" s="407">
        <f>ROUND(H587/100*95.5-0.01,2)</f>
        <v>1135012.72</v>
      </c>
      <c r="Y587" s="410">
        <v>0</v>
      </c>
      <c r="Z587" s="410">
        <v>0</v>
      </c>
      <c r="AA587" s="410">
        <v>0</v>
      </c>
      <c r="AB587" s="410">
        <v>0</v>
      </c>
      <c r="AC587" s="410">
        <v>0</v>
      </c>
      <c r="AD587" s="410">
        <v>0</v>
      </c>
      <c r="AE587" s="410">
        <v>0</v>
      </c>
      <c r="AF587" s="410">
        <v>0</v>
      </c>
      <c r="AG587" s="410">
        <v>0</v>
      </c>
      <c r="AH587" s="410">
        <v>0</v>
      </c>
      <c r="AI587" s="410">
        <v>0</v>
      </c>
      <c r="AJ587" s="410">
        <f t="shared" ref="AJ587" si="556">ROUND(H587/100*3,2)</f>
        <v>35654.85</v>
      </c>
      <c r="AK587" s="410">
        <f t="shared" ref="AK587" si="557">ROUND(H587/100*1.5,2)</f>
        <v>17827.43</v>
      </c>
      <c r="AL587" s="410">
        <v>0</v>
      </c>
      <c r="AM587" s="446"/>
      <c r="AN587" s="446"/>
      <c r="AP587" s="486" t="e">
        <f t="shared" si="480"/>
        <v>#DIV/0!</v>
      </c>
      <c r="AQ587" s="486" t="e">
        <f t="shared" si="486"/>
        <v>#DIV/0!</v>
      </c>
      <c r="AR587" s="486" t="e">
        <f t="shared" si="487"/>
        <v>#DIV/0!</v>
      </c>
      <c r="AS587" s="486" t="e">
        <f t="shared" si="488"/>
        <v>#DIV/0!</v>
      </c>
      <c r="AT587" s="486" t="e">
        <f t="shared" si="489"/>
        <v>#DIV/0!</v>
      </c>
      <c r="AU587" s="486" t="e">
        <f t="shared" si="490"/>
        <v>#DIV/0!</v>
      </c>
      <c r="AV587" s="486" t="e">
        <f t="shared" si="491"/>
        <v>#DIV/0!</v>
      </c>
      <c r="AW587" s="486">
        <f t="shared" si="492"/>
        <v>3088.469986394558</v>
      </c>
      <c r="AX587" s="486" t="e">
        <f t="shared" si="493"/>
        <v>#DIV/0!</v>
      </c>
      <c r="AY587" s="486" t="e">
        <f t="shared" si="494"/>
        <v>#DIV/0!</v>
      </c>
      <c r="AZ587" s="486" t="e">
        <f t="shared" si="495"/>
        <v>#DIV/0!</v>
      </c>
      <c r="BA587" s="486">
        <f t="shared" si="481"/>
        <v>0</v>
      </c>
      <c r="BB587" s="494">
        <v>5155.41</v>
      </c>
      <c r="BC587" s="494">
        <v>2070.12</v>
      </c>
      <c r="BD587" s="494">
        <v>848.92</v>
      </c>
      <c r="BE587" s="494">
        <v>819.73</v>
      </c>
      <c r="BF587" s="494">
        <v>611.5</v>
      </c>
      <c r="BG587" s="494">
        <v>1080.04</v>
      </c>
      <c r="BH587" s="494">
        <v>2671800.0099999998</v>
      </c>
      <c r="BI587" s="494">
        <f t="shared" si="518"/>
        <v>4422.8500000000004</v>
      </c>
      <c r="BJ587" s="494">
        <v>14289.54</v>
      </c>
      <c r="BK587" s="494">
        <v>3389.61</v>
      </c>
      <c r="BL587" s="494">
        <v>5995.76</v>
      </c>
      <c r="BM587" s="494">
        <v>548.62</v>
      </c>
      <c r="BN587" s="495" t="e">
        <f t="shared" si="496"/>
        <v>#DIV/0!</v>
      </c>
      <c r="BO587" s="495" t="e">
        <f t="shared" si="497"/>
        <v>#DIV/0!</v>
      </c>
      <c r="BP587" s="495" t="e">
        <f t="shared" si="498"/>
        <v>#DIV/0!</v>
      </c>
      <c r="BQ587" s="495" t="e">
        <f t="shared" si="499"/>
        <v>#DIV/0!</v>
      </c>
      <c r="BR587" s="495" t="e">
        <f t="shared" si="500"/>
        <v>#DIV/0!</v>
      </c>
      <c r="BS587" s="495" t="e">
        <f t="shared" si="501"/>
        <v>#DIV/0!</v>
      </c>
      <c r="BT587" s="495" t="e">
        <f t="shared" si="502"/>
        <v>#DIV/0!</v>
      </c>
      <c r="BU587" s="495" t="str">
        <f t="shared" si="503"/>
        <v xml:space="preserve"> </v>
      </c>
      <c r="BV587" s="495" t="e">
        <f t="shared" si="504"/>
        <v>#DIV/0!</v>
      </c>
      <c r="BW587" s="495" t="e">
        <f t="shared" si="505"/>
        <v>#DIV/0!</v>
      </c>
      <c r="BX587" s="495" t="e">
        <f t="shared" si="506"/>
        <v>#DIV/0!</v>
      </c>
      <c r="BY587" s="495" t="str">
        <f t="shared" si="507"/>
        <v xml:space="preserve"> </v>
      </c>
    </row>
    <row r="588" spans="1:77" s="28" customFormat="1" ht="36" customHeight="1">
      <c r="A588" s="954" t="s">
        <v>302</v>
      </c>
      <c r="B588" s="954"/>
      <c r="C588" s="407">
        <f>SUM(C587)</f>
        <v>347.9</v>
      </c>
      <c r="D588" s="396"/>
      <c r="E588" s="407" t="s">
        <v>391</v>
      </c>
      <c r="F588" s="249"/>
      <c r="G588" s="249"/>
      <c r="H588" s="407">
        <f>SUM(H587)</f>
        <v>1188495</v>
      </c>
      <c r="I588" s="407">
        <f t="shared" ref="I588:AL588" si="558">SUM(I587)</f>
        <v>0</v>
      </c>
      <c r="J588" s="407">
        <f t="shared" si="558"/>
        <v>0</v>
      </c>
      <c r="K588" s="407">
        <f t="shared" si="558"/>
        <v>0</v>
      </c>
      <c r="L588" s="407">
        <f t="shared" si="558"/>
        <v>0</v>
      </c>
      <c r="M588" s="407">
        <f t="shared" si="558"/>
        <v>0</v>
      </c>
      <c r="N588" s="407">
        <f t="shared" si="558"/>
        <v>0</v>
      </c>
      <c r="O588" s="407">
        <f t="shared" si="558"/>
        <v>0</v>
      </c>
      <c r="P588" s="407">
        <f t="shared" si="558"/>
        <v>0</v>
      </c>
      <c r="Q588" s="407">
        <f t="shared" si="558"/>
        <v>0</v>
      </c>
      <c r="R588" s="407">
        <f t="shared" si="558"/>
        <v>0</v>
      </c>
      <c r="S588" s="407">
        <f t="shared" si="558"/>
        <v>0</v>
      </c>
      <c r="T588" s="407">
        <f t="shared" si="558"/>
        <v>0</v>
      </c>
      <c r="U588" s="130">
        <f t="shared" si="558"/>
        <v>0</v>
      </c>
      <c r="V588" s="407">
        <f t="shared" si="558"/>
        <v>0</v>
      </c>
      <c r="W588" s="407">
        <f t="shared" si="558"/>
        <v>367.5</v>
      </c>
      <c r="X588" s="407">
        <f t="shared" si="558"/>
        <v>1135012.72</v>
      </c>
      <c r="Y588" s="407">
        <f t="shared" si="558"/>
        <v>0</v>
      </c>
      <c r="Z588" s="407">
        <f t="shared" si="558"/>
        <v>0</v>
      </c>
      <c r="AA588" s="407">
        <f t="shared" si="558"/>
        <v>0</v>
      </c>
      <c r="AB588" s="407">
        <f t="shared" si="558"/>
        <v>0</v>
      </c>
      <c r="AC588" s="407">
        <f t="shared" si="558"/>
        <v>0</v>
      </c>
      <c r="AD588" s="407">
        <f t="shared" si="558"/>
        <v>0</v>
      </c>
      <c r="AE588" s="407">
        <f t="shared" si="558"/>
        <v>0</v>
      </c>
      <c r="AF588" s="407">
        <f t="shared" si="558"/>
        <v>0</v>
      </c>
      <c r="AG588" s="407">
        <f t="shared" si="558"/>
        <v>0</v>
      </c>
      <c r="AH588" s="407">
        <f t="shared" si="558"/>
        <v>0</v>
      </c>
      <c r="AI588" s="407">
        <f t="shared" si="558"/>
        <v>0</v>
      </c>
      <c r="AJ588" s="407">
        <f t="shared" si="558"/>
        <v>35654.85</v>
      </c>
      <c r="AK588" s="407">
        <f t="shared" si="558"/>
        <v>17827.43</v>
      </c>
      <c r="AL588" s="407">
        <f t="shared" si="558"/>
        <v>0</v>
      </c>
      <c r="AM588" s="280"/>
      <c r="AN588" s="280"/>
      <c r="AP588" s="486" t="e">
        <f t="shared" si="480"/>
        <v>#DIV/0!</v>
      </c>
      <c r="AQ588" s="486" t="e">
        <f t="shared" si="486"/>
        <v>#DIV/0!</v>
      </c>
      <c r="AR588" s="497" t="e">
        <f t="shared" si="487"/>
        <v>#DIV/0!</v>
      </c>
      <c r="AS588" s="497" t="e">
        <f t="shared" si="488"/>
        <v>#DIV/0!</v>
      </c>
      <c r="AT588" s="497" t="e">
        <f t="shared" si="489"/>
        <v>#DIV/0!</v>
      </c>
      <c r="AU588" s="497" t="e">
        <f t="shared" si="490"/>
        <v>#DIV/0!</v>
      </c>
      <c r="AV588" s="497" t="e">
        <f t="shared" si="491"/>
        <v>#DIV/0!</v>
      </c>
      <c r="AW588" s="497">
        <f t="shared" si="492"/>
        <v>3088.469986394558</v>
      </c>
      <c r="AX588" s="497" t="e">
        <f t="shared" si="493"/>
        <v>#DIV/0!</v>
      </c>
      <c r="AY588" s="486" t="e">
        <f t="shared" si="494"/>
        <v>#DIV/0!</v>
      </c>
      <c r="AZ588" s="497" t="e">
        <f t="shared" si="495"/>
        <v>#DIV/0!</v>
      </c>
      <c r="BA588" s="486">
        <f t="shared" si="481"/>
        <v>0</v>
      </c>
      <c r="BB588" s="494">
        <v>5155.41</v>
      </c>
      <c r="BC588" s="494">
        <v>2070.12</v>
      </c>
      <c r="BD588" s="494">
        <v>848.92</v>
      </c>
      <c r="BE588" s="494">
        <v>819.73</v>
      </c>
      <c r="BF588" s="494">
        <v>611.5</v>
      </c>
      <c r="BG588" s="494">
        <v>1080.04</v>
      </c>
      <c r="BH588" s="494">
        <v>2671800.0099999998</v>
      </c>
      <c r="BI588" s="494">
        <f t="shared" si="518"/>
        <v>4422.8500000000004</v>
      </c>
      <c r="BJ588" s="494">
        <v>14289.54</v>
      </c>
      <c r="BK588" s="494">
        <v>3389.61</v>
      </c>
      <c r="BL588" s="494">
        <v>5995.76</v>
      </c>
      <c r="BM588" s="494">
        <v>548.62</v>
      </c>
      <c r="BN588" s="493" t="e">
        <f t="shared" si="496"/>
        <v>#DIV/0!</v>
      </c>
      <c r="BO588" s="493" t="e">
        <f t="shared" si="497"/>
        <v>#DIV/0!</v>
      </c>
      <c r="BP588" s="493" t="e">
        <f t="shared" si="498"/>
        <v>#DIV/0!</v>
      </c>
      <c r="BQ588" s="493" t="e">
        <f t="shared" si="499"/>
        <v>#DIV/0!</v>
      </c>
      <c r="BR588" s="493" t="e">
        <f t="shared" si="500"/>
        <v>#DIV/0!</v>
      </c>
      <c r="BS588" s="493" t="e">
        <f t="shared" si="501"/>
        <v>#DIV/0!</v>
      </c>
      <c r="BT588" s="493" t="e">
        <f t="shared" si="502"/>
        <v>#DIV/0!</v>
      </c>
      <c r="BU588" s="493" t="str">
        <f t="shared" si="503"/>
        <v xml:space="preserve"> </v>
      </c>
      <c r="BV588" s="493" t="e">
        <f t="shared" si="504"/>
        <v>#DIV/0!</v>
      </c>
      <c r="BW588" s="493" t="e">
        <f t="shared" si="505"/>
        <v>#DIV/0!</v>
      </c>
      <c r="BX588" s="493" t="e">
        <f t="shared" si="506"/>
        <v>#DIV/0!</v>
      </c>
      <c r="BY588" s="493" t="str">
        <f t="shared" si="507"/>
        <v xml:space="preserve"> </v>
      </c>
    </row>
    <row r="589" spans="1:77" s="28" customFormat="1" ht="15.75" customHeight="1">
      <c r="A589" s="837" t="s">
        <v>298</v>
      </c>
      <c r="B589" s="838"/>
      <c r="C589" s="838"/>
      <c r="D589" s="838"/>
      <c r="E589" s="838"/>
      <c r="F589" s="838"/>
      <c r="G589" s="838"/>
      <c r="H589" s="838"/>
      <c r="I589" s="838"/>
      <c r="J589" s="838"/>
      <c r="K589" s="838"/>
      <c r="L589" s="838"/>
      <c r="M589" s="838"/>
      <c r="N589" s="838"/>
      <c r="O589" s="838"/>
      <c r="P589" s="838"/>
      <c r="Q589" s="838"/>
      <c r="R589" s="838"/>
      <c r="S589" s="838"/>
      <c r="T589" s="838"/>
      <c r="U589" s="838"/>
      <c r="V589" s="838"/>
      <c r="W589" s="838"/>
      <c r="X589" s="838"/>
      <c r="Y589" s="838"/>
      <c r="Z589" s="838"/>
      <c r="AA589" s="838"/>
      <c r="AB589" s="838"/>
      <c r="AC589" s="838"/>
      <c r="AD589" s="838"/>
      <c r="AE589" s="838"/>
      <c r="AF589" s="838"/>
      <c r="AG589" s="838"/>
      <c r="AH589" s="838"/>
      <c r="AI589" s="838"/>
      <c r="AJ589" s="838"/>
      <c r="AK589" s="838"/>
      <c r="AL589" s="839"/>
      <c r="AM589" s="280"/>
      <c r="AN589" s="280"/>
      <c r="AP589" s="486" t="e">
        <f t="shared" si="480"/>
        <v>#DIV/0!</v>
      </c>
      <c r="AQ589" s="486" t="e">
        <f t="shared" si="486"/>
        <v>#DIV/0!</v>
      </c>
      <c r="AR589" s="497" t="e">
        <f t="shared" si="487"/>
        <v>#DIV/0!</v>
      </c>
      <c r="AS589" s="497" t="e">
        <f t="shared" si="488"/>
        <v>#DIV/0!</v>
      </c>
      <c r="AT589" s="497" t="e">
        <f t="shared" si="489"/>
        <v>#DIV/0!</v>
      </c>
      <c r="AU589" s="497" t="e">
        <f t="shared" si="490"/>
        <v>#DIV/0!</v>
      </c>
      <c r="AV589" s="497" t="e">
        <f t="shared" si="491"/>
        <v>#DIV/0!</v>
      </c>
      <c r="AW589" s="497" t="e">
        <f t="shared" si="492"/>
        <v>#DIV/0!</v>
      </c>
      <c r="AX589" s="497" t="e">
        <f t="shared" si="493"/>
        <v>#DIV/0!</v>
      </c>
      <c r="AY589" s="486" t="e">
        <f t="shared" si="494"/>
        <v>#DIV/0!</v>
      </c>
      <c r="AZ589" s="497" t="e">
        <f t="shared" si="495"/>
        <v>#DIV/0!</v>
      </c>
      <c r="BA589" s="486" t="e">
        <f t="shared" si="481"/>
        <v>#DIV/0!</v>
      </c>
      <c r="BB589" s="494">
        <v>5155.41</v>
      </c>
      <c r="BC589" s="494">
        <v>2070.12</v>
      </c>
      <c r="BD589" s="494">
        <v>848.92</v>
      </c>
      <c r="BE589" s="494">
        <v>819.73</v>
      </c>
      <c r="BF589" s="494">
        <v>611.5</v>
      </c>
      <c r="BG589" s="494">
        <v>1080.04</v>
      </c>
      <c r="BH589" s="494">
        <v>2671800.0099999998</v>
      </c>
      <c r="BI589" s="494">
        <f t="shared" si="518"/>
        <v>4422.8500000000004</v>
      </c>
      <c r="BJ589" s="494">
        <v>14289.54</v>
      </c>
      <c r="BK589" s="494">
        <v>3389.61</v>
      </c>
      <c r="BL589" s="494">
        <v>5995.76</v>
      </c>
      <c r="BM589" s="494">
        <v>548.62</v>
      </c>
      <c r="BN589" s="493" t="e">
        <f t="shared" si="496"/>
        <v>#DIV/0!</v>
      </c>
      <c r="BO589" s="493" t="e">
        <f t="shared" si="497"/>
        <v>#DIV/0!</v>
      </c>
      <c r="BP589" s="493" t="e">
        <f t="shared" si="498"/>
        <v>#DIV/0!</v>
      </c>
      <c r="BQ589" s="493" t="e">
        <f t="shared" si="499"/>
        <v>#DIV/0!</v>
      </c>
      <c r="BR589" s="493" t="e">
        <f t="shared" si="500"/>
        <v>#DIV/0!</v>
      </c>
      <c r="BS589" s="493" t="e">
        <f t="shared" si="501"/>
        <v>#DIV/0!</v>
      </c>
      <c r="BT589" s="493" t="e">
        <f t="shared" si="502"/>
        <v>#DIV/0!</v>
      </c>
      <c r="BU589" s="493" t="e">
        <f t="shared" si="503"/>
        <v>#DIV/0!</v>
      </c>
      <c r="BV589" s="493" t="e">
        <f t="shared" si="504"/>
        <v>#DIV/0!</v>
      </c>
      <c r="BW589" s="493" t="e">
        <f t="shared" si="505"/>
        <v>#DIV/0!</v>
      </c>
      <c r="BX589" s="493" t="e">
        <f t="shared" si="506"/>
        <v>#DIV/0!</v>
      </c>
      <c r="BY589" s="493" t="e">
        <f t="shared" si="507"/>
        <v>#DIV/0!</v>
      </c>
    </row>
    <row r="590" spans="1:77" s="28" customFormat="1" ht="9" customHeight="1">
      <c r="A590" s="278">
        <v>198</v>
      </c>
      <c r="B590" s="276" t="s">
        <v>883</v>
      </c>
      <c r="C590" s="249">
        <v>994.1</v>
      </c>
      <c r="D590" s="376"/>
      <c r="E590" s="407" t="s">
        <v>1006</v>
      </c>
      <c r="F590" s="249"/>
      <c r="G590" s="249"/>
      <c r="H590" s="407">
        <v>3568395.6</v>
      </c>
      <c r="I590" s="407">
        <f t="shared" ref="I590" si="559">J590+L590+N590+P590+R590+T590</f>
        <v>0</v>
      </c>
      <c r="J590" s="217">
        <v>0</v>
      </c>
      <c r="K590" s="469">
        <v>0</v>
      </c>
      <c r="L590" s="217">
        <v>0</v>
      </c>
      <c r="M590" s="469">
        <v>0</v>
      </c>
      <c r="N590" s="217">
        <v>0</v>
      </c>
      <c r="O590" s="249">
        <v>0</v>
      </c>
      <c r="P590" s="407">
        <v>0</v>
      </c>
      <c r="Q590" s="249">
        <v>0</v>
      </c>
      <c r="R590" s="407">
        <v>0</v>
      </c>
      <c r="S590" s="249">
        <v>0</v>
      </c>
      <c r="T590" s="407">
        <v>0</v>
      </c>
      <c r="U590" s="130">
        <v>0</v>
      </c>
      <c r="V590" s="407">
        <v>0</v>
      </c>
      <c r="W590" s="410">
        <v>1103.4000000000001</v>
      </c>
      <c r="X590" s="407">
        <f t="shared" ref="X590" si="560">ROUND(H590/100*95.5,2)</f>
        <v>3407817.8</v>
      </c>
      <c r="Y590" s="410">
        <v>0</v>
      </c>
      <c r="Z590" s="410">
        <v>0</v>
      </c>
      <c r="AA590" s="410">
        <v>0</v>
      </c>
      <c r="AB590" s="410">
        <v>0</v>
      </c>
      <c r="AC590" s="410">
        <v>0</v>
      </c>
      <c r="AD590" s="410">
        <v>0</v>
      </c>
      <c r="AE590" s="410">
        <v>0</v>
      </c>
      <c r="AF590" s="410">
        <v>0</v>
      </c>
      <c r="AG590" s="410">
        <v>0</v>
      </c>
      <c r="AH590" s="410">
        <v>0</v>
      </c>
      <c r="AI590" s="410">
        <v>0</v>
      </c>
      <c r="AJ590" s="410">
        <f t="shared" ref="AJ590" si="561">ROUND(H590/100*3,2)</f>
        <v>107051.87</v>
      </c>
      <c r="AK590" s="410">
        <f t="shared" ref="AK590" si="562">ROUND(H590/100*1.5,2)</f>
        <v>53525.93</v>
      </c>
      <c r="AL590" s="410">
        <v>0</v>
      </c>
      <c r="AM590" s="446"/>
      <c r="AN590" s="446"/>
      <c r="AP590" s="486" t="e">
        <f t="shared" si="480"/>
        <v>#DIV/0!</v>
      </c>
      <c r="AQ590" s="486" t="e">
        <f t="shared" si="486"/>
        <v>#DIV/0!</v>
      </c>
      <c r="AR590" s="486" t="e">
        <f t="shared" si="487"/>
        <v>#DIV/0!</v>
      </c>
      <c r="AS590" s="486" t="e">
        <f t="shared" si="488"/>
        <v>#DIV/0!</v>
      </c>
      <c r="AT590" s="486" t="e">
        <f t="shared" si="489"/>
        <v>#DIV/0!</v>
      </c>
      <c r="AU590" s="486" t="e">
        <f t="shared" si="490"/>
        <v>#DIV/0!</v>
      </c>
      <c r="AV590" s="486" t="e">
        <f t="shared" si="491"/>
        <v>#DIV/0!</v>
      </c>
      <c r="AW590" s="486">
        <f t="shared" si="492"/>
        <v>3088.4700018125791</v>
      </c>
      <c r="AX590" s="486" t="e">
        <f t="shared" si="493"/>
        <v>#DIV/0!</v>
      </c>
      <c r="AY590" s="486" t="e">
        <f t="shared" si="494"/>
        <v>#DIV/0!</v>
      </c>
      <c r="AZ590" s="486" t="e">
        <f t="shared" si="495"/>
        <v>#DIV/0!</v>
      </c>
      <c r="BA590" s="486">
        <f t="shared" si="481"/>
        <v>0</v>
      </c>
      <c r="BB590" s="494">
        <v>5155.41</v>
      </c>
      <c r="BC590" s="494">
        <v>2070.12</v>
      </c>
      <c r="BD590" s="494">
        <v>848.92</v>
      </c>
      <c r="BE590" s="494">
        <v>819.73</v>
      </c>
      <c r="BF590" s="494">
        <v>611.5</v>
      </c>
      <c r="BG590" s="494">
        <v>1080.04</v>
      </c>
      <c r="BH590" s="494">
        <v>2671800.0099999998</v>
      </c>
      <c r="BI590" s="494">
        <f t="shared" si="518"/>
        <v>4422.8500000000004</v>
      </c>
      <c r="BJ590" s="494">
        <v>14289.54</v>
      </c>
      <c r="BK590" s="494">
        <v>3389.61</v>
      </c>
      <c r="BL590" s="494">
        <v>5995.76</v>
      </c>
      <c r="BM590" s="494">
        <v>548.62</v>
      </c>
      <c r="BN590" s="495" t="e">
        <f t="shared" si="496"/>
        <v>#DIV/0!</v>
      </c>
      <c r="BO590" s="495" t="e">
        <f t="shared" si="497"/>
        <v>#DIV/0!</v>
      </c>
      <c r="BP590" s="495" t="e">
        <f t="shared" si="498"/>
        <v>#DIV/0!</v>
      </c>
      <c r="BQ590" s="495" t="e">
        <f t="shared" si="499"/>
        <v>#DIV/0!</v>
      </c>
      <c r="BR590" s="495" t="e">
        <f t="shared" si="500"/>
        <v>#DIV/0!</v>
      </c>
      <c r="BS590" s="495" t="e">
        <f t="shared" si="501"/>
        <v>#DIV/0!</v>
      </c>
      <c r="BT590" s="495" t="e">
        <f t="shared" si="502"/>
        <v>#DIV/0!</v>
      </c>
      <c r="BU590" s="495" t="str">
        <f t="shared" si="503"/>
        <v xml:space="preserve"> </v>
      </c>
      <c r="BV590" s="495" t="e">
        <f t="shared" si="504"/>
        <v>#DIV/0!</v>
      </c>
      <c r="BW590" s="495" t="e">
        <f t="shared" si="505"/>
        <v>#DIV/0!</v>
      </c>
      <c r="BX590" s="495" t="e">
        <f t="shared" si="506"/>
        <v>#DIV/0!</v>
      </c>
      <c r="BY590" s="495" t="str">
        <f t="shared" si="507"/>
        <v xml:space="preserve"> </v>
      </c>
    </row>
    <row r="591" spans="1:77" s="28" customFormat="1" ht="34.5" customHeight="1">
      <c r="A591" s="954" t="s">
        <v>304</v>
      </c>
      <c r="B591" s="954"/>
      <c r="C591" s="407">
        <f>SUM(C590)</f>
        <v>994.1</v>
      </c>
      <c r="D591" s="396"/>
      <c r="E591" s="407" t="s">
        <v>391</v>
      </c>
      <c r="F591" s="249"/>
      <c r="G591" s="249"/>
      <c r="H591" s="407">
        <f>SUM(H590)</f>
        <v>3568395.6</v>
      </c>
      <c r="I591" s="407">
        <f t="shared" ref="I591:AL591" si="563">SUM(I590)</f>
        <v>0</v>
      </c>
      <c r="J591" s="407">
        <f t="shared" si="563"/>
        <v>0</v>
      </c>
      <c r="K591" s="407">
        <f t="shared" si="563"/>
        <v>0</v>
      </c>
      <c r="L591" s="407">
        <f t="shared" si="563"/>
        <v>0</v>
      </c>
      <c r="M591" s="407">
        <f t="shared" si="563"/>
        <v>0</v>
      </c>
      <c r="N591" s="407">
        <f t="shared" si="563"/>
        <v>0</v>
      </c>
      <c r="O591" s="407">
        <f t="shared" si="563"/>
        <v>0</v>
      </c>
      <c r="P591" s="407">
        <f t="shared" si="563"/>
        <v>0</v>
      </c>
      <c r="Q591" s="407">
        <f t="shared" si="563"/>
        <v>0</v>
      </c>
      <c r="R591" s="407">
        <f t="shared" si="563"/>
        <v>0</v>
      </c>
      <c r="S591" s="407">
        <f t="shared" si="563"/>
        <v>0</v>
      </c>
      <c r="T591" s="407">
        <f t="shared" si="563"/>
        <v>0</v>
      </c>
      <c r="U591" s="130">
        <f t="shared" si="563"/>
        <v>0</v>
      </c>
      <c r="V591" s="407">
        <f t="shared" si="563"/>
        <v>0</v>
      </c>
      <c r="W591" s="407">
        <f t="shared" si="563"/>
        <v>1103.4000000000001</v>
      </c>
      <c r="X591" s="407">
        <f t="shared" si="563"/>
        <v>3407817.8</v>
      </c>
      <c r="Y591" s="407">
        <f t="shared" si="563"/>
        <v>0</v>
      </c>
      <c r="Z591" s="407">
        <f t="shared" si="563"/>
        <v>0</v>
      </c>
      <c r="AA591" s="407">
        <f t="shared" si="563"/>
        <v>0</v>
      </c>
      <c r="AB591" s="407">
        <f t="shared" si="563"/>
        <v>0</v>
      </c>
      <c r="AC591" s="407">
        <f t="shared" si="563"/>
        <v>0</v>
      </c>
      <c r="AD591" s="407">
        <f t="shared" si="563"/>
        <v>0</v>
      </c>
      <c r="AE591" s="407">
        <f t="shared" si="563"/>
        <v>0</v>
      </c>
      <c r="AF591" s="407">
        <f t="shared" si="563"/>
        <v>0</v>
      </c>
      <c r="AG591" s="407">
        <f t="shared" si="563"/>
        <v>0</v>
      </c>
      <c r="AH591" s="407">
        <f t="shared" si="563"/>
        <v>0</v>
      </c>
      <c r="AI591" s="407">
        <f t="shared" si="563"/>
        <v>0</v>
      </c>
      <c r="AJ591" s="407">
        <f t="shared" si="563"/>
        <v>107051.87</v>
      </c>
      <c r="AK591" s="407">
        <f t="shared" si="563"/>
        <v>53525.93</v>
      </c>
      <c r="AL591" s="407">
        <f t="shared" si="563"/>
        <v>0</v>
      </c>
      <c r="AM591" s="280"/>
      <c r="AN591" s="280"/>
      <c r="AP591" s="486" t="e">
        <f t="shared" si="480"/>
        <v>#DIV/0!</v>
      </c>
      <c r="AQ591" s="486" t="e">
        <f t="shared" si="486"/>
        <v>#DIV/0!</v>
      </c>
      <c r="AR591" s="497" t="e">
        <f t="shared" si="487"/>
        <v>#DIV/0!</v>
      </c>
      <c r="AS591" s="497" t="e">
        <f t="shared" si="488"/>
        <v>#DIV/0!</v>
      </c>
      <c r="AT591" s="497" t="e">
        <f t="shared" si="489"/>
        <v>#DIV/0!</v>
      </c>
      <c r="AU591" s="497" t="e">
        <f t="shared" si="490"/>
        <v>#DIV/0!</v>
      </c>
      <c r="AV591" s="497" t="e">
        <f t="shared" si="491"/>
        <v>#DIV/0!</v>
      </c>
      <c r="AW591" s="497">
        <f t="shared" si="492"/>
        <v>3088.4700018125791</v>
      </c>
      <c r="AX591" s="497" t="e">
        <f t="shared" si="493"/>
        <v>#DIV/0!</v>
      </c>
      <c r="AY591" s="486" t="e">
        <f t="shared" si="494"/>
        <v>#DIV/0!</v>
      </c>
      <c r="AZ591" s="497" t="e">
        <f t="shared" si="495"/>
        <v>#DIV/0!</v>
      </c>
      <c r="BA591" s="486">
        <f t="shared" si="481"/>
        <v>0</v>
      </c>
      <c r="BB591" s="494">
        <v>5155.41</v>
      </c>
      <c r="BC591" s="494">
        <v>2070.12</v>
      </c>
      <c r="BD591" s="494">
        <v>848.92</v>
      </c>
      <c r="BE591" s="494">
        <v>819.73</v>
      </c>
      <c r="BF591" s="494">
        <v>611.5</v>
      </c>
      <c r="BG591" s="494">
        <v>1080.04</v>
      </c>
      <c r="BH591" s="494">
        <v>2671800.0099999998</v>
      </c>
      <c r="BI591" s="494">
        <f t="shared" si="518"/>
        <v>4422.8500000000004</v>
      </c>
      <c r="BJ591" s="494">
        <v>14289.54</v>
      </c>
      <c r="BK591" s="494">
        <v>3389.61</v>
      </c>
      <c r="BL591" s="494">
        <v>5995.76</v>
      </c>
      <c r="BM591" s="494">
        <v>548.62</v>
      </c>
      <c r="BN591" s="493" t="e">
        <f t="shared" si="496"/>
        <v>#DIV/0!</v>
      </c>
      <c r="BO591" s="493" t="e">
        <f t="shared" si="497"/>
        <v>#DIV/0!</v>
      </c>
      <c r="BP591" s="493" t="e">
        <f t="shared" si="498"/>
        <v>#DIV/0!</v>
      </c>
      <c r="BQ591" s="493" t="e">
        <f t="shared" si="499"/>
        <v>#DIV/0!</v>
      </c>
      <c r="BR591" s="493" t="e">
        <f t="shared" si="500"/>
        <v>#DIV/0!</v>
      </c>
      <c r="BS591" s="493" t="e">
        <f t="shared" si="501"/>
        <v>#DIV/0!</v>
      </c>
      <c r="BT591" s="493" t="e">
        <f t="shared" si="502"/>
        <v>#DIV/0!</v>
      </c>
      <c r="BU591" s="493" t="str">
        <f t="shared" si="503"/>
        <v xml:space="preserve"> </v>
      </c>
      <c r="BV591" s="493" t="e">
        <f t="shared" si="504"/>
        <v>#DIV/0!</v>
      </c>
      <c r="BW591" s="493" t="e">
        <f t="shared" si="505"/>
        <v>#DIV/0!</v>
      </c>
      <c r="BX591" s="493" t="e">
        <f t="shared" si="506"/>
        <v>#DIV/0!</v>
      </c>
      <c r="BY591" s="493" t="str">
        <f t="shared" si="507"/>
        <v xml:space="preserve"> </v>
      </c>
    </row>
    <row r="592" spans="1:77" s="28" customFormat="1" ht="13.5" customHeight="1">
      <c r="A592" s="871" t="s">
        <v>899</v>
      </c>
      <c r="B592" s="872"/>
      <c r="C592" s="872"/>
      <c r="D592" s="872"/>
      <c r="E592" s="872"/>
      <c r="F592" s="872"/>
      <c r="G592" s="872"/>
      <c r="H592" s="872"/>
      <c r="I592" s="872"/>
      <c r="J592" s="872"/>
      <c r="K592" s="872"/>
      <c r="L592" s="872"/>
      <c r="M592" s="872"/>
      <c r="N592" s="872"/>
      <c r="O592" s="872"/>
      <c r="P592" s="872"/>
      <c r="Q592" s="872"/>
      <c r="R592" s="872"/>
      <c r="S592" s="872"/>
      <c r="T592" s="872"/>
      <c r="U592" s="872"/>
      <c r="V592" s="872"/>
      <c r="W592" s="872"/>
      <c r="X592" s="872"/>
      <c r="Y592" s="872"/>
      <c r="Z592" s="872"/>
      <c r="AA592" s="872"/>
      <c r="AB592" s="872"/>
      <c r="AC592" s="872"/>
      <c r="AD592" s="872"/>
      <c r="AE592" s="872"/>
      <c r="AF592" s="872"/>
      <c r="AG592" s="872"/>
      <c r="AH592" s="872"/>
      <c r="AI592" s="872"/>
      <c r="AJ592" s="872"/>
      <c r="AK592" s="872"/>
      <c r="AL592" s="873"/>
      <c r="AM592" s="280"/>
      <c r="AN592" s="280"/>
      <c r="AP592" s="486" t="e">
        <f t="shared" si="480"/>
        <v>#DIV/0!</v>
      </c>
      <c r="AQ592" s="486" t="e">
        <f t="shared" si="486"/>
        <v>#DIV/0!</v>
      </c>
      <c r="AR592" s="497" t="e">
        <f t="shared" si="487"/>
        <v>#DIV/0!</v>
      </c>
      <c r="AS592" s="497" t="e">
        <f t="shared" si="488"/>
        <v>#DIV/0!</v>
      </c>
      <c r="AT592" s="497" t="e">
        <f t="shared" si="489"/>
        <v>#DIV/0!</v>
      </c>
      <c r="AU592" s="497" t="e">
        <f t="shared" si="490"/>
        <v>#DIV/0!</v>
      </c>
      <c r="AV592" s="497" t="e">
        <f t="shared" si="491"/>
        <v>#DIV/0!</v>
      </c>
      <c r="AW592" s="497" t="e">
        <f t="shared" si="492"/>
        <v>#DIV/0!</v>
      </c>
      <c r="AX592" s="497" t="e">
        <f t="shared" si="493"/>
        <v>#DIV/0!</v>
      </c>
      <c r="AY592" s="486" t="e">
        <f t="shared" si="494"/>
        <v>#DIV/0!</v>
      </c>
      <c r="AZ592" s="497" t="e">
        <f t="shared" si="495"/>
        <v>#DIV/0!</v>
      </c>
      <c r="BA592" s="486" t="e">
        <f t="shared" si="481"/>
        <v>#DIV/0!</v>
      </c>
      <c r="BB592" s="494">
        <v>5155.41</v>
      </c>
      <c r="BC592" s="494">
        <v>2070.12</v>
      </c>
      <c r="BD592" s="494">
        <v>848.92</v>
      </c>
      <c r="BE592" s="494">
        <v>819.73</v>
      </c>
      <c r="BF592" s="494">
        <v>611.5</v>
      </c>
      <c r="BG592" s="494">
        <v>1080.04</v>
      </c>
      <c r="BH592" s="494">
        <v>2671800.0099999998</v>
      </c>
      <c r="BI592" s="494">
        <f t="shared" si="518"/>
        <v>4422.8500000000004</v>
      </c>
      <c r="BJ592" s="494">
        <v>14289.54</v>
      </c>
      <c r="BK592" s="494">
        <v>3389.61</v>
      </c>
      <c r="BL592" s="494">
        <v>5995.76</v>
      </c>
      <c r="BM592" s="494">
        <v>548.62</v>
      </c>
      <c r="BN592" s="493" t="e">
        <f t="shared" si="496"/>
        <v>#DIV/0!</v>
      </c>
      <c r="BO592" s="493" t="e">
        <f t="shared" si="497"/>
        <v>#DIV/0!</v>
      </c>
      <c r="BP592" s="493" t="e">
        <f t="shared" si="498"/>
        <v>#DIV/0!</v>
      </c>
      <c r="BQ592" s="493" t="e">
        <f t="shared" si="499"/>
        <v>#DIV/0!</v>
      </c>
      <c r="BR592" s="493" t="e">
        <f t="shared" si="500"/>
        <v>#DIV/0!</v>
      </c>
      <c r="BS592" s="493" t="e">
        <f t="shared" si="501"/>
        <v>#DIV/0!</v>
      </c>
      <c r="BT592" s="493" t="e">
        <f t="shared" si="502"/>
        <v>#DIV/0!</v>
      </c>
      <c r="BU592" s="493" t="e">
        <f t="shared" si="503"/>
        <v>#DIV/0!</v>
      </c>
      <c r="BV592" s="493" t="e">
        <f t="shared" si="504"/>
        <v>#DIV/0!</v>
      </c>
      <c r="BW592" s="493" t="e">
        <f t="shared" si="505"/>
        <v>#DIV/0!</v>
      </c>
      <c r="BX592" s="493" t="e">
        <f t="shared" si="506"/>
        <v>#DIV/0!</v>
      </c>
      <c r="BY592" s="493" t="e">
        <f t="shared" si="507"/>
        <v>#DIV/0!</v>
      </c>
    </row>
    <row r="593" spans="1:77" s="28" customFormat="1" ht="9" customHeight="1">
      <c r="A593" s="178">
        <v>199</v>
      </c>
      <c r="B593" s="276" t="s">
        <v>900</v>
      </c>
      <c r="C593" s="249">
        <v>601.1</v>
      </c>
      <c r="D593" s="376"/>
      <c r="E593" s="407" t="s">
        <v>1006</v>
      </c>
      <c r="F593" s="249"/>
      <c r="G593" s="249"/>
      <c r="H593" s="407">
        <v>1513512</v>
      </c>
      <c r="I593" s="407">
        <f t="shared" ref="I593" si="564">J593+L593+N593+P593+R593+T593</f>
        <v>0</v>
      </c>
      <c r="J593" s="217">
        <v>0</v>
      </c>
      <c r="K593" s="469">
        <v>0</v>
      </c>
      <c r="L593" s="217">
        <v>0</v>
      </c>
      <c r="M593" s="469">
        <v>0</v>
      </c>
      <c r="N593" s="217">
        <v>0</v>
      </c>
      <c r="O593" s="249">
        <v>0</v>
      </c>
      <c r="P593" s="407">
        <v>0</v>
      </c>
      <c r="Q593" s="249">
        <v>0</v>
      </c>
      <c r="R593" s="407">
        <v>0</v>
      </c>
      <c r="S593" s="249">
        <v>0</v>
      </c>
      <c r="T593" s="407">
        <v>0</v>
      </c>
      <c r="U593" s="130">
        <v>0</v>
      </c>
      <c r="V593" s="407">
        <v>0</v>
      </c>
      <c r="W593" s="23">
        <v>468</v>
      </c>
      <c r="X593" s="407">
        <f t="shared" ref="X593" si="565">ROUND(H593/100*95.5,2)</f>
        <v>1445403.96</v>
      </c>
      <c r="Y593" s="410">
        <v>0</v>
      </c>
      <c r="Z593" s="410">
        <v>0</v>
      </c>
      <c r="AA593" s="410">
        <v>0</v>
      </c>
      <c r="AB593" s="410">
        <v>0</v>
      </c>
      <c r="AC593" s="410">
        <v>0</v>
      </c>
      <c r="AD593" s="410">
        <v>0</v>
      </c>
      <c r="AE593" s="410">
        <v>0</v>
      </c>
      <c r="AF593" s="410">
        <v>0</v>
      </c>
      <c r="AG593" s="410">
        <v>0</v>
      </c>
      <c r="AH593" s="410">
        <v>0</v>
      </c>
      <c r="AI593" s="410">
        <v>0</v>
      </c>
      <c r="AJ593" s="410">
        <f t="shared" ref="AJ593" si="566">ROUND(H593/100*3,2)</f>
        <v>45405.36</v>
      </c>
      <c r="AK593" s="410">
        <f t="shared" ref="AK593" si="567">ROUND(H593/100*1.5,2)</f>
        <v>22702.68</v>
      </c>
      <c r="AL593" s="410">
        <v>0</v>
      </c>
      <c r="AM593" s="446"/>
      <c r="AN593" s="446"/>
      <c r="AP593" s="486" t="e">
        <f t="shared" ref="AP593:AP656" si="568">J593/D593</f>
        <v>#DIV/0!</v>
      </c>
      <c r="AQ593" s="486" t="e">
        <f t="shared" si="486"/>
        <v>#DIV/0!</v>
      </c>
      <c r="AR593" s="486" t="e">
        <f t="shared" si="487"/>
        <v>#DIV/0!</v>
      </c>
      <c r="AS593" s="486" t="e">
        <f t="shared" si="488"/>
        <v>#DIV/0!</v>
      </c>
      <c r="AT593" s="486" t="e">
        <f t="shared" si="489"/>
        <v>#DIV/0!</v>
      </c>
      <c r="AU593" s="486" t="e">
        <f t="shared" si="490"/>
        <v>#DIV/0!</v>
      </c>
      <c r="AV593" s="486" t="e">
        <f t="shared" si="491"/>
        <v>#DIV/0!</v>
      </c>
      <c r="AW593" s="486">
        <f t="shared" si="492"/>
        <v>3088.47</v>
      </c>
      <c r="AX593" s="486" t="e">
        <f t="shared" si="493"/>
        <v>#DIV/0!</v>
      </c>
      <c r="AY593" s="486" t="e">
        <f t="shared" si="494"/>
        <v>#DIV/0!</v>
      </c>
      <c r="AZ593" s="486" t="e">
        <f t="shared" si="495"/>
        <v>#DIV/0!</v>
      </c>
      <c r="BA593" s="486">
        <f t="shared" ref="BA593:BA656" si="569">AI593/C593</f>
        <v>0</v>
      </c>
      <c r="BB593" s="494">
        <v>5155.41</v>
      </c>
      <c r="BC593" s="494">
        <v>2070.12</v>
      </c>
      <c r="BD593" s="494">
        <v>848.92</v>
      </c>
      <c r="BE593" s="494">
        <v>819.73</v>
      </c>
      <c r="BF593" s="494">
        <v>611.5</v>
      </c>
      <c r="BG593" s="494">
        <v>1080.04</v>
      </c>
      <c r="BH593" s="494">
        <v>2671800.0099999998</v>
      </c>
      <c r="BI593" s="494">
        <f t="shared" si="518"/>
        <v>4422.8500000000004</v>
      </c>
      <c r="BJ593" s="494">
        <v>14289.54</v>
      </c>
      <c r="BK593" s="494">
        <v>3389.61</v>
      </c>
      <c r="BL593" s="494">
        <v>5995.76</v>
      </c>
      <c r="BM593" s="494">
        <v>548.62</v>
      </c>
      <c r="BN593" s="495" t="e">
        <f t="shared" si="496"/>
        <v>#DIV/0!</v>
      </c>
      <c r="BO593" s="495" t="e">
        <f t="shared" si="497"/>
        <v>#DIV/0!</v>
      </c>
      <c r="BP593" s="495" t="e">
        <f t="shared" si="498"/>
        <v>#DIV/0!</v>
      </c>
      <c r="BQ593" s="495" t="e">
        <f t="shared" si="499"/>
        <v>#DIV/0!</v>
      </c>
      <c r="BR593" s="495" t="e">
        <f t="shared" si="500"/>
        <v>#DIV/0!</v>
      </c>
      <c r="BS593" s="495" t="e">
        <f t="shared" si="501"/>
        <v>#DIV/0!</v>
      </c>
      <c r="BT593" s="495" t="e">
        <f t="shared" si="502"/>
        <v>#DIV/0!</v>
      </c>
      <c r="BU593" s="495" t="str">
        <f t="shared" si="503"/>
        <v xml:space="preserve"> </v>
      </c>
      <c r="BV593" s="495" t="e">
        <f t="shared" si="504"/>
        <v>#DIV/0!</v>
      </c>
      <c r="BW593" s="495" t="e">
        <f t="shared" si="505"/>
        <v>#DIV/0!</v>
      </c>
      <c r="BX593" s="495" t="e">
        <f t="shared" si="506"/>
        <v>#DIV/0!</v>
      </c>
      <c r="BY593" s="495" t="str">
        <f t="shared" si="507"/>
        <v xml:space="preserve"> </v>
      </c>
    </row>
    <row r="594" spans="1:77" s="28" customFormat="1" ht="25.5" customHeight="1">
      <c r="A594" s="955" t="s">
        <v>901</v>
      </c>
      <c r="B594" s="955"/>
      <c r="C594" s="180">
        <f>SUM(C593)</f>
        <v>601.1</v>
      </c>
      <c r="D594" s="427"/>
      <c r="E594" s="407" t="s">
        <v>391</v>
      </c>
      <c r="F594" s="249"/>
      <c r="G594" s="249"/>
      <c r="H594" s="180">
        <f>SUM(H593)</f>
        <v>1513512</v>
      </c>
      <c r="I594" s="180">
        <f t="shared" ref="I594:AL594" si="570">SUM(I593)</f>
        <v>0</v>
      </c>
      <c r="J594" s="180">
        <f t="shared" si="570"/>
        <v>0</v>
      </c>
      <c r="K594" s="180">
        <f t="shared" si="570"/>
        <v>0</v>
      </c>
      <c r="L594" s="180">
        <f t="shared" si="570"/>
        <v>0</v>
      </c>
      <c r="M594" s="180">
        <f t="shared" si="570"/>
        <v>0</v>
      </c>
      <c r="N594" s="180">
        <f t="shared" si="570"/>
        <v>0</v>
      </c>
      <c r="O594" s="180">
        <f t="shared" si="570"/>
        <v>0</v>
      </c>
      <c r="P594" s="180">
        <f t="shared" si="570"/>
        <v>0</v>
      </c>
      <c r="Q594" s="180">
        <f t="shared" si="570"/>
        <v>0</v>
      </c>
      <c r="R594" s="180">
        <f t="shared" si="570"/>
        <v>0</v>
      </c>
      <c r="S594" s="180">
        <f t="shared" si="570"/>
        <v>0</v>
      </c>
      <c r="T594" s="180">
        <f t="shared" si="570"/>
        <v>0</v>
      </c>
      <c r="U594" s="181">
        <f t="shared" si="570"/>
        <v>0</v>
      </c>
      <c r="V594" s="180">
        <f t="shared" si="570"/>
        <v>0</v>
      </c>
      <c r="W594" s="180">
        <f t="shared" si="570"/>
        <v>468</v>
      </c>
      <c r="X594" s="180">
        <f t="shared" si="570"/>
        <v>1445403.96</v>
      </c>
      <c r="Y594" s="180">
        <f t="shared" si="570"/>
        <v>0</v>
      </c>
      <c r="Z594" s="180">
        <f t="shared" si="570"/>
        <v>0</v>
      </c>
      <c r="AA594" s="180">
        <f t="shared" si="570"/>
        <v>0</v>
      </c>
      <c r="AB594" s="180">
        <f t="shared" si="570"/>
        <v>0</v>
      </c>
      <c r="AC594" s="180">
        <f t="shared" si="570"/>
        <v>0</v>
      </c>
      <c r="AD594" s="180">
        <f t="shared" si="570"/>
        <v>0</v>
      </c>
      <c r="AE594" s="180">
        <f t="shared" si="570"/>
        <v>0</v>
      </c>
      <c r="AF594" s="180">
        <f t="shared" si="570"/>
        <v>0</v>
      </c>
      <c r="AG594" s="180">
        <f t="shared" si="570"/>
        <v>0</v>
      </c>
      <c r="AH594" s="180">
        <f t="shared" si="570"/>
        <v>0</v>
      </c>
      <c r="AI594" s="180">
        <f t="shared" si="570"/>
        <v>0</v>
      </c>
      <c r="AJ594" s="180">
        <f t="shared" si="570"/>
        <v>45405.36</v>
      </c>
      <c r="AK594" s="180">
        <f t="shared" si="570"/>
        <v>22702.68</v>
      </c>
      <c r="AL594" s="180">
        <f t="shared" si="570"/>
        <v>0</v>
      </c>
      <c r="AM594" s="280"/>
      <c r="AN594" s="280"/>
      <c r="AP594" s="486" t="e">
        <f t="shared" si="568"/>
        <v>#DIV/0!</v>
      </c>
      <c r="AQ594" s="486" t="e">
        <f t="shared" ref="AQ594:AQ657" si="571">L594/K594</f>
        <v>#DIV/0!</v>
      </c>
      <c r="AR594" s="497" t="e">
        <f t="shared" ref="AR594:AR657" si="572">N594/M594</f>
        <v>#DIV/0!</v>
      </c>
      <c r="AS594" s="497" t="e">
        <f t="shared" ref="AS594:AS657" si="573">P594/O594</f>
        <v>#DIV/0!</v>
      </c>
      <c r="AT594" s="497" t="e">
        <f t="shared" ref="AT594:AT657" si="574">R594/Q594</f>
        <v>#DIV/0!</v>
      </c>
      <c r="AU594" s="497" t="e">
        <f t="shared" ref="AU594:AU657" si="575">T594/S594</f>
        <v>#DIV/0!</v>
      </c>
      <c r="AV594" s="497" t="e">
        <f t="shared" ref="AV594:AV657" si="576">V594/U594</f>
        <v>#DIV/0!</v>
      </c>
      <c r="AW594" s="497">
        <f t="shared" ref="AW594:AW657" si="577">X594/W594</f>
        <v>3088.47</v>
      </c>
      <c r="AX594" s="497" t="e">
        <f t="shared" ref="AX594:AX657" si="578">Z594/Y594</f>
        <v>#DIV/0!</v>
      </c>
      <c r="AY594" s="486" t="e">
        <f t="shared" ref="AY594:AY657" si="579">AB594/AA594</f>
        <v>#DIV/0!</v>
      </c>
      <c r="AZ594" s="497" t="e">
        <f t="shared" ref="AZ594:AZ657" si="580">AH594/AG594</f>
        <v>#DIV/0!</v>
      </c>
      <c r="BA594" s="486">
        <f t="shared" si="569"/>
        <v>0</v>
      </c>
      <c r="BB594" s="494">
        <v>5155.41</v>
      </c>
      <c r="BC594" s="494">
        <v>2070.12</v>
      </c>
      <c r="BD594" s="494">
        <v>848.92</v>
      </c>
      <c r="BE594" s="494">
        <v>819.73</v>
      </c>
      <c r="BF594" s="494">
        <v>611.5</v>
      </c>
      <c r="BG594" s="494">
        <v>1080.04</v>
      </c>
      <c r="BH594" s="494">
        <v>2671800.0099999998</v>
      </c>
      <c r="BI594" s="494">
        <f t="shared" si="518"/>
        <v>4422.8500000000004</v>
      </c>
      <c r="BJ594" s="494">
        <v>14289.54</v>
      </c>
      <c r="BK594" s="494">
        <v>3389.61</v>
      </c>
      <c r="BL594" s="494">
        <v>5995.76</v>
      </c>
      <c r="BM594" s="494">
        <v>548.62</v>
      </c>
      <c r="BN594" s="493" t="e">
        <f t="shared" ref="BN594:BN657" si="581">IF(AP594&gt;BB594, "+", " ")</f>
        <v>#DIV/0!</v>
      </c>
      <c r="BO594" s="493" t="e">
        <f t="shared" ref="BO594:BO657" si="582">IF(AQ594&gt;BC594, "+", " ")</f>
        <v>#DIV/0!</v>
      </c>
      <c r="BP594" s="493" t="e">
        <f t="shared" ref="BP594:BP657" si="583">IF(AR594&gt;BD594, "+", " ")</f>
        <v>#DIV/0!</v>
      </c>
      <c r="BQ594" s="493" t="e">
        <f t="shared" ref="BQ594:BQ657" si="584">IF(AS594&gt;BE594, "+", " ")</f>
        <v>#DIV/0!</v>
      </c>
      <c r="BR594" s="493" t="e">
        <f t="shared" ref="BR594:BR657" si="585">IF(AT594&gt;BF594, "+", " ")</f>
        <v>#DIV/0!</v>
      </c>
      <c r="BS594" s="493" t="e">
        <f t="shared" ref="BS594:BS657" si="586">IF(AU594&gt;BG594, "+", " ")</f>
        <v>#DIV/0!</v>
      </c>
      <c r="BT594" s="493" t="e">
        <f t="shared" ref="BT594:BT657" si="587">IF(AV594&gt;BH594, "+", " ")</f>
        <v>#DIV/0!</v>
      </c>
      <c r="BU594" s="493" t="str">
        <f t="shared" ref="BU594:BU657" si="588">IF(AW594&gt;BI594, "+", " ")</f>
        <v xml:space="preserve"> </v>
      </c>
      <c r="BV594" s="493" t="e">
        <f t="shared" ref="BV594:BV657" si="589">IF(AX594&gt;BJ594, "+", " ")</f>
        <v>#DIV/0!</v>
      </c>
      <c r="BW594" s="493" t="e">
        <f t="shared" ref="BW594:BW657" si="590">IF(AY594&gt;BK594, "+", " ")</f>
        <v>#DIV/0!</v>
      </c>
      <c r="BX594" s="493" t="e">
        <f t="shared" ref="BX594:BX657" si="591">IF(AZ594&gt;BL594, "+", " ")</f>
        <v>#DIV/0!</v>
      </c>
      <c r="BY594" s="493" t="str">
        <f t="shared" ref="BY594:BY657" si="592">IF(BA594&gt;BM594, "+", " ")</f>
        <v xml:space="preserve"> </v>
      </c>
    </row>
    <row r="595" spans="1:77" s="28" customFormat="1" ht="12" customHeight="1">
      <c r="A595" s="871" t="s">
        <v>1027</v>
      </c>
      <c r="B595" s="872"/>
      <c r="C595" s="872"/>
      <c r="D595" s="872"/>
      <c r="E595" s="872"/>
      <c r="F595" s="872"/>
      <c r="G595" s="872"/>
      <c r="H595" s="872"/>
      <c r="I595" s="872"/>
      <c r="J595" s="872"/>
      <c r="K595" s="872"/>
      <c r="L595" s="872"/>
      <c r="M595" s="872"/>
      <c r="N595" s="872"/>
      <c r="O595" s="872"/>
      <c r="P595" s="872"/>
      <c r="Q595" s="872"/>
      <c r="R595" s="872"/>
      <c r="S595" s="872"/>
      <c r="T595" s="872"/>
      <c r="U595" s="872"/>
      <c r="V595" s="872"/>
      <c r="W595" s="872"/>
      <c r="X595" s="872"/>
      <c r="Y595" s="872"/>
      <c r="Z595" s="872"/>
      <c r="AA595" s="872"/>
      <c r="AB595" s="872"/>
      <c r="AC595" s="872"/>
      <c r="AD595" s="872"/>
      <c r="AE595" s="872"/>
      <c r="AF595" s="872"/>
      <c r="AG595" s="872"/>
      <c r="AH595" s="872"/>
      <c r="AI595" s="872"/>
      <c r="AJ595" s="872"/>
      <c r="AK595" s="872"/>
      <c r="AL595" s="873"/>
      <c r="AM595" s="280"/>
      <c r="AN595" s="280"/>
      <c r="AP595" s="486" t="e">
        <f t="shared" si="568"/>
        <v>#DIV/0!</v>
      </c>
      <c r="AQ595" s="486" t="e">
        <f t="shared" si="571"/>
        <v>#DIV/0!</v>
      </c>
      <c r="AR595" s="497" t="e">
        <f t="shared" si="572"/>
        <v>#DIV/0!</v>
      </c>
      <c r="AS595" s="497" t="e">
        <f t="shared" si="573"/>
        <v>#DIV/0!</v>
      </c>
      <c r="AT595" s="497" t="e">
        <f t="shared" si="574"/>
        <v>#DIV/0!</v>
      </c>
      <c r="AU595" s="497" t="e">
        <f t="shared" si="575"/>
        <v>#DIV/0!</v>
      </c>
      <c r="AV595" s="497" t="e">
        <f t="shared" si="576"/>
        <v>#DIV/0!</v>
      </c>
      <c r="AW595" s="497" t="e">
        <f t="shared" si="577"/>
        <v>#DIV/0!</v>
      </c>
      <c r="AX595" s="497" t="e">
        <f t="shared" si="578"/>
        <v>#DIV/0!</v>
      </c>
      <c r="AY595" s="486" t="e">
        <f t="shared" si="579"/>
        <v>#DIV/0!</v>
      </c>
      <c r="AZ595" s="497" t="e">
        <f t="shared" si="580"/>
        <v>#DIV/0!</v>
      </c>
      <c r="BA595" s="486" t="e">
        <f t="shared" si="569"/>
        <v>#DIV/0!</v>
      </c>
      <c r="BB595" s="494">
        <v>5155.41</v>
      </c>
      <c r="BC595" s="494">
        <v>2070.12</v>
      </c>
      <c r="BD595" s="494">
        <v>848.92</v>
      </c>
      <c r="BE595" s="494">
        <v>819.73</v>
      </c>
      <c r="BF595" s="494">
        <v>611.5</v>
      </c>
      <c r="BG595" s="494">
        <v>1080.04</v>
      </c>
      <c r="BH595" s="494">
        <v>2671800.0099999998</v>
      </c>
      <c r="BI595" s="494">
        <f t="shared" si="518"/>
        <v>4422.8500000000004</v>
      </c>
      <c r="BJ595" s="494">
        <v>14289.54</v>
      </c>
      <c r="BK595" s="494">
        <v>3389.61</v>
      </c>
      <c r="BL595" s="494">
        <v>5995.76</v>
      </c>
      <c r="BM595" s="494">
        <v>548.62</v>
      </c>
      <c r="BN595" s="493" t="e">
        <f t="shared" si="581"/>
        <v>#DIV/0!</v>
      </c>
      <c r="BO595" s="493" t="e">
        <f t="shared" si="582"/>
        <v>#DIV/0!</v>
      </c>
      <c r="BP595" s="493" t="e">
        <f t="shared" si="583"/>
        <v>#DIV/0!</v>
      </c>
      <c r="BQ595" s="493" t="e">
        <f t="shared" si="584"/>
        <v>#DIV/0!</v>
      </c>
      <c r="BR595" s="493" t="e">
        <f t="shared" si="585"/>
        <v>#DIV/0!</v>
      </c>
      <c r="BS595" s="493" t="e">
        <f t="shared" si="586"/>
        <v>#DIV/0!</v>
      </c>
      <c r="BT595" s="493" t="e">
        <f t="shared" si="587"/>
        <v>#DIV/0!</v>
      </c>
      <c r="BU595" s="493" t="e">
        <f t="shared" si="588"/>
        <v>#DIV/0!</v>
      </c>
      <c r="BV595" s="493" t="e">
        <f t="shared" si="589"/>
        <v>#DIV/0!</v>
      </c>
      <c r="BW595" s="493" t="e">
        <f t="shared" si="590"/>
        <v>#DIV/0!</v>
      </c>
      <c r="BX595" s="493" t="e">
        <f t="shared" si="591"/>
        <v>#DIV/0!</v>
      </c>
      <c r="BY595" s="493" t="e">
        <f t="shared" si="592"/>
        <v>#DIV/0!</v>
      </c>
    </row>
    <row r="596" spans="1:77" s="28" customFormat="1" ht="9" customHeight="1">
      <c r="A596" s="178">
        <v>200</v>
      </c>
      <c r="B596" s="276" t="s">
        <v>893</v>
      </c>
      <c r="C596" s="249">
        <v>3105.5</v>
      </c>
      <c r="D596" s="376"/>
      <c r="E596" s="407" t="s">
        <v>1005</v>
      </c>
      <c r="F596" s="249"/>
      <c r="G596" s="249"/>
      <c r="H596" s="407">
        <v>2933920</v>
      </c>
      <c r="I596" s="407">
        <f t="shared" ref="I596:I601" si="593">J596+L596+N596+P596+R596+T596</f>
        <v>0</v>
      </c>
      <c r="J596" s="217">
        <v>0</v>
      </c>
      <c r="K596" s="469">
        <v>0</v>
      </c>
      <c r="L596" s="217">
        <v>0</v>
      </c>
      <c r="M596" s="469">
        <v>0</v>
      </c>
      <c r="N596" s="217">
        <v>0</v>
      </c>
      <c r="O596" s="249">
        <v>0</v>
      </c>
      <c r="P596" s="407">
        <v>0</v>
      </c>
      <c r="Q596" s="249">
        <v>0</v>
      </c>
      <c r="R596" s="407">
        <v>0</v>
      </c>
      <c r="S596" s="249">
        <v>0</v>
      </c>
      <c r="T596" s="407">
        <v>0</v>
      </c>
      <c r="U596" s="130">
        <v>0</v>
      </c>
      <c r="V596" s="407">
        <v>0</v>
      </c>
      <c r="W596" s="23">
        <v>880</v>
      </c>
      <c r="X596" s="407">
        <f t="shared" ref="X596:X601" si="594">ROUND(H596/100*95.5,2)</f>
        <v>2801893.6</v>
      </c>
      <c r="Y596" s="410">
        <v>0</v>
      </c>
      <c r="Z596" s="410">
        <v>0</v>
      </c>
      <c r="AA596" s="410">
        <v>0</v>
      </c>
      <c r="AB596" s="410">
        <v>0</v>
      </c>
      <c r="AC596" s="410">
        <v>0</v>
      </c>
      <c r="AD596" s="410">
        <v>0</v>
      </c>
      <c r="AE596" s="410">
        <v>0</v>
      </c>
      <c r="AF596" s="410">
        <v>0</v>
      </c>
      <c r="AG596" s="410">
        <v>0</v>
      </c>
      <c r="AH596" s="410">
        <v>0</v>
      </c>
      <c r="AI596" s="410">
        <v>0</v>
      </c>
      <c r="AJ596" s="410">
        <f t="shared" ref="AJ596:AJ601" si="595">ROUND(H596/100*3,2)</f>
        <v>88017.600000000006</v>
      </c>
      <c r="AK596" s="410">
        <f t="shared" ref="AK596:AK601" si="596">ROUND(H596/100*1.5,2)</f>
        <v>44008.800000000003</v>
      </c>
      <c r="AL596" s="410">
        <v>0</v>
      </c>
      <c r="AM596" s="446"/>
      <c r="AN596" s="446"/>
      <c r="AP596" s="486" t="e">
        <f t="shared" si="568"/>
        <v>#DIV/0!</v>
      </c>
      <c r="AQ596" s="486" t="e">
        <f t="shared" si="571"/>
        <v>#DIV/0!</v>
      </c>
      <c r="AR596" s="486" t="e">
        <f t="shared" si="572"/>
        <v>#DIV/0!</v>
      </c>
      <c r="AS596" s="486" t="e">
        <f t="shared" si="573"/>
        <v>#DIV/0!</v>
      </c>
      <c r="AT596" s="486" t="e">
        <f t="shared" si="574"/>
        <v>#DIV/0!</v>
      </c>
      <c r="AU596" s="486" t="e">
        <f t="shared" si="575"/>
        <v>#DIV/0!</v>
      </c>
      <c r="AV596" s="486" t="e">
        <f t="shared" si="576"/>
        <v>#DIV/0!</v>
      </c>
      <c r="AW596" s="486">
        <f t="shared" si="577"/>
        <v>3183.9700000000003</v>
      </c>
      <c r="AX596" s="486" t="e">
        <f t="shared" si="578"/>
        <v>#DIV/0!</v>
      </c>
      <c r="AY596" s="486" t="e">
        <f t="shared" si="579"/>
        <v>#DIV/0!</v>
      </c>
      <c r="AZ596" s="486" t="e">
        <f t="shared" si="580"/>
        <v>#DIV/0!</v>
      </c>
      <c r="BA596" s="486">
        <f t="shared" si="569"/>
        <v>0</v>
      </c>
      <c r="BB596" s="494">
        <v>5155.41</v>
      </c>
      <c r="BC596" s="494">
        <v>2070.12</v>
      </c>
      <c r="BD596" s="494">
        <v>848.92</v>
      </c>
      <c r="BE596" s="494">
        <v>819.73</v>
      </c>
      <c r="BF596" s="494">
        <v>611.5</v>
      </c>
      <c r="BG596" s="494">
        <v>1080.04</v>
      </c>
      <c r="BH596" s="494">
        <v>2671800.0099999998</v>
      </c>
      <c r="BI596" s="494">
        <f t="shared" si="518"/>
        <v>4607.6000000000004</v>
      </c>
      <c r="BJ596" s="494">
        <v>14289.54</v>
      </c>
      <c r="BK596" s="494">
        <v>3389.61</v>
      </c>
      <c r="BL596" s="494">
        <v>5995.76</v>
      </c>
      <c r="BM596" s="494">
        <v>548.62</v>
      </c>
      <c r="BN596" s="495" t="e">
        <f t="shared" si="581"/>
        <v>#DIV/0!</v>
      </c>
      <c r="BO596" s="495" t="e">
        <f t="shared" si="582"/>
        <v>#DIV/0!</v>
      </c>
      <c r="BP596" s="495" t="e">
        <f t="shared" si="583"/>
        <v>#DIV/0!</v>
      </c>
      <c r="BQ596" s="495" t="e">
        <f t="shared" si="584"/>
        <v>#DIV/0!</v>
      </c>
      <c r="BR596" s="495" t="e">
        <f t="shared" si="585"/>
        <v>#DIV/0!</v>
      </c>
      <c r="BS596" s="495" t="e">
        <f t="shared" si="586"/>
        <v>#DIV/0!</v>
      </c>
      <c r="BT596" s="495" t="e">
        <f t="shared" si="587"/>
        <v>#DIV/0!</v>
      </c>
      <c r="BU596" s="495" t="str">
        <f t="shared" si="588"/>
        <v xml:space="preserve"> </v>
      </c>
      <c r="BV596" s="495" t="e">
        <f t="shared" si="589"/>
        <v>#DIV/0!</v>
      </c>
      <c r="BW596" s="495" t="e">
        <f t="shared" si="590"/>
        <v>#DIV/0!</v>
      </c>
      <c r="BX596" s="495" t="e">
        <f t="shared" si="591"/>
        <v>#DIV/0!</v>
      </c>
      <c r="BY596" s="495" t="str">
        <f t="shared" si="592"/>
        <v xml:space="preserve"> </v>
      </c>
    </row>
    <row r="597" spans="1:77" s="28" customFormat="1" ht="9" customHeight="1">
      <c r="A597" s="178">
        <v>201</v>
      </c>
      <c r="B597" s="276" t="s">
        <v>894</v>
      </c>
      <c r="C597" s="249">
        <v>3225.6</v>
      </c>
      <c r="D597" s="376"/>
      <c r="E597" s="407" t="s">
        <v>1005</v>
      </c>
      <c r="F597" s="249"/>
      <c r="G597" s="249"/>
      <c r="H597" s="407">
        <v>2817230</v>
      </c>
      <c r="I597" s="407">
        <f t="shared" si="593"/>
        <v>0</v>
      </c>
      <c r="J597" s="217">
        <v>0</v>
      </c>
      <c r="K597" s="469">
        <v>0</v>
      </c>
      <c r="L597" s="217">
        <v>0</v>
      </c>
      <c r="M597" s="469">
        <v>0</v>
      </c>
      <c r="N597" s="217">
        <v>0</v>
      </c>
      <c r="O597" s="249">
        <v>0</v>
      </c>
      <c r="P597" s="407">
        <v>0</v>
      </c>
      <c r="Q597" s="249">
        <v>0</v>
      </c>
      <c r="R597" s="407">
        <v>0</v>
      </c>
      <c r="S597" s="249">
        <v>0</v>
      </c>
      <c r="T597" s="407">
        <v>0</v>
      </c>
      <c r="U597" s="130">
        <v>0</v>
      </c>
      <c r="V597" s="407">
        <v>0</v>
      </c>
      <c r="W597" s="23">
        <v>845</v>
      </c>
      <c r="X597" s="407">
        <f t="shared" si="594"/>
        <v>2690454.65</v>
      </c>
      <c r="Y597" s="410">
        <v>0</v>
      </c>
      <c r="Z597" s="410">
        <v>0</v>
      </c>
      <c r="AA597" s="410">
        <v>0</v>
      </c>
      <c r="AB597" s="410">
        <v>0</v>
      </c>
      <c r="AC597" s="410">
        <v>0</v>
      </c>
      <c r="AD597" s="410">
        <v>0</v>
      </c>
      <c r="AE597" s="410">
        <v>0</v>
      </c>
      <c r="AF597" s="410">
        <v>0</v>
      </c>
      <c r="AG597" s="410">
        <v>0</v>
      </c>
      <c r="AH597" s="410">
        <v>0</v>
      </c>
      <c r="AI597" s="410">
        <v>0</v>
      </c>
      <c r="AJ597" s="410">
        <f t="shared" si="595"/>
        <v>84516.9</v>
      </c>
      <c r="AK597" s="410">
        <f t="shared" si="596"/>
        <v>42258.45</v>
      </c>
      <c r="AL597" s="410">
        <v>0</v>
      </c>
      <c r="AM597" s="446"/>
      <c r="AN597" s="446"/>
      <c r="AP597" s="486" t="e">
        <f t="shared" si="568"/>
        <v>#DIV/0!</v>
      </c>
      <c r="AQ597" s="486" t="e">
        <f t="shared" si="571"/>
        <v>#DIV/0!</v>
      </c>
      <c r="AR597" s="486" t="e">
        <f t="shared" si="572"/>
        <v>#DIV/0!</v>
      </c>
      <c r="AS597" s="486" t="e">
        <f t="shared" si="573"/>
        <v>#DIV/0!</v>
      </c>
      <c r="AT597" s="486" t="e">
        <f t="shared" si="574"/>
        <v>#DIV/0!</v>
      </c>
      <c r="AU597" s="486" t="e">
        <f t="shared" si="575"/>
        <v>#DIV/0!</v>
      </c>
      <c r="AV597" s="486" t="e">
        <f t="shared" si="576"/>
        <v>#DIV/0!</v>
      </c>
      <c r="AW597" s="486">
        <f t="shared" si="577"/>
        <v>3183.97</v>
      </c>
      <c r="AX597" s="486" t="e">
        <f t="shared" si="578"/>
        <v>#DIV/0!</v>
      </c>
      <c r="AY597" s="486" t="e">
        <f t="shared" si="579"/>
        <v>#DIV/0!</v>
      </c>
      <c r="AZ597" s="486" t="e">
        <f t="shared" si="580"/>
        <v>#DIV/0!</v>
      </c>
      <c r="BA597" s="486">
        <f t="shared" si="569"/>
        <v>0</v>
      </c>
      <c r="BB597" s="494">
        <v>5155.41</v>
      </c>
      <c r="BC597" s="494">
        <v>2070.12</v>
      </c>
      <c r="BD597" s="494">
        <v>848.92</v>
      </c>
      <c r="BE597" s="494">
        <v>819.73</v>
      </c>
      <c r="BF597" s="494">
        <v>611.5</v>
      </c>
      <c r="BG597" s="494">
        <v>1080.04</v>
      </c>
      <c r="BH597" s="494">
        <v>2671800.0099999998</v>
      </c>
      <c r="BI597" s="494">
        <f t="shared" si="518"/>
        <v>4607.6000000000004</v>
      </c>
      <c r="BJ597" s="494">
        <v>14289.54</v>
      </c>
      <c r="BK597" s="494">
        <v>3389.61</v>
      </c>
      <c r="BL597" s="494">
        <v>5995.76</v>
      </c>
      <c r="BM597" s="494">
        <v>548.62</v>
      </c>
      <c r="BN597" s="495" t="e">
        <f t="shared" si="581"/>
        <v>#DIV/0!</v>
      </c>
      <c r="BO597" s="495" t="e">
        <f t="shared" si="582"/>
        <v>#DIV/0!</v>
      </c>
      <c r="BP597" s="495" t="e">
        <f t="shared" si="583"/>
        <v>#DIV/0!</v>
      </c>
      <c r="BQ597" s="495" t="e">
        <f t="shared" si="584"/>
        <v>#DIV/0!</v>
      </c>
      <c r="BR597" s="495" t="e">
        <f t="shared" si="585"/>
        <v>#DIV/0!</v>
      </c>
      <c r="BS597" s="495" t="e">
        <f t="shared" si="586"/>
        <v>#DIV/0!</v>
      </c>
      <c r="BT597" s="495" t="e">
        <f t="shared" si="587"/>
        <v>#DIV/0!</v>
      </c>
      <c r="BU597" s="495" t="str">
        <f t="shared" si="588"/>
        <v xml:space="preserve"> </v>
      </c>
      <c r="BV597" s="495" t="e">
        <f t="shared" si="589"/>
        <v>#DIV/0!</v>
      </c>
      <c r="BW597" s="495" t="e">
        <f t="shared" si="590"/>
        <v>#DIV/0!</v>
      </c>
      <c r="BX597" s="495" t="e">
        <f t="shared" si="591"/>
        <v>#DIV/0!</v>
      </c>
      <c r="BY597" s="495" t="str">
        <f t="shared" si="592"/>
        <v xml:space="preserve"> </v>
      </c>
    </row>
    <row r="598" spans="1:77" s="28" customFormat="1" ht="9" customHeight="1">
      <c r="A598" s="178">
        <v>202</v>
      </c>
      <c r="B598" s="276" t="s">
        <v>895</v>
      </c>
      <c r="C598" s="249">
        <v>2592.1999999999998</v>
      </c>
      <c r="D598" s="376"/>
      <c r="E598" s="407" t="s">
        <v>1005</v>
      </c>
      <c r="F598" s="249"/>
      <c r="G598" s="249"/>
      <c r="H598" s="407">
        <v>2817230</v>
      </c>
      <c r="I598" s="407">
        <f t="shared" si="593"/>
        <v>0</v>
      </c>
      <c r="J598" s="217">
        <v>0</v>
      </c>
      <c r="K598" s="469">
        <v>0</v>
      </c>
      <c r="L598" s="217">
        <v>0</v>
      </c>
      <c r="M598" s="469">
        <v>0</v>
      </c>
      <c r="N598" s="217">
        <v>0</v>
      </c>
      <c r="O598" s="249">
        <v>0</v>
      </c>
      <c r="P598" s="407">
        <v>0</v>
      </c>
      <c r="Q598" s="249">
        <v>0</v>
      </c>
      <c r="R598" s="407">
        <v>0</v>
      </c>
      <c r="S598" s="249">
        <v>0</v>
      </c>
      <c r="T598" s="407">
        <v>0</v>
      </c>
      <c r="U598" s="130">
        <v>0</v>
      </c>
      <c r="V598" s="407">
        <v>0</v>
      </c>
      <c r="W598" s="23">
        <v>845</v>
      </c>
      <c r="X598" s="407">
        <f t="shared" si="594"/>
        <v>2690454.65</v>
      </c>
      <c r="Y598" s="410">
        <v>0</v>
      </c>
      <c r="Z598" s="410">
        <v>0</v>
      </c>
      <c r="AA598" s="410">
        <v>0</v>
      </c>
      <c r="AB598" s="410">
        <v>0</v>
      </c>
      <c r="AC598" s="410">
        <v>0</v>
      </c>
      <c r="AD598" s="410">
        <v>0</v>
      </c>
      <c r="AE598" s="410">
        <v>0</v>
      </c>
      <c r="AF598" s="410">
        <v>0</v>
      </c>
      <c r="AG598" s="410">
        <v>0</v>
      </c>
      <c r="AH598" s="410">
        <v>0</v>
      </c>
      <c r="AI598" s="410">
        <v>0</v>
      </c>
      <c r="AJ598" s="410">
        <f t="shared" si="595"/>
        <v>84516.9</v>
      </c>
      <c r="AK598" s="410">
        <f t="shared" si="596"/>
        <v>42258.45</v>
      </c>
      <c r="AL598" s="410">
        <v>0</v>
      </c>
      <c r="AM598" s="446"/>
      <c r="AN598" s="446"/>
      <c r="AP598" s="486" t="e">
        <f t="shared" si="568"/>
        <v>#DIV/0!</v>
      </c>
      <c r="AQ598" s="486" t="e">
        <f t="shared" si="571"/>
        <v>#DIV/0!</v>
      </c>
      <c r="AR598" s="486" t="e">
        <f t="shared" si="572"/>
        <v>#DIV/0!</v>
      </c>
      <c r="AS598" s="486" t="e">
        <f t="shared" si="573"/>
        <v>#DIV/0!</v>
      </c>
      <c r="AT598" s="486" t="e">
        <f t="shared" si="574"/>
        <v>#DIV/0!</v>
      </c>
      <c r="AU598" s="486" t="e">
        <f t="shared" si="575"/>
        <v>#DIV/0!</v>
      </c>
      <c r="AV598" s="486" t="e">
        <f t="shared" si="576"/>
        <v>#DIV/0!</v>
      </c>
      <c r="AW598" s="486">
        <f t="shared" si="577"/>
        <v>3183.97</v>
      </c>
      <c r="AX598" s="486" t="e">
        <f t="shared" si="578"/>
        <v>#DIV/0!</v>
      </c>
      <c r="AY598" s="486" t="e">
        <f t="shared" si="579"/>
        <v>#DIV/0!</v>
      </c>
      <c r="AZ598" s="486" t="e">
        <f t="shared" si="580"/>
        <v>#DIV/0!</v>
      </c>
      <c r="BA598" s="486">
        <f t="shared" si="569"/>
        <v>0</v>
      </c>
      <c r="BB598" s="494">
        <v>5155.41</v>
      </c>
      <c r="BC598" s="494">
        <v>2070.12</v>
      </c>
      <c r="BD598" s="494">
        <v>848.92</v>
      </c>
      <c r="BE598" s="494">
        <v>819.73</v>
      </c>
      <c r="BF598" s="494">
        <v>611.5</v>
      </c>
      <c r="BG598" s="494">
        <v>1080.04</v>
      </c>
      <c r="BH598" s="494">
        <v>2671800.0099999998</v>
      </c>
      <c r="BI598" s="494">
        <f t="shared" si="518"/>
        <v>4607.6000000000004</v>
      </c>
      <c r="BJ598" s="494">
        <v>14289.54</v>
      </c>
      <c r="BK598" s="494">
        <v>3389.61</v>
      </c>
      <c r="BL598" s="494">
        <v>5995.76</v>
      </c>
      <c r="BM598" s="494">
        <v>548.62</v>
      </c>
      <c r="BN598" s="495" t="e">
        <f t="shared" si="581"/>
        <v>#DIV/0!</v>
      </c>
      <c r="BO598" s="495" t="e">
        <f t="shared" si="582"/>
        <v>#DIV/0!</v>
      </c>
      <c r="BP598" s="495" t="e">
        <f t="shared" si="583"/>
        <v>#DIV/0!</v>
      </c>
      <c r="BQ598" s="495" t="e">
        <f t="shared" si="584"/>
        <v>#DIV/0!</v>
      </c>
      <c r="BR598" s="495" t="e">
        <f t="shared" si="585"/>
        <v>#DIV/0!</v>
      </c>
      <c r="BS598" s="495" t="e">
        <f t="shared" si="586"/>
        <v>#DIV/0!</v>
      </c>
      <c r="BT598" s="495" t="e">
        <f t="shared" si="587"/>
        <v>#DIV/0!</v>
      </c>
      <c r="BU598" s="495" t="str">
        <f t="shared" si="588"/>
        <v xml:space="preserve"> </v>
      </c>
      <c r="BV598" s="495" t="e">
        <f t="shared" si="589"/>
        <v>#DIV/0!</v>
      </c>
      <c r="BW598" s="495" t="e">
        <f t="shared" si="590"/>
        <v>#DIV/0!</v>
      </c>
      <c r="BX598" s="495" t="e">
        <f t="shared" si="591"/>
        <v>#DIV/0!</v>
      </c>
      <c r="BY598" s="495" t="str">
        <f t="shared" si="592"/>
        <v xml:space="preserve"> </v>
      </c>
    </row>
    <row r="599" spans="1:77" s="28" customFormat="1" ht="9" customHeight="1">
      <c r="A599" s="178">
        <v>203</v>
      </c>
      <c r="B599" s="276" t="s">
        <v>896</v>
      </c>
      <c r="C599" s="249">
        <v>3042.2</v>
      </c>
      <c r="D599" s="376"/>
      <c r="E599" s="407" t="s">
        <v>1005</v>
      </c>
      <c r="F599" s="249"/>
      <c r="G599" s="249"/>
      <c r="H599" s="407">
        <v>3127292</v>
      </c>
      <c r="I599" s="407">
        <f t="shared" si="593"/>
        <v>0</v>
      </c>
      <c r="J599" s="217">
        <v>0</v>
      </c>
      <c r="K599" s="469">
        <v>0</v>
      </c>
      <c r="L599" s="217">
        <v>0</v>
      </c>
      <c r="M599" s="469">
        <v>0</v>
      </c>
      <c r="N599" s="217">
        <v>0</v>
      </c>
      <c r="O599" s="249">
        <v>0</v>
      </c>
      <c r="P599" s="407">
        <v>0</v>
      </c>
      <c r="Q599" s="249">
        <v>0</v>
      </c>
      <c r="R599" s="407">
        <v>0</v>
      </c>
      <c r="S599" s="249">
        <v>0</v>
      </c>
      <c r="T599" s="407">
        <v>0</v>
      </c>
      <c r="U599" s="130">
        <v>0</v>
      </c>
      <c r="V599" s="407">
        <v>0</v>
      </c>
      <c r="W599" s="23">
        <v>938</v>
      </c>
      <c r="X599" s="407">
        <f t="shared" si="594"/>
        <v>2986563.86</v>
      </c>
      <c r="Y599" s="410">
        <v>0</v>
      </c>
      <c r="Z599" s="410">
        <v>0</v>
      </c>
      <c r="AA599" s="410">
        <v>0</v>
      </c>
      <c r="AB599" s="410">
        <v>0</v>
      </c>
      <c r="AC599" s="410">
        <v>0</v>
      </c>
      <c r="AD599" s="410">
        <v>0</v>
      </c>
      <c r="AE599" s="410">
        <v>0</v>
      </c>
      <c r="AF599" s="410">
        <v>0</v>
      </c>
      <c r="AG599" s="410">
        <v>0</v>
      </c>
      <c r="AH599" s="410">
        <v>0</v>
      </c>
      <c r="AI599" s="410">
        <v>0</v>
      </c>
      <c r="AJ599" s="410">
        <f t="shared" si="595"/>
        <v>93818.76</v>
      </c>
      <c r="AK599" s="410">
        <f t="shared" si="596"/>
        <v>46909.38</v>
      </c>
      <c r="AL599" s="410">
        <v>0</v>
      </c>
      <c r="AM599" s="446"/>
      <c r="AN599" s="446"/>
      <c r="AP599" s="486" t="e">
        <f t="shared" si="568"/>
        <v>#DIV/0!</v>
      </c>
      <c r="AQ599" s="486" t="e">
        <f t="shared" si="571"/>
        <v>#DIV/0!</v>
      </c>
      <c r="AR599" s="486" t="e">
        <f t="shared" si="572"/>
        <v>#DIV/0!</v>
      </c>
      <c r="AS599" s="486" t="e">
        <f t="shared" si="573"/>
        <v>#DIV/0!</v>
      </c>
      <c r="AT599" s="486" t="e">
        <f t="shared" si="574"/>
        <v>#DIV/0!</v>
      </c>
      <c r="AU599" s="486" t="e">
        <f t="shared" si="575"/>
        <v>#DIV/0!</v>
      </c>
      <c r="AV599" s="486" t="e">
        <f t="shared" si="576"/>
        <v>#DIV/0!</v>
      </c>
      <c r="AW599" s="486">
        <f t="shared" si="577"/>
        <v>3183.97</v>
      </c>
      <c r="AX599" s="486" t="e">
        <f t="shared" si="578"/>
        <v>#DIV/0!</v>
      </c>
      <c r="AY599" s="486" t="e">
        <f t="shared" si="579"/>
        <v>#DIV/0!</v>
      </c>
      <c r="AZ599" s="486" t="e">
        <f t="shared" si="580"/>
        <v>#DIV/0!</v>
      </c>
      <c r="BA599" s="486">
        <f t="shared" si="569"/>
        <v>0</v>
      </c>
      <c r="BB599" s="494">
        <v>5155.41</v>
      </c>
      <c r="BC599" s="494">
        <v>2070.12</v>
      </c>
      <c r="BD599" s="494">
        <v>848.92</v>
      </c>
      <c r="BE599" s="494">
        <v>819.73</v>
      </c>
      <c r="BF599" s="494">
        <v>611.5</v>
      </c>
      <c r="BG599" s="494">
        <v>1080.04</v>
      </c>
      <c r="BH599" s="494">
        <v>2671800.0099999998</v>
      </c>
      <c r="BI599" s="494">
        <f t="shared" si="518"/>
        <v>4607.6000000000004</v>
      </c>
      <c r="BJ599" s="494">
        <v>14289.54</v>
      </c>
      <c r="BK599" s="494">
        <v>3389.61</v>
      </c>
      <c r="BL599" s="494">
        <v>5995.76</v>
      </c>
      <c r="BM599" s="494">
        <v>548.62</v>
      </c>
      <c r="BN599" s="495" t="e">
        <f t="shared" si="581"/>
        <v>#DIV/0!</v>
      </c>
      <c r="BO599" s="495" t="e">
        <f t="shared" si="582"/>
        <v>#DIV/0!</v>
      </c>
      <c r="BP599" s="495" t="e">
        <f t="shared" si="583"/>
        <v>#DIV/0!</v>
      </c>
      <c r="BQ599" s="495" t="e">
        <f t="shared" si="584"/>
        <v>#DIV/0!</v>
      </c>
      <c r="BR599" s="495" t="e">
        <f t="shared" si="585"/>
        <v>#DIV/0!</v>
      </c>
      <c r="BS599" s="495" t="e">
        <f t="shared" si="586"/>
        <v>#DIV/0!</v>
      </c>
      <c r="BT599" s="495" t="e">
        <f t="shared" si="587"/>
        <v>#DIV/0!</v>
      </c>
      <c r="BU599" s="495" t="str">
        <f t="shared" si="588"/>
        <v xml:space="preserve"> </v>
      </c>
      <c r="BV599" s="495" t="e">
        <f t="shared" si="589"/>
        <v>#DIV/0!</v>
      </c>
      <c r="BW599" s="495" t="e">
        <f t="shared" si="590"/>
        <v>#DIV/0!</v>
      </c>
      <c r="BX599" s="495" t="e">
        <f t="shared" si="591"/>
        <v>#DIV/0!</v>
      </c>
      <c r="BY599" s="495" t="str">
        <f t="shared" si="592"/>
        <v xml:space="preserve"> </v>
      </c>
    </row>
    <row r="600" spans="1:77" s="28" customFormat="1" ht="9" customHeight="1">
      <c r="A600" s="178">
        <v>204</v>
      </c>
      <c r="B600" s="276" t="s">
        <v>897</v>
      </c>
      <c r="C600" s="249">
        <v>3077.1</v>
      </c>
      <c r="D600" s="376"/>
      <c r="E600" s="407" t="s">
        <v>1005</v>
      </c>
      <c r="F600" s="249"/>
      <c r="G600" s="249"/>
      <c r="H600" s="407">
        <v>2327132</v>
      </c>
      <c r="I600" s="407">
        <f t="shared" si="593"/>
        <v>0</v>
      </c>
      <c r="J600" s="217">
        <v>0</v>
      </c>
      <c r="K600" s="469">
        <v>0</v>
      </c>
      <c r="L600" s="217">
        <v>0</v>
      </c>
      <c r="M600" s="469">
        <v>0</v>
      </c>
      <c r="N600" s="217">
        <v>0</v>
      </c>
      <c r="O600" s="249">
        <v>0</v>
      </c>
      <c r="P600" s="407">
        <v>0</v>
      </c>
      <c r="Q600" s="249">
        <v>0</v>
      </c>
      <c r="R600" s="407">
        <v>0</v>
      </c>
      <c r="S600" s="249">
        <v>0</v>
      </c>
      <c r="T600" s="407">
        <v>0</v>
      </c>
      <c r="U600" s="130">
        <v>0</v>
      </c>
      <c r="V600" s="407">
        <v>0</v>
      </c>
      <c r="W600" s="23">
        <v>698</v>
      </c>
      <c r="X600" s="407">
        <f t="shared" si="594"/>
        <v>2222411.06</v>
      </c>
      <c r="Y600" s="410">
        <v>0</v>
      </c>
      <c r="Z600" s="410">
        <v>0</v>
      </c>
      <c r="AA600" s="410">
        <v>0</v>
      </c>
      <c r="AB600" s="410">
        <v>0</v>
      </c>
      <c r="AC600" s="410">
        <v>0</v>
      </c>
      <c r="AD600" s="410">
        <v>0</v>
      </c>
      <c r="AE600" s="410">
        <v>0</v>
      </c>
      <c r="AF600" s="410">
        <v>0</v>
      </c>
      <c r="AG600" s="410">
        <v>0</v>
      </c>
      <c r="AH600" s="410">
        <v>0</v>
      </c>
      <c r="AI600" s="410">
        <v>0</v>
      </c>
      <c r="AJ600" s="410">
        <f t="shared" si="595"/>
        <v>69813.960000000006</v>
      </c>
      <c r="AK600" s="410">
        <f t="shared" si="596"/>
        <v>34906.980000000003</v>
      </c>
      <c r="AL600" s="410">
        <v>0</v>
      </c>
      <c r="AM600" s="446"/>
      <c r="AN600" s="446"/>
      <c r="AP600" s="486" t="e">
        <f t="shared" si="568"/>
        <v>#DIV/0!</v>
      </c>
      <c r="AQ600" s="486" t="e">
        <f t="shared" si="571"/>
        <v>#DIV/0!</v>
      </c>
      <c r="AR600" s="486" t="e">
        <f t="shared" si="572"/>
        <v>#DIV/0!</v>
      </c>
      <c r="AS600" s="486" t="e">
        <f t="shared" si="573"/>
        <v>#DIV/0!</v>
      </c>
      <c r="AT600" s="486" t="e">
        <f t="shared" si="574"/>
        <v>#DIV/0!</v>
      </c>
      <c r="AU600" s="486" t="e">
        <f t="shared" si="575"/>
        <v>#DIV/0!</v>
      </c>
      <c r="AV600" s="486" t="e">
        <f t="shared" si="576"/>
        <v>#DIV/0!</v>
      </c>
      <c r="AW600" s="486">
        <f t="shared" si="577"/>
        <v>3183.9700000000003</v>
      </c>
      <c r="AX600" s="486" t="e">
        <f t="shared" si="578"/>
        <v>#DIV/0!</v>
      </c>
      <c r="AY600" s="486" t="e">
        <f t="shared" si="579"/>
        <v>#DIV/0!</v>
      </c>
      <c r="AZ600" s="486" t="e">
        <f t="shared" si="580"/>
        <v>#DIV/0!</v>
      </c>
      <c r="BA600" s="486">
        <f t="shared" si="569"/>
        <v>0</v>
      </c>
      <c r="BB600" s="494">
        <v>5155.41</v>
      </c>
      <c r="BC600" s="494">
        <v>2070.12</v>
      </c>
      <c r="BD600" s="494">
        <v>848.92</v>
      </c>
      <c r="BE600" s="494">
        <v>819.73</v>
      </c>
      <c r="BF600" s="494">
        <v>611.5</v>
      </c>
      <c r="BG600" s="494">
        <v>1080.04</v>
      </c>
      <c r="BH600" s="494">
        <v>2671800.0099999998</v>
      </c>
      <c r="BI600" s="494">
        <f t="shared" si="518"/>
        <v>4607.6000000000004</v>
      </c>
      <c r="BJ600" s="494">
        <v>14289.54</v>
      </c>
      <c r="BK600" s="494">
        <v>3389.61</v>
      </c>
      <c r="BL600" s="494">
        <v>5995.76</v>
      </c>
      <c r="BM600" s="494">
        <v>548.62</v>
      </c>
      <c r="BN600" s="495" t="e">
        <f t="shared" si="581"/>
        <v>#DIV/0!</v>
      </c>
      <c r="BO600" s="495" t="e">
        <f t="shared" si="582"/>
        <v>#DIV/0!</v>
      </c>
      <c r="BP600" s="495" t="e">
        <f t="shared" si="583"/>
        <v>#DIV/0!</v>
      </c>
      <c r="BQ600" s="495" t="e">
        <f t="shared" si="584"/>
        <v>#DIV/0!</v>
      </c>
      <c r="BR600" s="495" t="e">
        <f t="shared" si="585"/>
        <v>#DIV/0!</v>
      </c>
      <c r="BS600" s="495" t="e">
        <f t="shared" si="586"/>
        <v>#DIV/0!</v>
      </c>
      <c r="BT600" s="495" t="e">
        <f t="shared" si="587"/>
        <v>#DIV/0!</v>
      </c>
      <c r="BU600" s="495" t="str">
        <f t="shared" si="588"/>
        <v xml:space="preserve"> </v>
      </c>
      <c r="BV600" s="495" t="e">
        <f t="shared" si="589"/>
        <v>#DIV/0!</v>
      </c>
      <c r="BW600" s="495" t="e">
        <f t="shared" si="590"/>
        <v>#DIV/0!</v>
      </c>
      <c r="BX600" s="495" t="e">
        <f t="shared" si="591"/>
        <v>#DIV/0!</v>
      </c>
      <c r="BY600" s="495" t="str">
        <f t="shared" si="592"/>
        <v xml:space="preserve"> </v>
      </c>
    </row>
    <row r="601" spans="1:77" s="28" customFormat="1" ht="9" customHeight="1">
      <c r="A601" s="178">
        <v>205</v>
      </c>
      <c r="B601" s="276" t="s">
        <v>898</v>
      </c>
      <c r="C601" s="249">
        <v>3071.76</v>
      </c>
      <c r="D601" s="376"/>
      <c r="E601" s="407" t="s">
        <v>1005</v>
      </c>
      <c r="F601" s="249"/>
      <c r="G601" s="249"/>
      <c r="H601" s="407">
        <v>3110622</v>
      </c>
      <c r="I601" s="407">
        <f t="shared" si="593"/>
        <v>0</v>
      </c>
      <c r="J601" s="217">
        <v>0</v>
      </c>
      <c r="K601" s="469">
        <v>0</v>
      </c>
      <c r="L601" s="217">
        <v>0</v>
      </c>
      <c r="M601" s="469">
        <v>0</v>
      </c>
      <c r="N601" s="217">
        <v>0</v>
      </c>
      <c r="O601" s="249">
        <v>0</v>
      </c>
      <c r="P601" s="407">
        <v>0</v>
      </c>
      <c r="Q601" s="249">
        <v>0</v>
      </c>
      <c r="R601" s="407">
        <v>0</v>
      </c>
      <c r="S601" s="249">
        <v>0</v>
      </c>
      <c r="T601" s="407">
        <v>0</v>
      </c>
      <c r="U601" s="130">
        <v>0</v>
      </c>
      <c r="V601" s="407">
        <v>0</v>
      </c>
      <c r="W601" s="23">
        <v>933</v>
      </c>
      <c r="X601" s="407">
        <f t="shared" si="594"/>
        <v>2970644.01</v>
      </c>
      <c r="Y601" s="410">
        <v>0</v>
      </c>
      <c r="Z601" s="410">
        <v>0</v>
      </c>
      <c r="AA601" s="410">
        <v>0</v>
      </c>
      <c r="AB601" s="410">
        <v>0</v>
      </c>
      <c r="AC601" s="410">
        <v>0</v>
      </c>
      <c r="AD601" s="410">
        <v>0</v>
      </c>
      <c r="AE601" s="410">
        <v>0</v>
      </c>
      <c r="AF601" s="410">
        <v>0</v>
      </c>
      <c r="AG601" s="410">
        <v>0</v>
      </c>
      <c r="AH601" s="410">
        <v>0</v>
      </c>
      <c r="AI601" s="410">
        <v>0</v>
      </c>
      <c r="AJ601" s="410">
        <f t="shared" si="595"/>
        <v>93318.66</v>
      </c>
      <c r="AK601" s="410">
        <f t="shared" si="596"/>
        <v>46659.33</v>
      </c>
      <c r="AL601" s="410">
        <v>0</v>
      </c>
      <c r="AM601" s="446"/>
      <c r="AN601" s="446"/>
      <c r="AP601" s="486" t="e">
        <f t="shared" si="568"/>
        <v>#DIV/0!</v>
      </c>
      <c r="AQ601" s="486" t="e">
        <f t="shared" si="571"/>
        <v>#DIV/0!</v>
      </c>
      <c r="AR601" s="486" t="e">
        <f t="shared" si="572"/>
        <v>#DIV/0!</v>
      </c>
      <c r="AS601" s="486" t="e">
        <f t="shared" si="573"/>
        <v>#DIV/0!</v>
      </c>
      <c r="AT601" s="486" t="e">
        <f t="shared" si="574"/>
        <v>#DIV/0!</v>
      </c>
      <c r="AU601" s="486" t="e">
        <f t="shared" si="575"/>
        <v>#DIV/0!</v>
      </c>
      <c r="AV601" s="486" t="e">
        <f t="shared" si="576"/>
        <v>#DIV/0!</v>
      </c>
      <c r="AW601" s="486">
        <f t="shared" si="577"/>
        <v>3183.97</v>
      </c>
      <c r="AX601" s="486" t="e">
        <f t="shared" si="578"/>
        <v>#DIV/0!</v>
      </c>
      <c r="AY601" s="486" t="e">
        <f t="shared" si="579"/>
        <v>#DIV/0!</v>
      </c>
      <c r="AZ601" s="486" t="e">
        <f t="shared" si="580"/>
        <v>#DIV/0!</v>
      </c>
      <c r="BA601" s="486">
        <f t="shared" si="569"/>
        <v>0</v>
      </c>
      <c r="BB601" s="494">
        <v>5155.41</v>
      </c>
      <c r="BC601" s="494">
        <v>2070.12</v>
      </c>
      <c r="BD601" s="494">
        <v>848.92</v>
      </c>
      <c r="BE601" s="494">
        <v>819.73</v>
      </c>
      <c r="BF601" s="494">
        <v>611.5</v>
      </c>
      <c r="BG601" s="494">
        <v>1080.04</v>
      </c>
      <c r="BH601" s="494">
        <v>2671800.0099999998</v>
      </c>
      <c r="BI601" s="494">
        <f t="shared" si="518"/>
        <v>4607.6000000000004</v>
      </c>
      <c r="BJ601" s="494">
        <v>14289.54</v>
      </c>
      <c r="BK601" s="494">
        <v>3389.61</v>
      </c>
      <c r="BL601" s="494">
        <v>5995.76</v>
      </c>
      <c r="BM601" s="494">
        <v>548.62</v>
      </c>
      <c r="BN601" s="495" t="e">
        <f t="shared" si="581"/>
        <v>#DIV/0!</v>
      </c>
      <c r="BO601" s="495" t="e">
        <f t="shared" si="582"/>
        <v>#DIV/0!</v>
      </c>
      <c r="BP601" s="495" t="e">
        <f t="shared" si="583"/>
        <v>#DIV/0!</v>
      </c>
      <c r="BQ601" s="495" t="e">
        <f t="shared" si="584"/>
        <v>#DIV/0!</v>
      </c>
      <c r="BR601" s="495" t="e">
        <f t="shared" si="585"/>
        <v>#DIV/0!</v>
      </c>
      <c r="BS601" s="495" t="e">
        <f t="shared" si="586"/>
        <v>#DIV/0!</v>
      </c>
      <c r="BT601" s="495" t="e">
        <f t="shared" si="587"/>
        <v>#DIV/0!</v>
      </c>
      <c r="BU601" s="495" t="str">
        <f t="shared" si="588"/>
        <v xml:space="preserve"> </v>
      </c>
      <c r="BV601" s="495" t="e">
        <f t="shared" si="589"/>
        <v>#DIV/0!</v>
      </c>
      <c r="BW601" s="495" t="e">
        <f t="shared" si="590"/>
        <v>#DIV/0!</v>
      </c>
      <c r="BX601" s="495" t="e">
        <f t="shared" si="591"/>
        <v>#DIV/0!</v>
      </c>
      <c r="BY601" s="495" t="str">
        <f t="shared" si="592"/>
        <v xml:space="preserve"> </v>
      </c>
    </row>
    <row r="602" spans="1:77" s="28" customFormat="1" ht="36.75" customHeight="1">
      <c r="A602" s="955" t="s">
        <v>331</v>
      </c>
      <c r="B602" s="955"/>
      <c r="C602" s="180">
        <f>SUM(C596:C601)</f>
        <v>18114.36</v>
      </c>
      <c r="D602" s="180"/>
      <c r="E602" s="407" t="s">
        <v>391</v>
      </c>
      <c r="F602" s="249"/>
      <c r="G602" s="249"/>
      <c r="H602" s="180">
        <f>SUM(H596:H601)</f>
        <v>17133426</v>
      </c>
      <c r="I602" s="180">
        <f t="shared" ref="I602:AL602" si="597">SUM(I596:I601)</f>
        <v>0</v>
      </c>
      <c r="J602" s="180">
        <f t="shared" si="597"/>
        <v>0</v>
      </c>
      <c r="K602" s="180">
        <f t="shared" si="597"/>
        <v>0</v>
      </c>
      <c r="L602" s="180">
        <f t="shared" si="597"/>
        <v>0</v>
      </c>
      <c r="M602" s="180">
        <f t="shared" si="597"/>
        <v>0</v>
      </c>
      <c r="N602" s="180">
        <f t="shared" si="597"/>
        <v>0</v>
      </c>
      <c r="O602" s="180">
        <f t="shared" si="597"/>
        <v>0</v>
      </c>
      <c r="P602" s="180">
        <f t="shared" si="597"/>
        <v>0</v>
      </c>
      <c r="Q602" s="180">
        <f t="shared" si="597"/>
        <v>0</v>
      </c>
      <c r="R602" s="180">
        <f t="shared" si="597"/>
        <v>0</v>
      </c>
      <c r="S602" s="180">
        <f t="shared" si="597"/>
        <v>0</v>
      </c>
      <c r="T602" s="180">
        <f t="shared" si="597"/>
        <v>0</v>
      </c>
      <c r="U602" s="181">
        <f t="shared" si="597"/>
        <v>0</v>
      </c>
      <c r="V602" s="180">
        <f t="shared" si="597"/>
        <v>0</v>
      </c>
      <c r="W602" s="180">
        <f t="shared" si="597"/>
        <v>5139</v>
      </c>
      <c r="X602" s="180">
        <f t="shared" si="597"/>
        <v>16362421.83</v>
      </c>
      <c r="Y602" s="180">
        <f t="shared" si="597"/>
        <v>0</v>
      </c>
      <c r="Z602" s="180">
        <f t="shared" si="597"/>
        <v>0</v>
      </c>
      <c r="AA602" s="180">
        <f t="shared" si="597"/>
        <v>0</v>
      </c>
      <c r="AB602" s="180">
        <f t="shared" si="597"/>
        <v>0</v>
      </c>
      <c r="AC602" s="180">
        <f t="shared" si="597"/>
        <v>0</v>
      </c>
      <c r="AD602" s="180">
        <f t="shared" si="597"/>
        <v>0</v>
      </c>
      <c r="AE602" s="180">
        <f t="shared" si="597"/>
        <v>0</v>
      </c>
      <c r="AF602" s="180">
        <f t="shared" si="597"/>
        <v>0</v>
      </c>
      <c r="AG602" s="180">
        <f t="shared" si="597"/>
        <v>0</v>
      </c>
      <c r="AH602" s="180">
        <f t="shared" si="597"/>
        <v>0</v>
      </c>
      <c r="AI602" s="180">
        <f t="shared" si="597"/>
        <v>0</v>
      </c>
      <c r="AJ602" s="180">
        <f t="shared" si="597"/>
        <v>514002.78</v>
      </c>
      <c r="AK602" s="180">
        <f t="shared" si="597"/>
        <v>257001.39</v>
      </c>
      <c r="AL602" s="180">
        <f t="shared" si="597"/>
        <v>0</v>
      </c>
      <c r="AM602" s="280"/>
      <c r="AN602" s="280"/>
      <c r="AP602" s="486" t="e">
        <f t="shared" si="568"/>
        <v>#DIV/0!</v>
      </c>
      <c r="AQ602" s="486" t="e">
        <f t="shared" si="571"/>
        <v>#DIV/0!</v>
      </c>
      <c r="AR602" s="497" t="e">
        <f t="shared" si="572"/>
        <v>#DIV/0!</v>
      </c>
      <c r="AS602" s="497" t="e">
        <f t="shared" si="573"/>
        <v>#DIV/0!</v>
      </c>
      <c r="AT602" s="497" t="e">
        <f t="shared" si="574"/>
        <v>#DIV/0!</v>
      </c>
      <c r="AU602" s="497" t="e">
        <f t="shared" si="575"/>
        <v>#DIV/0!</v>
      </c>
      <c r="AV602" s="497" t="e">
        <f t="shared" si="576"/>
        <v>#DIV/0!</v>
      </c>
      <c r="AW602" s="497">
        <f t="shared" si="577"/>
        <v>3183.97</v>
      </c>
      <c r="AX602" s="497" t="e">
        <f t="shared" si="578"/>
        <v>#DIV/0!</v>
      </c>
      <c r="AY602" s="486" t="e">
        <f t="shared" si="579"/>
        <v>#DIV/0!</v>
      </c>
      <c r="AZ602" s="497" t="e">
        <f t="shared" si="580"/>
        <v>#DIV/0!</v>
      </c>
      <c r="BA602" s="486">
        <f t="shared" si="569"/>
        <v>0</v>
      </c>
      <c r="BB602" s="494">
        <v>5155.41</v>
      </c>
      <c r="BC602" s="494">
        <v>2070.12</v>
      </c>
      <c r="BD602" s="494">
        <v>848.92</v>
      </c>
      <c r="BE602" s="494">
        <v>819.73</v>
      </c>
      <c r="BF602" s="494">
        <v>611.5</v>
      </c>
      <c r="BG602" s="494">
        <v>1080.04</v>
      </c>
      <c r="BH602" s="494">
        <v>2671800.0099999998</v>
      </c>
      <c r="BI602" s="494">
        <f t="shared" si="518"/>
        <v>4422.8500000000004</v>
      </c>
      <c r="BJ602" s="494">
        <v>14289.54</v>
      </c>
      <c r="BK602" s="494">
        <v>3389.61</v>
      </c>
      <c r="BL602" s="494">
        <v>5995.76</v>
      </c>
      <c r="BM602" s="494">
        <v>548.62</v>
      </c>
      <c r="BN602" s="493" t="e">
        <f t="shared" si="581"/>
        <v>#DIV/0!</v>
      </c>
      <c r="BO602" s="493" t="e">
        <f t="shared" si="582"/>
        <v>#DIV/0!</v>
      </c>
      <c r="BP602" s="493" t="e">
        <f t="shared" si="583"/>
        <v>#DIV/0!</v>
      </c>
      <c r="BQ602" s="493" t="e">
        <f t="shared" si="584"/>
        <v>#DIV/0!</v>
      </c>
      <c r="BR602" s="493" t="e">
        <f t="shared" si="585"/>
        <v>#DIV/0!</v>
      </c>
      <c r="BS602" s="493" t="e">
        <f t="shared" si="586"/>
        <v>#DIV/0!</v>
      </c>
      <c r="BT602" s="493" t="e">
        <f t="shared" si="587"/>
        <v>#DIV/0!</v>
      </c>
      <c r="BU602" s="493" t="str">
        <f t="shared" si="588"/>
        <v xml:space="preserve"> </v>
      </c>
      <c r="BV602" s="493" t="e">
        <f t="shared" si="589"/>
        <v>#DIV/0!</v>
      </c>
      <c r="BW602" s="493" t="e">
        <f t="shared" si="590"/>
        <v>#DIV/0!</v>
      </c>
      <c r="BX602" s="493" t="e">
        <f t="shared" si="591"/>
        <v>#DIV/0!</v>
      </c>
      <c r="BY602" s="493" t="str">
        <f t="shared" si="592"/>
        <v xml:space="preserve"> </v>
      </c>
    </row>
    <row r="603" spans="1:77" s="28" customFormat="1" ht="11.25" customHeight="1">
      <c r="A603" s="837" t="s">
        <v>405</v>
      </c>
      <c r="B603" s="838"/>
      <c r="C603" s="838"/>
      <c r="D603" s="838"/>
      <c r="E603" s="838"/>
      <c r="F603" s="838"/>
      <c r="G603" s="838"/>
      <c r="H603" s="838"/>
      <c r="I603" s="838"/>
      <c r="J603" s="838"/>
      <c r="K603" s="838"/>
      <c r="L603" s="838"/>
      <c r="M603" s="838"/>
      <c r="N603" s="838"/>
      <c r="O603" s="838"/>
      <c r="P603" s="838"/>
      <c r="Q603" s="838"/>
      <c r="R603" s="838"/>
      <c r="S603" s="838"/>
      <c r="T603" s="838"/>
      <c r="U603" s="838"/>
      <c r="V603" s="838"/>
      <c r="W603" s="838"/>
      <c r="X603" s="838"/>
      <c r="Y603" s="838"/>
      <c r="Z603" s="838"/>
      <c r="AA603" s="838"/>
      <c r="AB603" s="838"/>
      <c r="AC603" s="838"/>
      <c r="AD603" s="838"/>
      <c r="AE603" s="838"/>
      <c r="AF603" s="838"/>
      <c r="AG603" s="838"/>
      <c r="AH603" s="838"/>
      <c r="AI603" s="838"/>
      <c r="AJ603" s="838"/>
      <c r="AK603" s="838"/>
      <c r="AL603" s="839"/>
      <c r="AM603" s="280"/>
      <c r="AN603" s="280"/>
      <c r="AP603" s="486" t="e">
        <f t="shared" si="568"/>
        <v>#DIV/0!</v>
      </c>
      <c r="AQ603" s="486" t="e">
        <f t="shared" si="571"/>
        <v>#DIV/0!</v>
      </c>
      <c r="AR603" s="497" t="e">
        <f t="shared" si="572"/>
        <v>#DIV/0!</v>
      </c>
      <c r="AS603" s="497" t="e">
        <f t="shared" si="573"/>
        <v>#DIV/0!</v>
      </c>
      <c r="AT603" s="497" t="e">
        <f t="shared" si="574"/>
        <v>#DIV/0!</v>
      </c>
      <c r="AU603" s="497" t="e">
        <f t="shared" si="575"/>
        <v>#DIV/0!</v>
      </c>
      <c r="AV603" s="497" t="e">
        <f t="shared" si="576"/>
        <v>#DIV/0!</v>
      </c>
      <c r="AW603" s="497" t="e">
        <f t="shared" si="577"/>
        <v>#DIV/0!</v>
      </c>
      <c r="AX603" s="497" t="e">
        <f t="shared" si="578"/>
        <v>#DIV/0!</v>
      </c>
      <c r="AY603" s="486" t="e">
        <f t="shared" si="579"/>
        <v>#DIV/0!</v>
      </c>
      <c r="AZ603" s="497" t="e">
        <f t="shared" si="580"/>
        <v>#DIV/0!</v>
      </c>
      <c r="BA603" s="486" t="e">
        <f t="shared" si="569"/>
        <v>#DIV/0!</v>
      </c>
      <c r="BB603" s="494">
        <v>5155.41</v>
      </c>
      <c r="BC603" s="494">
        <v>2070.12</v>
      </c>
      <c r="BD603" s="494">
        <v>848.92</v>
      </c>
      <c r="BE603" s="494">
        <v>819.73</v>
      </c>
      <c r="BF603" s="494">
        <v>611.5</v>
      </c>
      <c r="BG603" s="494">
        <v>1080.04</v>
      </c>
      <c r="BH603" s="494">
        <v>2671800.0099999998</v>
      </c>
      <c r="BI603" s="494">
        <f t="shared" si="518"/>
        <v>4422.8500000000004</v>
      </c>
      <c r="BJ603" s="494">
        <v>14289.54</v>
      </c>
      <c r="BK603" s="494">
        <v>3389.61</v>
      </c>
      <c r="BL603" s="494">
        <v>5995.76</v>
      </c>
      <c r="BM603" s="494">
        <v>548.62</v>
      </c>
      <c r="BN603" s="493" t="e">
        <f t="shared" si="581"/>
        <v>#DIV/0!</v>
      </c>
      <c r="BO603" s="493" t="e">
        <f t="shared" si="582"/>
        <v>#DIV/0!</v>
      </c>
      <c r="BP603" s="493" t="e">
        <f t="shared" si="583"/>
        <v>#DIV/0!</v>
      </c>
      <c r="BQ603" s="493" t="e">
        <f t="shared" si="584"/>
        <v>#DIV/0!</v>
      </c>
      <c r="BR603" s="493" t="e">
        <f t="shared" si="585"/>
        <v>#DIV/0!</v>
      </c>
      <c r="BS603" s="493" t="e">
        <f t="shared" si="586"/>
        <v>#DIV/0!</v>
      </c>
      <c r="BT603" s="493" t="e">
        <f t="shared" si="587"/>
        <v>#DIV/0!</v>
      </c>
      <c r="BU603" s="493" t="e">
        <f t="shared" si="588"/>
        <v>#DIV/0!</v>
      </c>
      <c r="BV603" s="493" t="e">
        <f t="shared" si="589"/>
        <v>#DIV/0!</v>
      </c>
      <c r="BW603" s="493" t="e">
        <f t="shared" si="590"/>
        <v>#DIV/0!</v>
      </c>
      <c r="BX603" s="493" t="e">
        <f t="shared" si="591"/>
        <v>#DIV/0!</v>
      </c>
      <c r="BY603" s="493" t="e">
        <f t="shared" si="592"/>
        <v>#DIV/0!</v>
      </c>
    </row>
    <row r="604" spans="1:77" s="28" customFormat="1" ht="9" customHeight="1">
      <c r="A604" s="278">
        <v>206</v>
      </c>
      <c r="B604" s="276" t="s">
        <v>905</v>
      </c>
      <c r="C604" s="249">
        <v>536.67999999999995</v>
      </c>
      <c r="D604" s="376"/>
      <c r="E604" s="362" t="s">
        <v>1006</v>
      </c>
      <c r="F604" s="249"/>
      <c r="G604" s="249"/>
      <c r="H604" s="407">
        <v>1534533</v>
      </c>
      <c r="I604" s="407">
        <f t="shared" ref="I604" si="598">J604+L604+N604+P604+R604+T604</f>
        <v>0</v>
      </c>
      <c r="J604" s="217">
        <v>0</v>
      </c>
      <c r="K604" s="469">
        <v>0</v>
      </c>
      <c r="L604" s="217">
        <v>0</v>
      </c>
      <c r="M604" s="469">
        <v>0</v>
      </c>
      <c r="N604" s="217">
        <v>0</v>
      </c>
      <c r="O604" s="249">
        <v>0</v>
      </c>
      <c r="P604" s="407">
        <v>0</v>
      </c>
      <c r="Q604" s="249">
        <v>0</v>
      </c>
      <c r="R604" s="407">
        <v>0</v>
      </c>
      <c r="S604" s="249">
        <v>0</v>
      </c>
      <c r="T604" s="407">
        <v>0</v>
      </c>
      <c r="U604" s="130">
        <v>0</v>
      </c>
      <c r="V604" s="407">
        <v>0</v>
      </c>
      <c r="W604" s="23">
        <v>474.5</v>
      </c>
      <c r="X604" s="407">
        <f>ROUND(H604/100*95.5-0.01,2)</f>
        <v>1465479.01</v>
      </c>
      <c r="Y604" s="410">
        <v>0</v>
      </c>
      <c r="Z604" s="410">
        <v>0</v>
      </c>
      <c r="AA604" s="410">
        <v>0</v>
      </c>
      <c r="AB604" s="410">
        <v>0</v>
      </c>
      <c r="AC604" s="410">
        <v>0</v>
      </c>
      <c r="AD604" s="410">
        <v>0</v>
      </c>
      <c r="AE604" s="410">
        <v>0</v>
      </c>
      <c r="AF604" s="410">
        <v>0</v>
      </c>
      <c r="AG604" s="410">
        <v>0</v>
      </c>
      <c r="AH604" s="410">
        <v>0</v>
      </c>
      <c r="AI604" s="410">
        <v>0</v>
      </c>
      <c r="AJ604" s="410">
        <f t="shared" ref="AJ604" si="599">ROUND(H604/100*3,2)</f>
        <v>46035.99</v>
      </c>
      <c r="AK604" s="410">
        <f t="shared" ref="AK604" si="600">ROUND(H604/100*1.5,2)</f>
        <v>23018</v>
      </c>
      <c r="AL604" s="410">
        <v>0</v>
      </c>
      <c r="AM604" s="446"/>
      <c r="AN604" s="446"/>
      <c r="AP604" s="486" t="e">
        <f t="shared" si="568"/>
        <v>#DIV/0!</v>
      </c>
      <c r="AQ604" s="486" t="e">
        <f t="shared" si="571"/>
        <v>#DIV/0!</v>
      </c>
      <c r="AR604" s="486" t="e">
        <f t="shared" si="572"/>
        <v>#DIV/0!</v>
      </c>
      <c r="AS604" s="486" t="e">
        <f t="shared" si="573"/>
        <v>#DIV/0!</v>
      </c>
      <c r="AT604" s="486" t="e">
        <f t="shared" si="574"/>
        <v>#DIV/0!</v>
      </c>
      <c r="AU604" s="486" t="e">
        <f t="shared" si="575"/>
        <v>#DIV/0!</v>
      </c>
      <c r="AV604" s="486" t="e">
        <f t="shared" si="576"/>
        <v>#DIV/0!</v>
      </c>
      <c r="AW604" s="486">
        <f t="shared" si="577"/>
        <v>3088.4699894625924</v>
      </c>
      <c r="AX604" s="486" t="e">
        <f t="shared" si="578"/>
        <v>#DIV/0!</v>
      </c>
      <c r="AY604" s="486" t="e">
        <f t="shared" si="579"/>
        <v>#DIV/0!</v>
      </c>
      <c r="AZ604" s="486" t="e">
        <f t="shared" si="580"/>
        <v>#DIV/0!</v>
      </c>
      <c r="BA604" s="486">
        <f t="shared" si="569"/>
        <v>0</v>
      </c>
      <c r="BB604" s="494">
        <v>5155.41</v>
      </c>
      <c r="BC604" s="494">
        <v>2070.12</v>
      </c>
      <c r="BD604" s="494">
        <v>848.92</v>
      </c>
      <c r="BE604" s="494">
        <v>819.73</v>
      </c>
      <c r="BF604" s="494">
        <v>611.5</v>
      </c>
      <c r="BG604" s="494">
        <v>1080.04</v>
      </c>
      <c r="BH604" s="494">
        <v>2671800.0099999998</v>
      </c>
      <c r="BI604" s="494">
        <f t="shared" si="518"/>
        <v>4422.8500000000004</v>
      </c>
      <c r="BJ604" s="494">
        <v>14289.54</v>
      </c>
      <c r="BK604" s="494">
        <v>3389.61</v>
      </c>
      <c r="BL604" s="494">
        <v>5995.76</v>
      </c>
      <c r="BM604" s="494">
        <v>548.62</v>
      </c>
      <c r="BN604" s="495" t="e">
        <f t="shared" si="581"/>
        <v>#DIV/0!</v>
      </c>
      <c r="BO604" s="495" t="e">
        <f t="shared" si="582"/>
        <v>#DIV/0!</v>
      </c>
      <c r="BP604" s="495" t="e">
        <f t="shared" si="583"/>
        <v>#DIV/0!</v>
      </c>
      <c r="BQ604" s="495" t="e">
        <f t="shared" si="584"/>
        <v>#DIV/0!</v>
      </c>
      <c r="BR604" s="495" t="e">
        <f t="shared" si="585"/>
        <v>#DIV/0!</v>
      </c>
      <c r="BS604" s="495" t="e">
        <f t="shared" si="586"/>
        <v>#DIV/0!</v>
      </c>
      <c r="BT604" s="495" t="e">
        <f t="shared" si="587"/>
        <v>#DIV/0!</v>
      </c>
      <c r="BU604" s="495" t="str">
        <f t="shared" si="588"/>
        <v xml:space="preserve"> </v>
      </c>
      <c r="BV604" s="495" t="e">
        <f t="shared" si="589"/>
        <v>#DIV/0!</v>
      </c>
      <c r="BW604" s="495" t="e">
        <f t="shared" si="590"/>
        <v>#DIV/0!</v>
      </c>
      <c r="BX604" s="495" t="e">
        <f t="shared" si="591"/>
        <v>#DIV/0!</v>
      </c>
      <c r="BY604" s="495" t="str">
        <f t="shared" si="592"/>
        <v xml:space="preserve"> </v>
      </c>
    </row>
    <row r="605" spans="1:77" s="28" customFormat="1" ht="36.75" customHeight="1">
      <c r="A605" s="954" t="s">
        <v>406</v>
      </c>
      <c r="B605" s="954"/>
      <c r="C605" s="407">
        <f>SUM(C604)</f>
        <v>536.67999999999995</v>
      </c>
      <c r="D605" s="396"/>
      <c r="E605" s="407" t="s">
        <v>391</v>
      </c>
      <c r="F605" s="249"/>
      <c r="G605" s="249"/>
      <c r="H605" s="407">
        <f>SUM(H604)</f>
        <v>1534533</v>
      </c>
      <c r="I605" s="407">
        <f t="shared" ref="I605:AL605" si="601">SUM(I604)</f>
        <v>0</v>
      </c>
      <c r="J605" s="407">
        <f t="shared" si="601"/>
        <v>0</v>
      </c>
      <c r="K605" s="407">
        <f t="shared" si="601"/>
        <v>0</v>
      </c>
      <c r="L605" s="407">
        <f t="shared" si="601"/>
        <v>0</v>
      </c>
      <c r="M605" s="407">
        <f t="shared" si="601"/>
        <v>0</v>
      </c>
      <c r="N605" s="407">
        <f t="shared" si="601"/>
        <v>0</v>
      </c>
      <c r="O605" s="407">
        <f t="shared" si="601"/>
        <v>0</v>
      </c>
      <c r="P605" s="407">
        <f t="shared" si="601"/>
        <v>0</v>
      </c>
      <c r="Q605" s="407">
        <f t="shared" si="601"/>
        <v>0</v>
      </c>
      <c r="R605" s="407">
        <f t="shared" si="601"/>
        <v>0</v>
      </c>
      <c r="S605" s="407">
        <f t="shared" si="601"/>
        <v>0</v>
      </c>
      <c r="T605" s="407">
        <f t="shared" si="601"/>
        <v>0</v>
      </c>
      <c r="U605" s="130">
        <f t="shared" si="601"/>
        <v>0</v>
      </c>
      <c r="V605" s="407">
        <f t="shared" si="601"/>
        <v>0</v>
      </c>
      <c r="W605" s="407">
        <f t="shared" si="601"/>
        <v>474.5</v>
      </c>
      <c r="X605" s="407">
        <f t="shared" si="601"/>
        <v>1465479.01</v>
      </c>
      <c r="Y605" s="407">
        <f t="shared" si="601"/>
        <v>0</v>
      </c>
      <c r="Z605" s="407">
        <f t="shared" si="601"/>
        <v>0</v>
      </c>
      <c r="AA605" s="407">
        <f t="shared" si="601"/>
        <v>0</v>
      </c>
      <c r="AB605" s="407">
        <f t="shared" si="601"/>
        <v>0</v>
      </c>
      <c r="AC605" s="407">
        <f t="shared" si="601"/>
        <v>0</v>
      </c>
      <c r="AD605" s="407">
        <f t="shared" si="601"/>
        <v>0</v>
      </c>
      <c r="AE605" s="407">
        <f t="shared" si="601"/>
        <v>0</v>
      </c>
      <c r="AF605" s="407">
        <f t="shared" si="601"/>
        <v>0</v>
      </c>
      <c r="AG605" s="407">
        <f t="shared" si="601"/>
        <v>0</v>
      </c>
      <c r="AH605" s="407">
        <f t="shared" si="601"/>
        <v>0</v>
      </c>
      <c r="AI605" s="407">
        <f t="shared" si="601"/>
        <v>0</v>
      </c>
      <c r="AJ605" s="407">
        <f t="shared" si="601"/>
        <v>46035.99</v>
      </c>
      <c r="AK605" s="407">
        <f t="shared" si="601"/>
        <v>23018</v>
      </c>
      <c r="AL605" s="407">
        <f t="shared" si="601"/>
        <v>0</v>
      </c>
      <c r="AM605" s="280"/>
      <c r="AN605" s="280"/>
      <c r="AP605" s="486" t="e">
        <f t="shared" si="568"/>
        <v>#DIV/0!</v>
      </c>
      <c r="AQ605" s="486" t="e">
        <f t="shared" si="571"/>
        <v>#DIV/0!</v>
      </c>
      <c r="AR605" s="497" t="e">
        <f t="shared" si="572"/>
        <v>#DIV/0!</v>
      </c>
      <c r="AS605" s="497" t="e">
        <f t="shared" si="573"/>
        <v>#DIV/0!</v>
      </c>
      <c r="AT605" s="497" t="e">
        <f t="shared" si="574"/>
        <v>#DIV/0!</v>
      </c>
      <c r="AU605" s="497" t="e">
        <f t="shared" si="575"/>
        <v>#DIV/0!</v>
      </c>
      <c r="AV605" s="497" t="e">
        <f t="shared" si="576"/>
        <v>#DIV/0!</v>
      </c>
      <c r="AW605" s="497">
        <f t="shared" si="577"/>
        <v>3088.4699894625924</v>
      </c>
      <c r="AX605" s="497" t="e">
        <f t="shared" si="578"/>
        <v>#DIV/0!</v>
      </c>
      <c r="AY605" s="486" t="e">
        <f t="shared" si="579"/>
        <v>#DIV/0!</v>
      </c>
      <c r="AZ605" s="497" t="e">
        <f t="shared" si="580"/>
        <v>#DIV/0!</v>
      </c>
      <c r="BA605" s="486">
        <f t="shared" si="569"/>
        <v>0</v>
      </c>
      <c r="BB605" s="494">
        <v>5155.41</v>
      </c>
      <c r="BC605" s="494">
        <v>2070.12</v>
      </c>
      <c r="BD605" s="494">
        <v>848.92</v>
      </c>
      <c r="BE605" s="494">
        <v>819.73</v>
      </c>
      <c r="BF605" s="494">
        <v>611.5</v>
      </c>
      <c r="BG605" s="494">
        <v>1080.04</v>
      </c>
      <c r="BH605" s="494">
        <v>2671800.0099999998</v>
      </c>
      <c r="BI605" s="494">
        <f t="shared" si="518"/>
        <v>4422.8500000000004</v>
      </c>
      <c r="BJ605" s="494">
        <v>14289.54</v>
      </c>
      <c r="BK605" s="494">
        <v>3389.61</v>
      </c>
      <c r="BL605" s="494">
        <v>5995.76</v>
      </c>
      <c r="BM605" s="494">
        <v>548.62</v>
      </c>
      <c r="BN605" s="493" t="e">
        <f t="shared" si="581"/>
        <v>#DIV/0!</v>
      </c>
      <c r="BO605" s="493" t="e">
        <f t="shared" si="582"/>
        <v>#DIV/0!</v>
      </c>
      <c r="BP605" s="493" t="e">
        <f t="shared" si="583"/>
        <v>#DIV/0!</v>
      </c>
      <c r="BQ605" s="493" t="e">
        <f t="shared" si="584"/>
        <v>#DIV/0!</v>
      </c>
      <c r="BR605" s="493" t="e">
        <f t="shared" si="585"/>
        <v>#DIV/0!</v>
      </c>
      <c r="BS605" s="493" t="e">
        <f t="shared" si="586"/>
        <v>#DIV/0!</v>
      </c>
      <c r="BT605" s="493" t="e">
        <f t="shared" si="587"/>
        <v>#DIV/0!</v>
      </c>
      <c r="BU605" s="493" t="str">
        <f t="shared" si="588"/>
        <v xml:space="preserve"> </v>
      </c>
      <c r="BV605" s="493" t="e">
        <f t="shared" si="589"/>
        <v>#DIV/0!</v>
      </c>
      <c r="BW605" s="493" t="e">
        <f t="shared" si="590"/>
        <v>#DIV/0!</v>
      </c>
      <c r="BX605" s="493" t="e">
        <f t="shared" si="591"/>
        <v>#DIV/0!</v>
      </c>
      <c r="BY605" s="493" t="str">
        <f t="shared" si="592"/>
        <v xml:space="preserve"> </v>
      </c>
    </row>
    <row r="606" spans="1:77" s="28" customFormat="1" ht="12.75" customHeight="1">
      <c r="A606" s="837" t="s">
        <v>427</v>
      </c>
      <c r="B606" s="838"/>
      <c r="C606" s="838"/>
      <c r="D606" s="838"/>
      <c r="E606" s="838"/>
      <c r="F606" s="838"/>
      <c r="G606" s="838"/>
      <c r="H606" s="838"/>
      <c r="I606" s="838"/>
      <c r="J606" s="838"/>
      <c r="K606" s="838"/>
      <c r="L606" s="838"/>
      <c r="M606" s="838"/>
      <c r="N606" s="838"/>
      <c r="O606" s="838"/>
      <c r="P606" s="838"/>
      <c r="Q606" s="838"/>
      <c r="R606" s="838"/>
      <c r="S606" s="838"/>
      <c r="T606" s="838"/>
      <c r="U606" s="838"/>
      <c r="V606" s="838"/>
      <c r="W606" s="838"/>
      <c r="X606" s="838"/>
      <c r="Y606" s="838"/>
      <c r="Z606" s="838"/>
      <c r="AA606" s="838"/>
      <c r="AB606" s="838"/>
      <c r="AC606" s="838"/>
      <c r="AD606" s="838"/>
      <c r="AE606" s="838"/>
      <c r="AF606" s="838"/>
      <c r="AG606" s="838"/>
      <c r="AH606" s="838"/>
      <c r="AI606" s="838"/>
      <c r="AJ606" s="838"/>
      <c r="AK606" s="838"/>
      <c r="AL606" s="839"/>
      <c r="AM606" s="280"/>
      <c r="AN606" s="280"/>
      <c r="AP606" s="486" t="e">
        <f t="shared" si="568"/>
        <v>#DIV/0!</v>
      </c>
      <c r="AQ606" s="486" t="e">
        <f t="shared" si="571"/>
        <v>#DIV/0!</v>
      </c>
      <c r="AR606" s="497" t="e">
        <f t="shared" si="572"/>
        <v>#DIV/0!</v>
      </c>
      <c r="AS606" s="497" t="e">
        <f t="shared" si="573"/>
        <v>#DIV/0!</v>
      </c>
      <c r="AT606" s="497" t="e">
        <f t="shared" si="574"/>
        <v>#DIV/0!</v>
      </c>
      <c r="AU606" s="497" t="e">
        <f t="shared" si="575"/>
        <v>#DIV/0!</v>
      </c>
      <c r="AV606" s="497" t="e">
        <f t="shared" si="576"/>
        <v>#DIV/0!</v>
      </c>
      <c r="AW606" s="497" t="e">
        <f t="shared" si="577"/>
        <v>#DIV/0!</v>
      </c>
      <c r="AX606" s="497" t="e">
        <f t="shared" si="578"/>
        <v>#DIV/0!</v>
      </c>
      <c r="AY606" s="486" t="e">
        <f t="shared" si="579"/>
        <v>#DIV/0!</v>
      </c>
      <c r="AZ606" s="497" t="e">
        <f t="shared" si="580"/>
        <v>#DIV/0!</v>
      </c>
      <c r="BA606" s="486" t="e">
        <f t="shared" si="569"/>
        <v>#DIV/0!</v>
      </c>
      <c r="BB606" s="494">
        <v>5155.41</v>
      </c>
      <c r="BC606" s="494">
        <v>2070.12</v>
      </c>
      <c r="BD606" s="494">
        <v>848.92</v>
      </c>
      <c r="BE606" s="494">
        <v>819.73</v>
      </c>
      <c r="BF606" s="494">
        <v>611.5</v>
      </c>
      <c r="BG606" s="494">
        <v>1080.04</v>
      </c>
      <c r="BH606" s="494">
        <v>2671800.0099999998</v>
      </c>
      <c r="BI606" s="494">
        <f t="shared" si="518"/>
        <v>4422.8500000000004</v>
      </c>
      <c r="BJ606" s="494">
        <v>14289.54</v>
      </c>
      <c r="BK606" s="494">
        <v>3389.61</v>
      </c>
      <c r="BL606" s="494">
        <v>5995.76</v>
      </c>
      <c r="BM606" s="494">
        <v>548.62</v>
      </c>
      <c r="BN606" s="493" t="e">
        <f t="shared" si="581"/>
        <v>#DIV/0!</v>
      </c>
      <c r="BO606" s="493" t="e">
        <f t="shared" si="582"/>
        <v>#DIV/0!</v>
      </c>
      <c r="BP606" s="493" t="e">
        <f t="shared" si="583"/>
        <v>#DIV/0!</v>
      </c>
      <c r="BQ606" s="493" t="e">
        <f t="shared" si="584"/>
        <v>#DIV/0!</v>
      </c>
      <c r="BR606" s="493" t="e">
        <f t="shared" si="585"/>
        <v>#DIV/0!</v>
      </c>
      <c r="BS606" s="493" t="e">
        <f t="shared" si="586"/>
        <v>#DIV/0!</v>
      </c>
      <c r="BT606" s="493" t="e">
        <f t="shared" si="587"/>
        <v>#DIV/0!</v>
      </c>
      <c r="BU606" s="493" t="e">
        <f t="shared" si="588"/>
        <v>#DIV/0!</v>
      </c>
      <c r="BV606" s="493" t="e">
        <f t="shared" si="589"/>
        <v>#DIV/0!</v>
      </c>
      <c r="BW606" s="493" t="e">
        <f t="shared" si="590"/>
        <v>#DIV/0!</v>
      </c>
      <c r="BX606" s="493" t="e">
        <f t="shared" si="591"/>
        <v>#DIV/0!</v>
      </c>
      <c r="BY606" s="493" t="e">
        <f t="shared" si="592"/>
        <v>#DIV/0!</v>
      </c>
    </row>
    <row r="607" spans="1:77" s="28" customFormat="1" ht="9" customHeight="1">
      <c r="A607" s="278">
        <v>207</v>
      </c>
      <c r="B607" s="156" t="s">
        <v>912</v>
      </c>
      <c r="C607" s="249">
        <v>492</v>
      </c>
      <c r="D607" s="376"/>
      <c r="E607" s="362" t="s">
        <v>1006</v>
      </c>
      <c r="F607" s="249"/>
      <c r="G607" s="249"/>
      <c r="H607" s="407">
        <v>1455300</v>
      </c>
      <c r="I607" s="407">
        <f t="shared" ref="I607:I612" si="602">J607+L607+N607+P607+R607+T607</f>
        <v>0</v>
      </c>
      <c r="J607" s="217">
        <v>0</v>
      </c>
      <c r="K607" s="469">
        <v>0</v>
      </c>
      <c r="L607" s="217">
        <v>0</v>
      </c>
      <c r="M607" s="469">
        <v>0</v>
      </c>
      <c r="N607" s="217">
        <v>0</v>
      </c>
      <c r="O607" s="249">
        <v>0</v>
      </c>
      <c r="P607" s="407">
        <v>0</v>
      </c>
      <c r="Q607" s="249">
        <v>0</v>
      </c>
      <c r="R607" s="407">
        <v>0</v>
      </c>
      <c r="S607" s="249">
        <v>0</v>
      </c>
      <c r="T607" s="407">
        <v>0</v>
      </c>
      <c r="U607" s="130">
        <v>0</v>
      </c>
      <c r="V607" s="407">
        <v>0</v>
      </c>
      <c r="W607" s="410">
        <v>450</v>
      </c>
      <c r="X607" s="407">
        <f t="shared" ref="X607:X612" si="603">ROUND(H607/100*95.5,2)</f>
        <v>1389811.5</v>
      </c>
      <c r="Y607" s="410">
        <v>0</v>
      </c>
      <c r="Z607" s="410">
        <v>0</v>
      </c>
      <c r="AA607" s="410">
        <v>0</v>
      </c>
      <c r="AB607" s="410">
        <v>0</v>
      </c>
      <c r="AC607" s="410">
        <v>0</v>
      </c>
      <c r="AD607" s="410">
        <v>0</v>
      </c>
      <c r="AE607" s="410">
        <v>0</v>
      </c>
      <c r="AF607" s="410">
        <v>0</v>
      </c>
      <c r="AG607" s="410">
        <v>0</v>
      </c>
      <c r="AH607" s="410">
        <v>0</v>
      </c>
      <c r="AI607" s="410">
        <v>0</v>
      </c>
      <c r="AJ607" s="410">
        <f t="shared" ref="AJ607:AJ612" si="604">ROUND(H607/100*3,2)</f>
        <v>43659</v>
      </c>
      <c r="AK607" s="410">
        <f t="shared" ref="AK607:AK612" si="605">ROUND(H607/100*1.5,2)</f>
        <v>21829.5</v>
      </c>
      <c r="AL607" s="410">
        <v>0</v>
      </c>
      <c r="AM607" s="446"/>
      <c r="AN607" s="446"/>
      <c r="AP607" s="486" t="e">
        <f t="shared" si="568"/>
        <v>#DIV/0!</v>
      </c>
      <c r="AQ607" s="486" t="e">
        <f t="shared" si="571"/>
        <v>#DIV/0!</v>
      </c>
      <c r="AR607" s="486" t="e">
        <f t="shared" si="572"/>
        <v>#DIV/0!</v>
      </c>
      <c r="AS607" s="486" t="e">
        <f t="shared" si="573"/>
        <v>#DIV/0!</v>
      </c>
      <c r="AT607" s="486" t="e">
        <f t="shared" si="574"/>
        <v>#DIV/0!</v>
      </c>
      <c r="AU607" s="486" t="e">
        <f t="shared" si="575"/>
        <v>#DIV/0!</v>
      </c>
      <c r="AV607" s="486" t="e">
        <f t="shared" si="576"/>
        <v>#DIV/0!</v>
      </c>
      <c r="AW607" s="486">
        <f t="shared" si="577"/>
        <v>3088.47</v>
      </c>
      <c r="AX607" s="486" t="e">
        <f t="shared" si="578"/>
        <v>#DIV/0!</v>
      </c>
      <c r="AY607" s="486" t="e">
        <f t="shared" si="579"/>
        <v>#DIV/0!</v>
      </c>
      <c r="AZ607" s="486" t="e">
        <f t="shared" si="580"/>
        <v>#DIV/0!</v>
      </c>
      <c r="BA607" s="486">
        <f t="shared" si="569"/>
        <v>0</v>
      </c>
      <c r="BB607" s="494">
        <v>5155.41</v>
      </c>
      <c r="BC607" s="494">
        <v>2070.12</v>
      </c>
      <c r="BD607" s="494">
        <v>848.92</v>
      </c>
      <c r="BE607" s="494">
        <v>819.73</v>
      </c>
      <c r="BF607" s="494">
        <v>611.5</v>
      </c>
      <c r="BG607" s="494">
        <v>1080.04</v>
      </c>
      <c r="BH607" s="494">
        <v>2671800.0099999998</v>
      </c>
      <c r="BI607" s="494">
        <f t="shared" si="518"/>
        <v>4422.8500000000004</v>
      </c>
      <c r="BJ607" s="494">
        <v>14289.54</v>
      </c>
      <c r="BK607" s="494">
        <v>3389.61</v>
      </c>
      <c r="BL607" s="494">
        <v>5995.76</v>
      </c>
      <c r="BM607" s="494">
        <v>548.62</v>
      </c>
      <c r="BN607" s="495" t="e">
        <f t="shared" si="581"/>
        <v>#DIV/0!</v>
      </c>
      <c r="BO607" s="495" t="e">
        <f t="shared" si="582"/>
        <v>#DIV/0!</v>
      </c>
      <c r="BP607" s="495" t="e">
        <f t="shared" si="583"/>
        <v>#DIV/0!</v>
      </c>
      <c r="BQ607" s="495" t="e">
        <f t="shared" si="584"/>
        <v>#DIV/0!</v>
      </c>
      <c r="BR607" s="495" t="e">
        <f t="shared" si="585"/>
        <v>#DIV/0!</v>
      </c>
      <c r="BS607" s="495" t="e">
        <f t="shared" si="586"/>
        <v>#DIV/0!</v>
      </c>
      <c r="BT607" s="495" t="e">
        <f t="shared" si="587"/>
        <v>#DIV/0!</v>
      </c>
      <c r="BU607" s="495" t="str">
        <f t="shared" si="588"/>
        <v xml:space="preserve"> </v>
      </c>
      <c r="BV607" s="495" t="e">
        <f t="shared" si="589"/>
        <v>#DIV/0!</v>
      </c>
      <c r="BW607" s="495" t="e">
        <f t="shared" si="590"/>
        <v>#DIV/0!</v>
      </c>
      <c r="BX607" s="495" t="e">
        <f t="shared" si="591"/>
        <v>#DIV/0!</v>
      </c>
      <c r="BY607" s="495" t="str">
        <f t="shared" si="592"/>
        <v xml:space="preserve"> </v>
      </c>
    </row>
    <row r="608" spans="1:77" s="28" customFormat="1" ht="9" customHeight="1">
      <c r="A608" s="278">
        <v>208</v>
      </c>
      <c r="B608" s="156" t="s">
        <v>913</v>
      </c>
      <c r="C608" s="249">
        <v>795.7</v>
      </c>
      <c r="D608" s="376"/>
      <c r="E608" s="362" t="s">
        <v>1006</v>
      </c>
      <c r="F608" s="249"/>
      <c r="G608" s="249"/>
      <c r="H608" s="407">
        <v>2102100</v>
      </c>
      <c r="I608" s="407">
        <f t="shared" si="602"/>
        <v>0</v>
      </c>
      <c r="J608" s="217">
        <v>0</v>
      </c>
      <c r="K608" s="469">
        <v>0</v>
      </c>
      <c r="L608" s="217">
        <v>0</v>
      </c>
      <c r="M608" s="469">
        <v>0</v>
      </c>
      <c r="N608" s="217">
        <v>0</v>
      </c>
      <c r="O608" s="249">
        <v>0</v>
      </c>
      <c r="P608" s="407">
        <v>0</v>
      </c>
      <c r="Q608" s="249">
        <v>0</v>
      </c>
      <c r="R608" s="407">
        <v>0</v>
      </c>
      <c r="S608" s="249">
        <v>0</v>
      </c>
      <c r="T608" s="407">
        <v>0</v>
      </c>
      <c r="U608" s="130">
        <v>0</v>
      </c>
      <c r="V608" s="407">
        <v>0</v>
      </c>
      <c r="W608" s="410">
        <v>650</v>
      </c>
      <c r="X608" s="407">
        <f t="shared" si="603"/>
        <v>2007505.5</v>
      </c>
      <c r="Y608" s="410">
        <v>0</v>
      </c>
      <c r="Z608" s="410">
        <v>0</v>
      </c>
      <c r="AA608" s="410">
        <v>0</v>
      </c>
      <c r="AB608" s="410">
        <v>0</v>
      </c>
      <c r="AC608" s="410">
        <v>0</v>
      </c>
      <c r="AD608" s="410">
        <v>0</v>
      </c>
      <c r="AE608" s="410">
        <v>0</v>
      </c>
      <c r="AF608" s="410">
        <v>0</v>
      </c>
      <c r="AG608" s="410">
        <v>0</v>
      </c>
      <c r="AH608" s="410">
        <v>0</v>
      </c>
      <c r="AI608" s="410">
        <v>0</v>
      </c>
      <c r="AJ608" s="410">
        <f t="shared" si="604"/>
        <v>63063</v>
      </c>
      <c r="AK608" s="410">
        <f t="shared" si="605"/>
        <v>31531.5</v>
      </c>
      <c r="AL608" s="410">
        <v>0</v>
      </c>
      <c r="AM608" s="446"/>
      <c r="AN608" s="446"/>
      <c r="AP608" s="486" t="e">
        <f t="shared" si="568"/>
        <v>#DIV/0!</v>
      </c>
      <c r="AQ608" s="486" t="e">
        <f t="shared" si="571"/>
        <v>#DIV/0!</v>
      </c>
      <c r="AR608" s="486" t="e">
        <f t="shared" si="572"/>
        <v>#DIV/0!</v>
      </c>
      <c r="AS608" s="486" t="e">
        <f t="shared" si="573"/>
        <v>#DIV/0!</v>
      </c>
      <c r="AT608" s="486" t="e">
        <f t="shared" si="574"/>
        <v>#DIV/0!</v>
      </c>
      <c r="AU608" s="486" t="e">
        <f t="shared" si="575"/>
        <v>#DIV/0!</v>
      </c>
      <c r="AV608" s="486" t="e">
        <f t="shared" si="576"/>
        <v>#DIV/0!</v>
      </c>
      <c r="AW608" s="486">
        <f t="shared" si="577"/>
        <v>3088.47</v>
      </c>
      <c r="AX608" s="486" t="e">
        <f t="shared" si="578"/>
        <v>#DIV/0!</v>
      </c>
      <c r="AY608" s="486" t="e">
        <f t="shared" si="579"/>
        <v>#DIV/0!</v>
      </c>
      <c r="AZ608" s="486" t="e">
        <f t="shared" si="580"/>
        <v>#DIV/0!</v>
      </c>
      <c r="BA608" s="486">
        <f t="shared" si="569"/>
        <v>0</v>
      </c>
      <c r="BB608" s="494">
        <v>5155.41</v>
      </c>
      <c r="BC608" s="494">
        <v>2070.12</v>
      </c>
      <c r="BD608" s="494">
        <v>848.92</v>
      </c>
      <c r="BE608" s="494">
        <v>819.73</v>
      </c>
      <c r="BF608" s="494">
        <v>611.5</v>
      </c>
      <c r="BG608" s="494">
        <v>1080.04</v>
      </c>
      <c r="BH608" s="494">
        <v>2671800.0099999998</v>
      </c>
      <c r="BI608" s="494">
        <f t="shared" si="518"/>
        <v>4422.8500000000004</v>
      </c>
      <c r="BJ608" s="494">
        <v>14289.54</v>
      </c>
      <c r="BK608" s="494">
        <v>3389.61</v>
      </c>
      <c r="BL608" s="494">
        <v>5995.76</v>
      </c>
      <c r="BM608" s="494">
        <v>548.62</v>
      </c>
      <c r="BN608" s="495" t="e">
        <f t="shared" si="581"/>
        <v>#DIV/0!</v>
      </c>
      <c r="BO608" s="495" t="e">
        <f t="shared" si="582"/>
        <v>#DIV/0!</v>
      </c>
      <c r="BP608" s="495" t="e">
        <f t="shared" si="583"/>
        <v>#DIV/0!</v>
      </c>
      <c r="BQ608" s="495" t="e">
        <f t="shared" si="584"/>
        <v>#DIV/0!</v>
      </c>
      <c r="BR608" s="495" t="e">
        <f t="shared" si="585"/>
        <v>#DIV/0!</v>
      </c>
      <c r="BS608" s="495" t="e">
        <f t="shared" si="586"/>
        <v>#DIV/0!</v>
      </c>
      <c r="BT608" s="495" t="e">
        <f t="shared" si="587"/>
        <v>#DIV/0!</v>
      </c>
      <c r="BU608" s="495" t="str">
        <f t="shared" si="588"/>
        <v xml:space="preserve"> </v>
      </c>
      <c r="BV608" s="495" t="e">
        <f t="shared" si="589"/>
        <v>#DIV/0!</v>
      </c>
      <c r="BW608" s="495" t="e">
        <f t="shared" si="590"/>
        <v>#DIV/0!</v>
      </c>
      <c r="BX608" s="495" t="e">
        <f t="shared" si="591"/>
        <v>#DIV/0!</v>
      </c>
      <c r="BY608" s="495" t="str">
        <f t="shared" si="592"/>
        <v xml:space="preserve"> </v>
      </c>
    </row>
    <row r="609" spans="1:77" s="28" customFormat="1" ht="9" customHeight="1">
      <c r="A609" s="406">
        <v>209</v>
      </c>
      <c r="B609" s="156" t="s">
        <v>914</v>
      </c>
      <c r="C609" s="249">
        <v>2606</v>
      </c>
      <c r="D609" s="376"/>
      <c r="E609" s="362" t="s">
        <v>1006</v>
      </c>
      <c r="F609" s="249"/>
      <c r="G609" s="249"/>
      <c r="H609" s="407">
        <v>3087499.8</v>
      </c>
      <c r="I609" s="407">
        <f t="shared" si="602"/>
        <v>0</v>
      </c>
      <c r="J609" s="217">
        <v>0</v>
      </c>
      <c r="K609" s="469">
        <v>0</v>
      </c>
      <c r="L609" s="217">
        <v>0</v>
      </c>
      <c r="M609" s="469">
        <v>0</v>
      </c>
      <c r="N609" s="217">
        <v>0</v>
      </c>
      <c r="O609" s="249">
        <v>0</v>
      </c>
      <c r="P609" s="407">
        <v>0</v>
      </c>
      <c r="Q609" s="249">
        <v>0</v>
      </c>
      <c r="R609" s="407">
        <v>0</v>
      </c>
      <c r="S609" s="249">
        <v>0</v>
      </c>
      <c r="T609" s="407">
        <v>0</v>
      </c>
      <c r="U609" s="130">
        <v>0</v>
      </c>
      <c r="V609" s="407">
        <v>0</v>
      </c>
      <c r="W609" s="410">
        <v>954.7</v>
      </c>
      <c r="X609" s="407">
        <f t="shared" si="603"/>
        <v>2948562.31</v>
      </c>
      <c r="Y609" s="410">
        <v>0</v>
      </c>
      <c r="Z609" s="410">
        <v>0</v>
      </c>
      <c r="AA609" s="410">
        <v>0</v>
      </c>
      <c r="AB609" s="410">
        <v>0</v>
      </c>
      <c r="AC609" s="410">
        <v>0</v>
      </c>
      <c r="AD609" s="410">
        <v>0</v>
      </c>
      <c r="AE609" s="410">
        <v>0</v>
      </c>
      <c r="AF609" s="410">
        <v>0</v>
      </c>
      <c r="AG609" s="410">
        <v>0</v>
      </c>
      <c r="AH609" s="410">
        <v>0</v>
      </c>
      <c r="AI609" s="410">
        <v>0</v>
      </c>
      <c r="AJ609" s="410">
        <f t="shared" si="604"/>
        <v>92624.99</v>
      </c>
      <c r="AK609" s="410">
        <f t="shared" si="605"/>
        <v>46312.5</v>
      </c>
      <c r="AL609" s="410">
        <v>0</v>
      </c>
      <c r="AM609" s="446"/>
      <c r="AN609" s="446"/>
      <c r="AP609" s="486" t="e">
        <f t="shared" si="568"/>
        <v>#DIV/0!</v>
      </c>
      <c r="AQ609" s="486" t="e">
        <f t="shared" si="571"/>
        <v>#DIV/0!</v>
      </c>
      <c r="AR609" s="486" t="e">
        <f t="shared" si="572"/>
        <v>#DIV/0!</v>
      </c>
      <c r="AS609" s="486" t="e">
        <f t="shared" si="573"/>
        <v>#DIV/0!</v>
      </c>
      <c r="AT609" s="486" t="e">
        <f t="shared" si="574"/>
        <v>#DIV/0!</v>
      </c>
      <c r="AU609" s="486" t="e">
        <f t="shared" si="575"/>
        <v>#DIV/0!</v>
      </c>
      <c r="AV609" s="486" t="e">
        <f t="shared" si="576"/>
        <v>#DIV/0!</v>
      </c>
      <c r="AW609" s="486">
        <f t="shared" si="577"/>
        <v>3088.4700010474494</v>
      </c>
      <c r="AX609" s="486" t="e">
        <f t="shared" si="578"/>
        <v>#DIV/0!</v>
      </c>
      <c r="AY609" s="486" t="e">
        <f t="shared" si="579"/>
        <v>#DIV/0!</v>
      </c>
      <c r="AZ609" s="486" t="e">
        <f t="shared" si="580"/>
        <v>#DIV/0!</v>
      </c>
      <c r="BA609" s="486">
        <f t="shared" si="569"/>
        <v>0</v>
      </c>
      <c r="BB609" s="494">
        <v>5155.41</v>
      </c>
      <c r="BC609" s="494">
        <v>2070.12</v>
      </c>
      <c r="BD609" s="494">
        <v>848.92</v>
      </c>
      <c r="BE609" s="494">
        <v>819.73</v>
      </c>
      <c r="BF609" s="494">
        <v>611.5</v>
      </c>
      <c r="BG609" s="494">
        <v>1080.04</v>
      </c>
      <c r="BH609" s="494">
        <v>2671800.0099999998</v>
      </c>
      <c r="BI609" s="494">
        <f t="shared" si="518"/>
        <v>4422.8500000000004</v>
      </c>
      <c r="BJ609" s="494">
        <v>14289.54</v>
      </c>
      <c r="BK609" s="494">
        <v>3389.61</v>
      </c>
      <c r="BL609" s="494">
        <v>5995.76</v>
      </c>
      <c r="BM609" s="494">
        <v>548.62</v>
      </c>
      <c r="BN609" s="495" t="e">
        <f t="shared" si="581"/>
        <v>#DIV/0!</v>
      </c>
      <c r="BO609" s="495" t="e">
        <f t="shared" si="582"/>
        <v>#DIV/0!</v>
      </c>
      <c r="BP609" s="495" t="e">
        <f t="shared" si="583"/>
        <v>#DIV/0!</v>
      </c>
      <c r="BQ609" s="495" t="e">
        <f t="shared" si="584"/>
        <v>#DIV/0!</v>
      </c>
      <c r="BR609" s="495" t="e">
        <f t="shared" si="585"/>
        <v>#DIV/0!</v>
      </c>
      <c r="BS609" s="495" t="e">
        <f t="shared" si="586"/>
        <v>#DIV/0!</v>
      </c>
      <c r="BT609" s="495" t="e">
        <f t="shared" si="587"/>
        <v>#DIV/0!</v>
      </c>
      <c r="BU609" s="495" t="str">
        <f t="shared" si="588"/>
        <v xml:space="preserve"> </v>
      </c>
      <c r="BV609" s="495" t="e">
        <f t="shared" si="589"/>
        <v>#DIV/0!</v>
      </c>
      <c r="BW609" s="495" t="e">
        <f t="shared" si="590"/>
        <v>#DIV/0!</v>
      </c>
      <c r="BX609" s="495" t="e">
        <f t="shared" si="591"/>
        <v>#DIV/0!</v>
      </c>
      <c r="BY609" s="495" t="str">
        <f t="shared" si="592"/>
        <v xml:space="preserve"> </v>
      </c>
    </row>
    <row r="610" spans="1:77" s="28" customFormat="1" ht="9" customHeight="1">
      <c r="A610" s="406">
        <v>210</v>
      </c>
      <c r="B610" s="156" t="s">
        <v>915</v>
      </c>
      <c r="C610" s="249">
        <v>292.3</v>
      </c>
      <c r="D610" s="376"/>
      <c r="E610" s="362" t="s">
        <v>1006</v>
      </c>
      <c r="F610" s="249"/>
      <c r="G610" s="249"/>
      <c r="H610" s="407">
        <v>867746.88</v>
      </c>
      <c r="I610" s="407">
        <f t="shared" si="602"/>
        <v>0</v>
      </c>
      <c r="J610" s="217">
        <v>0</v>
      </c>
      <c r="K610" s="469">
        <v>0</v>
      </c>
      <c r="L610" s="217">
        <v>0</v>
      </c>
      <c r="M610" s="469">
        <v>0</v>
      </c>
      <c r="N610" s="217">
        <v>0</v>
      </c>
      <c r="O610" s="249">
        <v>0</v>
      </c>
      <c r="P610" s="407">
        <v>0</v>
      </c>
      <c r="Q610" s="249">
        <v>0</v>
      </c>
      <c r="R610" s="407">
        <v>0</v>
      </c>
      <c r="S610" s="249">
        <v>0</v>
      </c>
      <c r="T610" s="407">
        <v>0</v>
      </c>
      <c r="U610" s="130">
        <v>0</v>
      </c>
      <c r="V610" s="407">
        <v>0</v>
      </c>
      <c r="W610" s="410">
        <v>268.32</v>
      </c>
      <c r="X610" s="407">
        <f t="shared" si="603"/>
        <v>828698.27</v>
      </c>
      <c r="Y610" s="410">
        <v>0</v>
      </c>
      <c r="Z610" s="410">
        <v>0</v>
      </c>
      <c r="AA610" s="410">
        <v>0</v>
      </c>
      <c r="AB610" s="410">
        <v>0</v>
      </c>
      <c r="AC610" s="410">
        <v>0</v>
      </c>
      <c r="AD610" s="410">
        <v>0</v>
      </c>
      <c r="AE610" s="410">
        <v>0</v>
      </c>
      <c r="AF610" s="410">
        <v>0</v>
      </c>
      <c r="AG610" s="410">
        <v>0</v>
      </c>
      <c r="AH610" s="410">
        <v>0</v>
      </c>
      <c r="AI610" s="410">
        <v>0</v>
      </c>
      <c r="AJ610" s="410">
        <f t="shared" si="604"/>
        <v>26032.41</v>
      </c>
      <c r="AK610" s="410">
        <f t="shared" si="605"/>
        <v>13016.2</v>
      </c>
      <c r="AL610" s="410">
        <v>0</v>
      </c>
      <c r="AM610" s="446"/>
      <c r="AN610" s="446"/>
      <c r="AP610" s="486" t="e">
        <f t="shared" si="568"/>
        <v>#DIV/0!</v>
      </c>
      <c r="AQ610" s="486" t="e">
        <f t="shared" si="571"/>
        <v>#DIV/0!</v>
      </c>
      <c r="AR610" s="486" t="e">
        <f t="shared" si="572"/>
        <v>#DIV/0!</v>
      </c>
      <c r="AS610" s="486" t="e">
        <f t="shared" si="573"/>
        <v>#DIV/0!</v>
      </c>
      <c r="AT610" s="486" t="e">
        <f t="shared" si="574"/>
        <v>#DIV/0!</v>
      </c>
      <c r="AU610" s="486" t="e">
        <f t="shared" si="575"/>
        <v>#DIV/0!</v>
      </c>
      <c r="AV610" s="486" t="e">
        <f t="shared" si="576"/>
        <v>#DIV/0!</v>
      </c>
      <c r="AW610" s="486">
        <f t="shared" si="577"/>
        <v>3088.4699985092429</v>
      </c>
      <c r="AX610" s="486" t="e">
        <f t="shared" si="578"/>
        <v>#DIV/0!</v>
      </c>
      <c r="AY610" s="486" t="e">
        <f t="shared" si="579"/>
        <v>#DIV/0!</v>
      </c>
      <c r="AZ610" s="486" t="e">
        <f t="shared" si="580"/>
        <v>#DIV/0!</v>
      </c>
      <c r="BA610" s="486">
        <f t="shared" si="569"/>
        <v>0</v>
      </c>
      <c r="BB610" s="494">
        <v>5155.41</v>
      </c>
      <c r="BC610" s="494">
        <v>2070.12</v>
      </c>
      <c r="BD610" s="494">
        <v>848.92</v>
      </c>
      <c r="BE610" s="494">
        <v>819.73</v>
      </c>
      <c r="BF610" s="494">
        <v>611.5</v>
      </c>
      <c r="BG610" s="494">
        <v>1080.04</v>
      </c>
      <c r="BH610" s="494">
        <v>2671800.0099999998</v>
      </c>
      <c r="BI610" s="494">
        <f t="shared" si="518"/>
        <v>4422.8500000000004</v>
      </c>
      <c r="BJ610" s="494">
        <v>14289.54</v>
      </c>
      <c r="BK610" s="494">
        <v>3389.61</v>
      </c>
      <c r="BL610" s="494">
        <v>5995.76</v>
      </c>
      <c r="BM610" s="494">
        <v>548.62</v>
      </c>
      <c r="BN610" s="495" t="e">
        <f t="shared" si="581"/>
        <v>#DIV/0!</v>
      </c>
      <c r="BO610" s="495" t="e">
        <f t="shared" si="582"/>
        <v>#DIV/0!</v>
      </c>
      <c r="BP610" s="495" t="e">
        <f t="shared" si="583"/>
        <v>#DIV/0!</v>
      </c>
      <c r="BQ610" s="495" t="e">
        <f t="shared" si="584"/>
        <v>#DIV/0!</v>
      </c>
      <c r="BR610" s="495" t="e">
        <f t="shared" si="585"/>
        <v>#DIV/0!</v>
      </c>
      <c r="BS610" s="495" t="e">
        <f t="shared" si="586"/>
        <v>#DIV/0!</v>
      </c>
      <c r="BT610" s="495" t="e">
        <f t="shared" si="587"/>
        <v>#DIV/0!</v>
      </c>
      <c r="BU610" s="495" t="str">
        <f t="shared" si="588"/>
        <v xml:space="preserve"> </v>
      </c>
      <c r="BV610" s="495" t="e">
        <f t="shared" si="589"/>
        <v>#DIV/0!</v>
      </c>
      <c r="BW610" s="495" t="e">
        <f t="shared" si="590"/>
        <v>#DIV/0!</v>
      </c>
      <c r="BX610" s="495" t="e">
        <f t="shared" si="591"/>
        <v>#DIV/0!</v>
      </c>
      <c r="BY610" s="495" t="str">
        <f t="shared" si="592"/>
        <v xml:space="preserve"> </v>
      </c>
    </row>
    <row r="611" spans="1:77" s="28" customFormat="1" ht="9" customHeight="1">
      <c r="A611" s="406">
        <v>211</v>
      </c>
      <c r="B611" s="156" t="s">
        <v>916</v>
      </c>
      <c r="C611" s="249">
        <v>1702.9</v>
      </c>
      <c r="D611" s="376"/>
      <c r="E611" s="362" t="s">
        <v>1006</v>
      </c>
      <c r="F611" s="249"/>
      <c r="G611" s="249"/>
      <c r="H611" s="407">
        <v>2102100</v>
      </c>
      <c r="I611" s="407">
        <f t="shared" si="602"/>
        <v>0</v>
      </c>
      <c r="J611" s="217">
        <v>0</v>
      </c>
      <c r="K611" s="469">
        <v>0</v>
      </c>
      <c r="L611" s="217">
        <v>0</v>
      </c>
      <c r="M611" s="469">
        <v>0</v>
      </c>
      <c r="N611" s="217">
        <v>0</v>
      </c>
      <c r="O611" s="249">
        <v>0</v>
      </c>
      <c r="P611" s="407">
        <v>0</v>
      </c>
      <c r="Q611" s="249">
        <v>0</v>
      </c>
      <c r="R611" s="407">
        <v>0</v>
      </c>
      <c r="S611" s="249">
        <v>0</v>
      </c>
      <c r="T611" s="407">
        <v>0</v>
      </c>
      <c r="U611" s="130">
        <v>0</v>
      </c>
      <c r="V611" s="407">
        <v>0</v>
      </c>
      <c r="W611" s="410">
        <v>650</v>
      </c>
      <c r="X611" s="407">
        <f t="shared" si="603"/>
        <v>2007505.5</v>
      </c>
      <c r="Y611" s="410">
        <v>0</v>
      </c>
      <c r="Z611" s="410">
        <v>0</v>
      </c>
      <c r="AA611" s="410">
        <v>0</v>
      </c>
      <c r="AB611" s="410">
        <v>0</v>
      </c>
      <c r="AC611" s="410">
        <v>0</v>
      </c>
      <c r="AD611" s="410">
        <v>0</v>
      </c>
      <c r="AE611" s="410">
        <v>0</v>
      </c>
      <c r="AF611" s="410">
        <v>0</v>
      </c>
      <c r="AG611" s="410">
        <v>0</v>
      </c>
      <c r="AH611" s="410">
        <v>0</v>
      </c>
      <c r="AI611" s="410">
        <v>0</v>
      </c>
      <c r="AJ611" s="410">
        <f t="shared" si="604"/>
        <v>63063</v>
      </c>
      <c r="AK611" s="410">
        <f t="shared" si="605"/>
        <v>31531.5</v>
      </c>
      <c r="AL611" s="410">
        <v>0</v>
      </c>
      <c r="AM611" s="446"/>
      <c r="AN611" s="446"/>
      <c r="AP611" s="486" t="e">
        <f t="shared" si="568"/>
        <v>#DIV/0!</v>
      </c>
      <c r="AQ611" s="486" t="e">
        <f t="shared" si="571"/>
        <v>#DIV/0!</v>
      </c>
      <c r="AR611" s="486" t="e">
        <f t="shared" si="572"/>
        <v>#DIV/0!</v>
      </c>
      <c r="AS611" s="486" t="e">
        <f t="shared" si="573"/>
        <v>#DIV/0!</v>
      </c>
      <c r="AT611" s="486" t="e">
        <f t="shared" si="574"/>
        <v>#DIV/0!</v>
      </c>
      <c r="AU611" s="486" t="e">
        <f t="shared" si="575"/>
        <v>#DIV/0!</v>
      </c>
      <c r="AV611" s="486" t="e">
        <f t="shared" si="576"/>
        <v>#DIV/0!</v>
      </c>
      <c r="AW611" s="486">
        <f t="shared" si="577"/>
        <v>3088.47</v>
      </c>
      <c r="AX611" s="486" t="e">
        <f t="shared" si="578"/>
        <v>#DIV/0!</v>
      </c>
      <c r="AY611" s="486" t="e">
        <f t="shared" si="579"/>
        <v>#DIV/0!</v>
      </c>
      <c r="AZ611" s="486" t="e">
        <f t="shared" si="580"/>
        <v>#DIV/0!</v>
      </c>
      <c r="BA611" s="486">
        <f t="shared" si="569"/>
        <v>0</v>
      </c>
      <c r="BB611" s="494">
        <v>5155.41</v>
      </c>
      <c r="BC611" s="494">
        <v>2070.12</v>
      </c>
      <c r="BD611" s="494">
        <v>848.92</v>
      </c>
      <c r="BE611" s="494">
        <v>819.73</v>
      </c>
      <c r="BF611" s="494">
        <v>611.5</v>
      </c>
      <c r="BG611" s="494">
        <v>1080.04</v>
      </c>
      <c r="BH611" s="494">
        <v>2671800.0099999998</v>
      </c>
      <c r="BI611" s="494">
        <f t="shared" ref="BI611:BI674" si="606">IF(E611="ПК",4607.6,4422.85)</f>
        <v>4422.8500000000004</v>
      </c>
      <c r="BJ611" s="494">
        <v>14289.54</v>
      </c>
      <c r="BK611" s="494">
        <v>3389.61</v>
      </c>
      <c r="BL611" s="494">
        <v>5995.76</v>
      </c>
      <c r="BM611" s="494">
        <v>548.62</v>
      </c>
      <c r="BN611" s="495" t="e">
        <f t="shared" si="581"/>
        <v>#DIV/0!</v>
      </c>
      <c r="BO611" s="495" t="e">
        <f t="shared" si="582"/>
        <v>#DIV/0!</v>
      </c>
      <c r="BP611" s="495" t="e">
        <f t="shared" si="583"/>
        <v>#DIV/0!</v>
      </c>
      <c r="BQ611" s="495" t="e">
        <f t="shared" si="584"/>
        <v>#DIV/0!</v>
      </c>
      <c r="BR611" s="495" t="e">
        <f t="shared" si="585"/>
        <v>#DIV/0!</v>
      </c>
      <c r="BS611" s="495" t="e">
        <f t="shared" si="586"/>
        <v>#DIV/0!</v>
      </c>
      <c r="BT611" s="495" t="e">
        <f t="shared" si="587"/>
        <v>#DIV/0!</v>
      </c>
      <c r="BU611" s="495" t="str">
        <f t="shared" si="588"/>
        <v xml:space="preserve"> </v>
      </c>
      <c r="BV611" s="495" t="e">
        <f t="shared" si="589"/>
        <v>#DIV/0!</v>
      </c>
      <c r="BW611" s="495" t="e">
        <f t="shared" si="590"/>
        <v>#DIV/0!</v>
      </c>
      <c r="BX611" s="495" t="e">
        <f t="shared" si="591"/>
        <v>#DIV/0!</v>
      </c>
      <c r="BY611" s="495" t="str">
        <f t="shared" si="592"/>
        <v xml:space="preserve"> </v>
      </c>
    </row>
    <row r="612" spans="1:77" s="28" customFormat="1" ht="9" customHeight="1">
      <c r="A612" s="406">
        <v>212</v>
      </c>
      <c r="B612" s="156" t="s">
        <v>917</v>
      </c>
      <c r="C612" s="249">
        <v>1233</v>
      </c>
      <c r="D612" s="376"/>
      <c r="E612" s="362" t="s">
        <v>1006</v>
      </c>
      <c r="F612" s="249"/>
      <c r="G612" s="249"/>
      <c r="H612" s="407">
        <v>1798104</v>
      </c>
      <c r="I612" s="407">
        <f t="shared" si="602"/>
        <v>0</v>
      </c>
      <c r="J612" s="217">
        <v>0</v>
      </c>
      <c r="K612" s="469">
        <v>0</v>
      </c>
      <c r="L612" s="217">
        <v>0</v>
      </c>
      <c r="M612" s="469">
        <v>0</v>
      </c>
      <c r="N612" s="217">
        <v>0</v>
      </c>
      <c r="O612" s="249">
        <v>0</v>
      </c>
      <c r="P612" s="407">
        <v>0</v>
      </c>
      <c r="Q612" s="249">
        <v>0</v>
      </c>
      <c r="R612" s="407">
        <v>0</v>
      </c>
      <c r="S612" s="249">
        <v>0</v>
      </c>
      <c r="T612" s="407">
        <v>0</v>
      </c>
      <c r="U612" s="130">
        <v>0</v>
      </c>
      <c r="V612" s="407">
        <v>0</v>
      </c>
      <c r="W612" s="410">
        <v>556</v>
      </c>
      <c r="X612" s="407">
        <f t="shared" si="603"/>
        <v>1717189.32</v>
      </c>
      <c r="Y612" s="410">
        <v>0</v>
      </c>
      <c r="Z612" s="410">
        <v>0</v>
      </c>
      <c r="AA612" s="410">
        <v>0</v>
      </c>
      <c r="AB612" s="410">
        <v>0</v>
      </c>
      <c r="AC612" s="410">
        <v>0</v>
      </c>
      <c r="AD612" s="410">
        <v>0</v>
      </c>
      <c r="AE612" s="410">
        <v>0</v>
      </c>
      <c r="AF612" s="410">
        <v>0</v>
      </c>
      <c r="AG612" s="410">
        <v>0</v>
      </c>
      <c r="AH612" s="410">
        <v>0</v>
      </c>
      <c r="AI612" s="410">
        <v>0</v>
      </c>
      <c r="AJ612" s="410">
        <f t="shared" si="604"/>
        <v>53943.12</v>
      </c>
      <c r="AK612" s="410">
        <f t="shared" si="605"/>
        <v>26971.56</v>
      </c>
      <c r="AL612" s="410">
        <v>0</v>
      </c>
      <c r="AM612" s="446"/>
      <c r="AN612" s="446"/>
      <c r="AP612" s="486" t="e">
        <f t="shared" si="568"/>
        <v>#DIV/0!</v>
      </c>
      <c r="AQ612" s="486" t="e">
        <f t="shared" si="571"/>
        <v>#DIV/0!</v>
      </c>
      <c r="AR612" s="486" t="e">
        <f t="shared" si="572"/>
        <v>#DIV/0!</v>
      </c>
      <c r="AS612" s="486" t="e">
        <f t="shared" si="573"/>
        <v>#DIV/0!</v>
      </c>
      <c r="AT612" s="486" t="e">
        <f t="shared" si="574"/>
        <v>#DIV/0!</v>
      </c>
      <c r="AU612" s="486" t="e">
        <f t="shared" si="575"/>
        <v>#DIV/0!</v>
      </c>
      <c r="AV612" s="486" t="e">
        <f t="shared" si="576"/>
        <v>#DIV/0!</v>
      </c>
      <c r="AW612" s="486">
        <f t="shared" si="577"/>
        <v>3088.4700000000003</v>
      </c>
      <c r="AX612" s="486" t="e">
        <f t="shared" si="578"/>
        <v>#DIV/0!</v>
      </c>
      <c r="AY612" s="486" t="e">
        <f t="shared" si="579"/>
        <v>#DIV/0!</v>
      </c>
      <c r="AZ612" s="486" t="e">
        <f t="shared" si="580"/>
        <v>#DIV/0!</v>
      </c>
      <c r="BA612" s="486">
        <f t="shared" si="569"/>
        <v>0</v>
      </c>
      <c r="BB612" s="494">
        <v>5155.41</v>
      </c>
      <c r="BC612" s="494">
        <v>2070.12</v>
      </c>
      <c r="BD612" s="494">
        <v>848.92</v>
      </c>
      <c r="BE612" s="494">
        <v>819.73</v>
      </c>
      <c r="BF612" s="494">
        <v>611.5</v>
      </c>
      <c r="BG612" s="494">
        <v>1080.04</v>
      </c>
      <c r="BH612" s="494">
        <v>2671800.0099999998</v>
      </c>
      <c r="BI612" s="494">
        <f t="shared" si="606"/>
        <v>4422.8500000000004</v>
      </c>
      <c r="BJ612" s="494">
        <v>14289.54</v>
      </c>
      <c r="BK612" s="494">
        <v>3389.61</v>
      </c>
      <c r="BL612" s="494">
        <v>5995.76</v>
      </c>
      <c r="BM612" s="494">
        <v>548.62</v>
      </c>
      <c r="BN612" s="495" t="e">
        <f t="shared" si="581"/>
        <v>#DIV/0!</v>
      </c>
      <c r="BO612" s="495" t="e">
        <f t="shared" si="582"/>
        <v>#DIV/0!</v>
      </c>
      <c r="BP612" s="495" t="e">
        <f t="shared" si="583"/>
        <v>#DIV/0!</v>
      </c>
      <c r="BQ612" s="495" t="e">
        <f t="shared" si="584"/>
        <v>#DIV/0!</v>
      </c>
      <c r="BR612" s="495" t="e">
        <f t="shared" si="585"/>
        <v>#DIV/0!</v>
      </c>
      <c r="BS612" s="495" t="e">
        <f t="shared" si="586"/>
        <v>#DIV/0!</v>
      </c>
      <c r="BT612" s="495" t="e">
        <f t="shared" si="587"/>
        <v>#DIV/0!</v>
      </c>
      <c r="BU612" s="495" t="str">
        <f t="shared" si="588"/>
        <v xml:space="preserve"> </v>
      </c>
      <c r="BV612" s="495" t="e">
        <f t="shared" si="589"/>
        <v>#DIV/0!</v>
      </c>
      <c r="BW612" s="495" t="e">
        <f t="shared" si="590"/>
        <v>#DIV/0!</v>
      </c>
      <c r="BX612" s="495" t="e">
        <f t="shared" si="591"/>
        <v>#DIV/0!</v>
      </c>
      <c r="BY612" s="495" t="str">
        <f t="shared" si="592"/>
        <v xml:space="preserve"> </v>
      </c>
    </row>
    <row r="613" spans="1:77" s="28" customFormat="1" ht="25.5" customHeight="1">
      <c r="A613" s="954" t="s">
        <v>428</v>
      </c>
      <c r="B613" s="954"/>
      <c r="C613" s="407">
        <f>SUM(C607:C612)</f>
        <v>7121.9</v>
      </c>
      <c r="D613" s="396"/>
      <c r="E613" s="362" t="s">
        <v>391</v>
      </c>
      <c r="F613" s="374"/>
      <c r="G613" s="374"/>
      <c r="H613" s="407">
        <f>SUM(H607:H612)</f>
        <v>11412850.68</v>
      </c>
      <c r="I613" s="407">
        <f t="shared" ref="I613:AN613" si="607">SUM(I607:I612)</f>
        <v>0</v>
      </c>
      <c r="J613" s="407">
        <f t="shared" si="607"/>
        <v>0</v>
      </c>
      <c r="K613" s="407">
        <f t="shared" si="607"/>
        <v>0</v>
      </c>
      <c r="L613" s="407">
        <f t="shared" si="607"/>
        <v>0</v>
      </c>
      <c r="M613" s="407">
        <f t="shared" si="607"/>
        <v>0</v>
      </c>
      <c r="N613" s="407">
        <f t="shared" si="607"/>
        <v>0</v>
      </c>
      <c r="O613" s="407">
        <f t="shared" si="607"/>
        <v>0</v>
      </c>
      <c r="P613" s="407">
        <f t="shared" si="607"/>
        <v>0</v>
      </c>
      <c r="Q613" s="407">
        <f t="shared" si="607"/>
        <v>0</v>
      </c>
      <c r="R613" s="407">
        <f t="shared" si="607"/>
        <v>0</v>
      </c>
      <c r="S613" s="407">
        <f t="shared" si="607"/>
        <v>0</v>
      </c>
      <c r="T613" s="407">
        <f t="shared" si="607"/>
        <v>0</v>
      </c>
      <c r="U613" s="130">
        <f t="shared" si="607"/>
        <v>0</v>
      </c>
      <c r="V613" s="407">
        <f t="shared" si="607"/>
        <v>0</v>
      </c>
      <c r="W613" s="407">
        <f t="shared" si="607"/>
        <v>3529.02</v>
      </c>
      <c r="X613" s="407">
        <f t="shared" si="607"/>
        <v>10899272.4</v>
      </c>
      <c r="Y613" s="407">
        <f t="shared" si="607"/>
        <v>0</v>
      </c>
      <c r="Z613" s="407">
        <f t="shared" si="607"/>
        <v>0</v>
      </c>
      <c r="AA613" s="407">
        <f t="shared" si="607"/>
        <v>0</v>
      </c>
      <c r="AB613" s="407">
        <f t="shared" si="607"/>
        <v>0</v>
      </c>
      <c r="AC613" s="407">
        <f t="shared" si="607"/>
        <v>0</v>
      </c>
      <c r="AD613" s="407">
        <f t="shared" si="607"/>
        <v>0</v>
      </c>
      <c r="AE613" s="407">
        <f t="shared" si="607"/>
        <v>0</v>
      </c>
      <c r="AF613" s="407">
        <f t="shared" si="607"/>
        <v>0</v>
      </c>
      <c r="AG613" s="407">
        <f t="shared" si="607"/>
        <v>0</v>
      </c>
      <c r="AH613" s="407">
        <f t="shared" si="607"/>
        <v>0</v>
      </c>
      <c r="AI613" s="407">
        <f t="shared" si="607"/>
        <v>0</v>
      </c>
      <c r="AJ613" s="407">
        <f t="shared" si="607"/>
        <v>342385.52</v>
      </c>
      <c r="AK613" s="407">
        <f t="shared" si="607"/>
        <v>171192.76</v>
      </c>
      <c r="AL613" s="407">
        <f t="shared" si="607"/>
        <v>0</v>
      </c>
      <c r="AM613" s="407">
        <f t="shared" si="607"/>
        <v>0</v>
      </c>
      <c r="AN613" s="407">
        <f t="shared" si="607"/>
        <v>0</v>
      </c>
      <c r="AP613" s="486" t="e">
        <f t="shared" si="568"/>
        <v>#DIV/0!</v>
      </c>
      <c r="AQ613" s="486" t="e">
        <f t="shared" si="571"/>
        <v>#DIV/0!</v>
      </c>
      <c r="AR613" s="497" t="e">
        <f t="shared" si="572"/>
        <v>#DIV/0!</v>
      </c>
      <c r="AS613" s="497" t="e">
        <f t="shared" si="573"/>
        <v>#DIV/0!</v>
      </c>
      <c r="AT613" s="497" t="e">
        <f t="shared" si="574"/>
        <v>#DIV/0!</v>
      </c>
      <c r="AU613" s="497" t="e">
        <f t="shared" si="575"/>
        <v>#DIV/0!</v>
      </c>
      <c r="AV613" s="497" t="e">
        <f t="shared" si="576"/>
        <v>#DIV/0!</v>
      </c>
      <c r="AW613" s="497">
        <f t="shared" si="577"/>
        <v>3088.4700001700189</v>
      </c>
      <c r="AX613" s="497" t="e">
        <f t="shared" si="578"/>
        <v>#DIV/0!</v>
      </c>
      <c r="AY613" s="486" t="e">
        <f t="shared" si="579"/>
        <v>#DIV/0!</v>
      </c>
      <c r="AZ613" s="497" t="e">
        <f t="shared" si="580"/>
        <v>#DIV/0!</v>
      </c>
      <c r="BA613" s="486">
        <f t="shared" si="569"/>
        <v>0</v>
      </c>
      <c r="BB613" s="494">
        <v>5155.41</v>
      </c>
      <c r="BC613" s="494">
        <v>2070.12</v>
      </c>
      <c r="BD613" s="494">
        <v>848.92</v>
      </c>
      <c r="BE613" s="494">
        <v>819.73</v>
      </c>
      <c r="BF613" s="494">
        <v>611.5</v>
      </c>
      <c r="BG613" s="494">
        <v>1080.04</v>
      </c>
      <c r="BH613" s="494">
        <v>2671800.0099999998</v>
      </c>
      <c r="BI613" s="494">
        <f t="shared" si="606"/>
        <v>4422.8500000000004</v>
      </c>
      <c r="BJ613" s="494">
        <v>14289.54</v>
      </c>
      <c r="BK613" s="494">
        <v>3389.61</v>
      </c>
      <c r="BL613" s="494">
        <v>5995.76</v>
      </c>
      <c r="BM613" s="494">
        <v>548.62</v>
      </c>
      <c r="BN613" s="493" t="e">
        <f t="shared" si="581"/>
        <v>#DIV/0!</v>
      </c>
      <c r="BO613" s="493" t="e">
        <f t="shared" si="582"/>
        <v>#DIV/0!</v>
      </c>
      <c r="BP613" s="493" t="e">
        <f t="shared" si="583"/>
        <v>#DIV/0!</v>
      </c>
      <c r="BQ613" s="493" t="e">
        <f t="shared" si="584"/>
        <v>#DIV/0!</v>
      </c>
      <c r="BR613" s="493" t="e">
        <f t="shared" si="585"/>
        <v>#DIV/0!</v>
      </c>
      <c r="BS613" s="493" t="e">
        <f t="shared" si="586"/>
        <v>#DIV/0!</v>
      </c>
      <c r="BT613" s="493" t="e">
        <f t="shared" si="587"/>
        <v>#DIV/0!</v>
      </c>
      <c r="BU613" s="493" t="str">
        <f t="shared" si="588"/>
        <v xml:space="preserve"> </v>
      </c>
      <c r="BV613" s="493" t="e">
        <f t="shared" si="589"/>
        <v>#DIV/0!</v>
      </c>
      <c r="BW613" s="493" t="e">
        <f t="shared" si="590"/>
        <v>#DIV/0!</v>
      </c>
      <c r="BX613" s="493" t="e">
        <f t="shared" si="591"/>
        <v>#DIV/0!</v>
      </c>
      <c r="BY613" s="493" t="str">
        <f t="shared" si="592"/>
        <v xml:space="preserve"> </v>
      </c>
    </row>
    <row r="614" spans="1:77" s="28" customFormat="1" ht="13.5" customHeight="1">
      <c r="A614" s="837" t="s">
        <v>345</v>
      </c>
      <c r="B614" s="838"/>
      <c r="C614" s="838"/>
      <c r="D614" s="838"/>
      <c r="E614" s="838"/>
      <c r="F614" s="838"/>
      <c r="G614" s="838"/>
      <c r="H614" s="838"/>
      <c r="I614" s="838"/>
      <c r="J614" s="838"/>
      <c r="K614" s="838"/>
      <c r="L614" s="838"/>
      <c r="M614" s="838"/>
      <c r="N614" s="838"/>
      <c r="O614" s="838"/>
      <c r="P614" s="838"/>
      <c r="Q614" s="838"/>
      <c r="R614" s="838"/>
      <c r="S614" s="838"/>
      <c r="T614" s="838"/>
      <c r="U614" s="838"/>
      <c r="V614" s="838"/>
      <c r="W614" s="838"/>
      <c r="X614" s="838"/>
      <c r="Y614" s="838"/>
      <c r="Z614" s="838"/>
      <c r="AA614" s="838"/>
      <c r="AB614" s="838"/>
      <c r="AC614" s="838"/>
      <c r="AD614" s="838"/>
      <c r="AE614" s="838"/>
      <c r="AF614" s="838"/>
      <c r="AG614" s="838"/>
      <c r="AH614" s="838"/>
      <c r="AI614" s="838"/>
      <c r="AJ614" s="838"/>
      <c r="AK614" s="838"/>
      <c r="AL614" s="839"/>
      <c r="AM614" s="280"/>
      <c r="AN614" s="280"/>
      <c r="AP614" s="486" t="e">
        <f t="shared" si="568"/>
        <v>#DIV/0!</v>
      </c>
      <c r="AQ614" s="486" t="e">
        <f t="shared" si="571"/>
        <v>#DIV/0!</v>
      </c>
      <c r="AR614" s="497" t="e">
        <f t="shared" si="572"/>
        <v>#DIV/0!</v>
      </c>
      <c r="AS614" s="497" t="e">
        <f t="shared" si="573"/>
        <v>#DIV/0!</v>
      </c>
      <c r="AT614" s="497" t="e">
        <f t="shared" si="574"/>
        <v>#DIV/0!</v>
      </c>
      <c r="AU614" s="497" t="e">
        <f t="shared" si="575"/>
        <v>#DIV/0!</v>
      </c>
      <c r="AV614" s="497" t="e">
        <f t="shared" si="576"/>
        <v>#DIV/0!</v>
      </c>
      <c r="AW614" s="497" t="e">
        <f t="shared" si="577"/>
        <v>#DIV/0!</v>
      </c>
      <c r="AX614" s="497" t="e">
        <f t="shared" si="578"/>
        <v>#DIV/0!</v>
      </c>
      <c r="AY614" s="486" t="e">
        <f t="shared" si="579"/>
        <v>#DIV/0!</v>
      </c>
      <c r="AZ614" s="497" t="e">
        <f t="shared" si="580"/>
        <v>#DIV/0!</v>
      </c>
      <c r="BA614" s="486" t="e">
        <f t="shared" si="569"/>
        <v>#DIV/0!</v>
      </c>
      <c r="BB614" s="494">
        <v>5155.41</v>
      </c>
      <c r="BC614" s="494">
        <v>2070.12</v>
      </c>
      <c r="BD614" s="494">
        <v>848.92</v>
      </c>
      <c r="BE614" s="494">
        <v>819.73</v>
      </c>
      <c r="BF614" s="494">
        <v>611.5</v>
      </c>
      <c r="BG614" s="494">
        <v>1080.04</v>
      </c>
      <c r="BH614" s="494">
        <v>2671800.0099999998</v>
      </c>
      <c r="BI614" s="494">
        <f t="shared" si="606"/>
        <v>4422.8500000000004</v>
      </c>
      <c r="BJ614" s="494">
        <v>14289.54</v>
      </c>
      <c r="BK614" s="494">
        <v>3389.61</v>
      </c>
      <c r="BL614" s="494">
        <v>5995.76</v>
      </c>
      <c r="BM614" s="494">
        <v>548.62</v>
      </c>
      <c r="BN614" s="493" t="e">
        <f t="shared" si="581"/>
        <v>#DIV/0!</v>
      </c>
      <c r="BO614" s="493" t="e">
        <f t="shared" si="582"/>
        <v>#DIV/0!</v>
      </c>
      <c r="BP614" s="493" t="e">
        <f t="shared" si="583"/>
        <v>#DIV/0!</v>
      </c>
      <c r="BQ614" s="493" t="e">
        <f t="shared" si="584"/>
        <v>#DIV/0!</v>
      </c>
      <c r="BR614" s="493" t="e">
        <f t="shared" si="585"/>
        <v>#DIV/0!</v>
      </c>
      <c r="BS614" s="493" t="e">
        <f t="shared" si="586"/>
        <v>#DIV/0!</v>
      </c>
      <c r="BT614" s="493" t="e">
        <f t="shared" si="587"/>
        <v>#DIV/0!</v>
      </c>
      <c r="BU614" s="493" t="e">
        <f t="shared" si="588"/>
        <v>#DIV/0!</v>
      </c>
      <c r="BV614" s="493" t="e">
        <f t="shared" si="589"/>
        <v>#DIV/0!</v>
      </c>
      <c r="BW614" s="493" t="e">
        <f t="shared" si="590"/>
        <v>#DIV/0!</v>
      </c>
      <c r="BX614" s="493" t="e">
        <f t="shared" si="591"/>
        <v>#DIV/0!</v>
      </c>
      <c r="BY614" s="493" t="e">
        <f t="shared" si="592"/>
        <v>#DIV/0!</v>
      </c>
    </row>
    <row r="615" spans="1:77" s="28" customFormat="1" ht="9" customHeight="1">
      <c r="A615" s="278">
        <v>213</v>
      </c>
      <c r="B615" s="156" t="s">
        <v>921</v>
      </c>
      <c r="C615" s="249">
        <v>878.5</v>
      </c>
      <c r="D615" s="376"/>
      <c r="E615" s="362" t="s">
        <v>1006</v>
      </c>
      <c r="F615" s="249"/>
      <c r="G615" s="249"/>
      <c r="H615" s="407">
        <v>2728687.5</v>
      </c>
      <c r="I615" s="407">
        <f t="shared" ref="I615:I616" si="608">J615+L615+N615+P615+R615+T615</f>
        <v>0</v>
      </c>
      <c r="J615" s="217">
        <v>0</v>
      </c>
      <c r="K615" s="469">
        <v>0</v>
      </c>
      <c r="L615" s="217">
        <v>0</v>
      </c>
      <c r="M615" s="469">
        <v>0</v>
      </c>
      <c r="N615" s="217">
        <v>0</v>
      </c>
      <c r="O615" s="249">
        <v>0</v>
      </c>
      <c r="P615" s="407">
        <v>0</v>
      </c>
      <c r="Q615" s="249">
        <v>0</v>
      </c>
      <c r="R615" s="407">
        <v>0</v>
      </c>
      <c r="S615" s="249">
        <v>0</v>
      </c>
      <c r="T615" s="407">
        <v>0</v>
      </c>
      <c r="U615" s="130">
        <v>0</v>
      </c>
      <c r="V615" s="407">
        <v>0</v>
      </c>
      <c r="W615" s="410">
        <v>843.75</v>
      </c>
      <c r="X615" s="407">
        <f t="shared" ref="X615" si="609">ROUND(H615/100*95.5,2)</f>
        <v>2605896.56</v>
      </c>
      <c r="Y615" s="410">
        <v>0</v>
      </c>
      <c r="Z615" s="410">
        <v>0</v>
      </c>
      <c r="AA615" s="410">
        <v>0</v>
      </c>
      <c r="AB615" s="410">
        <v>0</v>
      </c>
      <c r="AC615" s="410">
        <v>0</v>
      </c>
      <c r="AD615" s="410">
        <v>0</v>
      </c>
      <c r="AE615" s="410">
        <v>0</v>
      </c>
      <c r="AF615" s="410">
        <v>0</v>
      </c>
      <c r="AG615" s="410">
        <v>0</v>
      </c>
      <c r="AH615" s="410">
        <v>0</v>
      </c>
      <c r="AI615" s="410">
        <v>0</v>
      </c>
      <c r="AJ615" s="410">
        <f t="shared" ref="AJ615:AJ616" si="610">ROUND(H615/100*3,2)</f>
        <v>81860.63</v>
      </c>
      <c r="AK615" s="410">
        <f t="shared" ref="AK615:AK616" si="611">ROUND(H615/100*1.5,2)</f>
        <v>40930.31</v>
      </c>
      <c r="AL615" s="410">
        <v>0</v>
      </c>
      <c r="AM615" s="446"/>
      <c r="AN615" s="446"/>
      <c r="AP615" s="486" t="e">
        <f t="shared" si="568"/>
        <v>#DIV/0!</v>
      </c>
      <c r="AQ615" s="486" t="e">
        <f t="shared" si="571"/>
        <v>#DIV/0!</v>
      </c>
      <c r="AR615" s="486" t="e">
        <f t="shared" si="572"/>
        <v>#DIV/0!</v>
      </c>
      <c r="AS615" s="486" t="e">
        <f t="shared" si="573"/>
        <v>#DIV/0!</v>
      </c>
      <c r="AT615" s="486" t="e">
        <f t="shared" si="574"/>
        <v>#DIV/0!</v>
      </c>
      <c r="AU615" s="486" t="e">
        <f t="shared" si="575"/>
        <v>#DIV/0!</v>
      </c>
      <c r="AV615" s="486" t="e">
        <f t="shared" si="576"/>
        <v>#DIV/0!</v>
      </c>
      <c r="AW615" s="486">
        <f t="shared" si="577"/>
        <v>3088.469997037037</v>
      </c>
      <c r="AX615" s="486" t="e">
        <f t="shared" si="578"/>
        <v>#DIV/0!</v>
      </c>
      <c r="AY615" s="486" t="e">
        <f t="shared" si="579"/>
        <v>#DIV/0!</v>
      </c>
      <c r="AZ615" s="486" t="e">
        <f t="shared" si="580"/>
        <v>#DIV/0!</v>
      </c>
      <c r="BA615" s="486">
        <f t="shared" si="569"/>
        <v>0</v>
      </c>
      <c r="BB615" s="494">
        <v>5155.41</v>
      </c>
      <c r="BC615" s="494">
        <v>2070.12</v>
      </c>
      <c r="BD615" s="494">
        <v>848.92</v>
      </c>
      <c r="BE615" s="494">
        <v>819.73</v>
      </c>
      <c r="BF615" s="494">
        <v>611.5</v>
      </c>
      <c r="BG615" s="494">
        <v>1080.04</v>
      </c>
      <c r="BH615" s="494">
        <v>2671800.0099999998</v>
      </c>
      <c r="BI615" s="494">
        <f t="shared" si="606"/>
        <v>4422.8500000000004</v>
      </c>
      <c r="BJ615" s="494">
        <v>14289.54</v>
      </c>
      <c r="BK615" s="494">
        <v>3389.61</v>
      </c>
      <c r="BL615" s="494">
        <v>5995.76</v>
      </c>
      <c r="BM615" s="494">
        <v>548.62</v>
      </c>
      <c r="BN615" s="495" t="e">
        <f t="shared" si="581"/>
        <v>#DIV/0!</v>
      </c>
      <c r="BO615" s="495" t="e">
        <f t="shared" si="582"/>
        <v>#DIV/0!</v>
      </c>
      <c r="BP615" s="495" t="e">
        <f t="shared" si="583"/>
        <v>#DIV/0!</v>
      </c>
      <c r="BQ615" s="495" t="e">
        <f t="shared" si="584"/>
        <v>#DIV/0!</v>
      </c>
      <c r="BR615" s="495" t="e">
        <f t="shared" si="585"/>
        <v>#DIV/0!</v>
      </c>
      <c r="BS615" s="495" t="e">
        <f t="shared" si="586"/>
        <v>#DIV/0!</v>
      </c>
      <c r="BT615" s="495" t="e">
        <f t="shared" si="587"/>
        <v>#DIV/0!</v>
      </c>
      <c r="BU615" s="495" t="str">
        <f t="shared" si="588"/>
        <v xml:space="preserve"> </v>
      </c>
      <c r="BV615" s="495" t="e">
        <f t="shared" si="589"/>
        <v>#DIV/0!</v>
      </c>
      <c r="BW615" s="495" t="e">
        <f t="shared" si="590"/>
        <v>#DIV/0!</v>
      </c>
      <c r="BX615" s="495" t="e">
        <f t="shared" si="591"/>
        <v>#DIV/0!</v>
      </c>
      <c r="BY615" s="495" t="str">
        <f t="shared" si="592"/>
        <v xml:space="preserve"> </v>
      </c>
    </row>
    <row r="616" spans="1:77" s="28" customFormat="1" ht="9" customHeight="1">
      <c r="A616" s="278">
        <v>214</v>
      </c>
      <c r="B616" s="156" t="s">
        <v>922</v>
      </c>
      <c r="C616" s="249">
        <v>942.74</v>
      </c>
      <c r="D616" s="376"/>
      <c r="E616" s="362" t="s">
        <v>1006</v>
      </c>
      <c r="F616" s="249"/>
      <c r="G616" s="249"/>
      <c r="H616" s="407">
        <v>3178375.2</v>
      </c>
      <c r="I616" s="407">
        <f t="shared" si="608"/>
        <v>0</v>
      </c>
      <c r="J616" s="217">
        <v>0</v>
      </c>
      <c r="K616" s="469">
        <v>0</v>
      </c>
      <c r="L616" s="217">
        <v>0</v>
      </c>
      <c r="M616" s="469">
        <v>0</v>
      </c>
      <c r="N616" s="217">
        <v>0</v>
      </c>
      <c r="O616" s="249">
        <v>0</v>
      </c>
      <c r="P616" s="407">
        <v>0</v>
      </c>
      <c r="Q616" s="249">
        <v>0</v>
      </c>
      <c r="R616" s="407">
        <v>0</v>
      </c>
      <c r="S616" s="249">
        <v>0</v>
      </c>
      <c r="T616" s="407">
        <v>0</v>
      </c>
      <c r="U616" s="130">
        <v>0</v>
      </c>
      <c r="V616" s="407">
        <v>0</v>
      </c>
      <c r="W616" s="410">
        <v>982.8</v>
      </c>
      <c r="X616" s="407">
        <f>ROUND(H616/100*95.5-0.01,2)</f>
        <v>3035348.31</v>
      </c>
      <c r="Y616" s="410">
        <v>0</v>
      </c>
      <c r="Z616" s="410">
        <v>0</v>
      </c>
      <c r="AA616" s="410">
        <v>0</v>
      </c>
      <c r="AB616" s="410">
        <v>0</v>
      </c>
      <c r="AC616" s="410">
        <v>0</v>
      </c>
      <c r="AD616" s="410">
        <v>0</v>
      </c>
      <c r="AE616" s="410">
        <v>0</v>
      </c>
      <c r="AF616" s="410">
        <v>0</v>
      </c>
      <c r="AG616" s="410">
        <v>0</v>
      </c>
      <c r="AH616" s="410">
        <v>0</v>
      </c>
      <c r="AI616" s="410">
        <v>0</v>
      </c>
      <c r="AJ616" s="410">
        <f t="shared" si="610"/>
        <v>95351.26</v>
      </c>
      <c r="AK616" s="410">
        <f t="shared" si="611"/>
        <v>47675.63</v>
      </c>
      <c r="AL616" s="410">
        <v>0</v>
      </c>
      <c r="AM616" s="446"/>
      <c r="AN616" s="446"/>
      <c r="AP616" s="486" t="e">
        <f t="shared" si="568"/>
        <v>#DIV/0!</v>
      </c>
      <c r="AQ616" s="486" t="e">
        <f t="shared" si="571"/>
        <v>#DIV/0!</v>
      </c>
      <c r="AR616" s="486" t="e">
        <f t="shared" si="572"/>
        <v>#DIV/0!</v>
      </c>
      <c r="AS616" s="486" t="e">
        <f t="shared" si="573"/>
        <v>#DIV/0!</v>
      </c>
      <c r="AT616" s="486" t="e">
        <f t="shared" si="574"/>
        <v>#DIV/0!</v>
      </c>
      <c r="AU616" s="486" t="e">
        <f t="shared" si="575"/>
        <v>#DIV/0!</v>
      </c>
      <c r="AV616" s="486" t="e">
        <f t="shared" si="576"/>
        <v>#DIV/0!</v>
      </c>
      <c r="AW616" s="486">
        <f t="shared" si="577"/>
        <v>3088.4699938949939</v>
      </c>
      <c r="AX616" s="486" t="e">
        <f t="shared" si="578"/>
        <v>#DIV/0!</v>
      </c>
      <c r="AY616" s="486" t="e">
        <f t="shared" si="579"/>
        <v>#DIV/0!</v>
      </c>
      <c r="AZ616" s="486" t="e">
        <f t="shared" si="580"/>
        <v>#DIV/0!</v>
      </c>
      <c r="BA616" s="486">
        <f t="shared" si="569"/>
        <v>0</v>
      </c>
      <c r="BB616" s="494">
        <v>5155.41</v>
      </c>
      <c r="BC616" s="494">
        <v>2070.12</v>
      </c>
      <c r="BD616" s="494">
        <v>848.92</v>
      </c>
      <c r="BE616" s="494">
        <v>819.73</v>
      </c>
      <c r="BF616" s="494">
        <v>611.5</v>
      </c>
      <c r="BG616" s="494">
        <v>1080.04</v>
      </c>
      <c r="BH616" s="494">
        <v>2671800.0099999998</v>
      </c>
      <c r="BI616" s="494">
        <f t="shared" si="606"/>
        <v>4422.8500000000004</v>
      </c>
      <c r="BJ616" s="494">
        <v>14289.54</v>
      </c>
      <c r="BK616" s="494">
        <v>3389.61</v>
      </c>
      <c r="BL616" s="494">
        <v>5995.76</v>
      </c>
      <c r="BM616" s="494">
        <v>548.62</v>
      </c>
      <c r="BN616" s="495" t="e">
        <f t="shared" si="581"/>
        <v>#DIV/0!</v>
      </c>
      <c r="BO616" s="495" t="e">
        <f t="shared" si="582"/>
        <v>#DIV/0!</v>
      </c>
      <c r="BP616" s="495" t="e">
        <f t="shared" si="583"/>
        <v>#DIV/0!</v>
      </c>
      <c r="BQ616" s="495" t="e">
        <f t="shared" si="584"/>
        <v>#DIV/0!</v>
      </c>
      <c r="BR616" s="495" t="e">
        <f t="shared" si="585"/>
        <v>#DIV/0!</v>
      </c>
      <c r="BS616" s="495" t="e">
        <f t="shared" si="586"/>
        <v>#DIV/0!</v>
      </c>
      <c r="BT616" s="495" t="e">
        <f t="shared" si="587"/>
        <v>#DIV/0!</v>
      </c>
      <c r="BU616" s="495" t="str">
        <f t="shared" si="588"/>
        <v xml:space="preserve"> </v>
      </c>
      <c r="BV616" s="495" t="e">
        <f t="shared" si="589"/>
        <v>#DIV/0!</v>
      </c>
      <c r="BW616" s="495" t="e">
        <f t="shared" si="590"/>
        <v>#DIV/0!</v>
      </c>
      <c r="BX616" s="495" t="e">
        <f t="shared" si="591"/>
        <v>#DIV/0!</v>
      </c>
      <c r="BY616" s="495" t="str">
        <f t="shared" si="592"/>
        <v xml:space="preserve"> </v>
      </c>
    </row>
    <row r="617" spans="1:77" s="28" customFormat="1" ht="38.25" customHeight="1">
      <c r="A617" s="954" t="s">
        <v>1004</v>
      </c>
      <c r="B617" s="954"/>
      <c r="C617" s="407">
        <f>SUM(C615:C616)</f>
        <v>1821.24</v>
      </c>
      <c r="D617" s="396"/>
      <c r="E617" s="362" t="s">
        <v>391</v>
      </c>
      <c r="F617" s="374"/>
      <c r="G617" s="374"/>
      <c r="H617" s="407">
        <f>SUM(H615:H616)</f>
        <v>5907062.7000000002</v>
      </c>
      <c r="I617" s="407">
        <f t="shared" ref="I617:AL617" si="612">SUM(I615:I616)</f>
        <v>0</v>
      </c>
      <c r="J617" s="407">
        <f t="shared" si="612"/>
        <v>0</v>
      </c>
      <c r="K617" s="407">
        <f t="shared" si="612"/>
        <v>0</v>
      </c>
      <c r="L617" s="407">
        <f t="shared" si="612"/>
        <v>0</v>
      </c>
      <c r="M617" s="407">
        <f t="shared" si="612"/>
        <v>0</v>
      </c>
      <c r="N617" s="407">
        <f t="shared" si="612"/>
        <v>0</v>
      </c>
      <c r="O617" s="407">
        <f t="shared" si="612"/>
        <v>0</v>
      </c>
      <c r="P617" s="407">
        <f t="shared" si="612"/>
        <v>0</v>
      </c>
      <c r="Q617" s="407">
        <f t="shared" si="612"/>
        <v>0</v>
      </c>
      <c r="R617" s="407">
        <f t="shared" si="612"/>
        <v>0</v>
      </c>
      <c r="S617" s="407">
        <f t="shared" si="612"/>
        <v>0</v>
      </c>
      <c r="T617" s="407">
        <f t="shared" si="612"/>
        <v>0</v>
      </c>
      <c r="U617" s="130">
        <f t="shared" si="612"/>
        <v>0</v>
      </c>
      <c r="V617" s="407">
        <f t="shared" si="612"/>
        <v>0</v>
      </c>
      <c r="W617" s="407">
        <f t="shared" si="612"/>
        <v>1826.55</v>
      </c>
      <c r="X617" s="407">
        <f t="shared" si="612"/>
        <v>5641244.8700000001</v>
      </c>
      <c r="Y617" s="407">
        <f t="shared" si="612"/>
        <v>0</v>
      </c>
      <c r="Z617" s="407">
        <f t="shared" si="612"/>
        <v>0</v>
      </c>
      <c r="AA617" s="407">
        <f t="shared" si="612"/>
        <v>0</v>
      </c>
      <c r="AB617" s="407">
        <f t="shared" si="612"/>
        <v>0</v>
      </c>
      <c r="AC617" s="407">
        <f t="shared" si="612"/>
        <v>0</v>
      </c>
      <c r="AD617" s="407">
        <f t="shared" si="612"/>
        <v>0</v>
      </c>
      <c r="AE617" s="407">
        <f t="shared" si="612"/>
        <v>0</v>
      </c>
      <c r="AF617" s="407">
        <f t="shared" si="612"/>
        <v>0</v>
      </c>
      <c r="AG617" s="407">
        <f t="shared" si="612"/>
        <v>0</v>
      </c>
      <c r="AH617" s="407">
        <f t="shared" si="612"/>
        <v>0</v>
      </c>
      <c r="AI617" s="407">
        <f t="shared" si="612"/>
        <v>0</v>
      </c>
      <c r="AJ617" s="407">
        <f t="shared" si="612"/>
        <v>177211.89</v>
      </c>
      <c r="AK617" s="407">
        <f t="shared" si="612"/>
        <v>88605.94</v>
      </c>
      <c r="AL617" s="407">
        <f t="shared" si="612"/>
        <v>0</v>
      </c>
      <c r="AM617" s="280"/>
      <c r="AN617" s="280"/>
      <c r="AP617" s="486" t="e">
        <f t="shared" si="568"/>
        <v>#DIV/0!</v>
      </c>
      <c r="AQ617" s="486" t="e">
        <f t="shared" si="571"/>
        <v>#DIV/0!</v>
      </c>
      <c r="AR617" s="497" t="e">
        <f t="shared" si="572"/>
        <v>#DIV/0!</v>
      </c>
      <c r="AS617" s="497" t="e">
        <f t="shared" si="573"/>
        <v>#DIV/0!</v>
      </c>
      <c r="AT617" s="497" t="e">
        <f t="shared" si="574"/>
        <v>#DIV/0!</v>
      </c>
      <c r="AU617" s="497" t="e">
        <f t="shared" si="575"/>
        <v>#DIV/0!</v>
      </c>
      <c r="AV617" s="497" t="e">
        <f t="shared" si="576"/>
        <v>#DIV/0!</v>
      </c>
      <c r="AW617" s="497">
        <f t="shared" si="577"/>
        <v>3088.4699953464183</v>
      </c>
      <c r="AX617" s="497" t="e">
        <f t="shared" si="578"/>
        <v>#DIV/0!</v>
      </c>
      <c r="AY617" s="486" t="e">
        <f t="shared" si="579"/>
        <v>#DIV/0!</v>
      </c>
      <c r="AZ617" s="497" t="e">
        <f t="shared" si="580"/>
        <v>#DIV/0!</v>
      </c>
      <c r="BA617" s="486">
        <f t="shared" si="569"/>
        <v>0</v>
      </c>
      <c r="BB617" s="494">
        <v>5155.41</v>
      </c>
      <c r="BC617" s="494">
        <v>2070.12</v>
      </c>
      <c r="BD617" s="494">
        <v>848.92</v>
      </c>
      <c r="BE617" s="494">
        <v>819.73</v>
      </c>
      <c r="BF617" s="494">
        <v>611.5</v>
      </c>
      <c r="BG617" s="494">
        <v>1080.04</v>
      </c>
      <c r="BH617" s="494">
        <v>2671800.0099999998</v>
      </c>
      <c r="BI617" s="494">
        <f t="shared" si="606"/>
        <v>4422.8500000000004</v>
      </c>
      <c r="BJ617" s="494">
        <v>14289.54</v>
      </c>
      <c r="BK617" s="494">
        <v>3389.61</v>
      </c>
      <c r="BL617" s="494">
        <v>5995.76</v>
      </c>
      <c r="BM617" s="494">
        <v>548.62</v>
      </c>
      <c r="BN617" s="493" t="e">
        <f t="shared" si="581"/>
        <v>#DIV/0!</v>
      </c>
      <c r="BO617" s="493" t="e">
        <f t="shared" si="582"/>
        <v>#DIV/0!</v>
      </c>
      <c r="BP617" s="493" t="e">
        <f t="shared" si="583"/>
        <v>#DIV/0!</v>
      </c>
      <c r="BQ617" s="493" t="e">
        <f t="shared" si="584"/>
        <v>#DIV/0!</v>
      </c>
      <c r="BR617" s="493" t="e">
        <f t="shared" si="585"/>
        <v>#DIV/0!</v>
      </c>
      <c r="BS617" s="493" t="e">
        <f t="shared" si="586"/>
        <v>#DIV/0!</v>
      </c>
      <c r="BT617" s="493" t="e">
        <f t="shared" si="587"/>
        <v>#DIV/0!</v>
      </c>
      <c r="BU617" s="493" t="str">
        <f t="shared" si="588"/>
        <v xml:space="preserve"> </v>
      </c>
      <c r="BV617" s="493" t="e">
        <f t="shared" si="589"/>
        <v>#DIV/0!</v>
      </c>
      <c r="BW617" s="493" t="e">
        <f t="shared" si="590"/>
        <v>#DIV/0!</v>
      </c>
      <c r="BX617" s="493" t="e">
        <f t="shared" si="591"/>
        <v>#DIV/0!</v>
      </c>
      <c r="BY617" s="493" t="str">
        <f t="shared" si="592"/>
        <v xml:space="preserve"> </v>
      </c>
    </row>
    <row r="618" spans="1:77" s="28" customFormat="1" ht="12.75" customHeight="1">
      <c r="A618" s="837" t="s">
        <v>425</v>
      </c>
      <c r="B618" s="838"/>
      <c r="C618" s="838"/>
      <c r="D618" s="838"/>
      <c r="E618" s="838"/>
      <c r="F618" s="838"/>
      <c r="G618" s="838"/>
      <c r="H618" s="838"/>
      <c r="I618" s="838"/>
      <c r="J618" s="838"/>
      <c r="K618" s="838"/>
      <c r="L618" s="838"/>
      <c r="M618" s="838"/>
      <c r="N618" s="838"/>
      <c r="O618" s="838"/>
      <c r="P618" s="838"/>
      <c r="Q618" s="838"/>
      <c r="R618" s="838"/>
      <c r="S618" s="838"/>
      <c r="T618" s="838"/>
      <c r="U618" s="838"/>
      <c r="V618" s="838"/>
      <c r="W618" s="838"/>
      <c r="X618" s="838"/>
      <c r="Y618" s="838"/>
      <c r="Z618" s="838"/>
      <c r="AA618" s="838"/>
      <c r="AB618" s="838"/>
      <c r="AC618" s="838"/>
      <c r="AD618" s="838"/>
      <c r="AE618" s="838"/>
      <c r="AF618" s="838"/>
      <c r="AG618" s="838"/>
      <c r="AH618" s="838"/>
      <c r="AI618" s="838"/>
      <c r="AJ618" s="838"/>
      <c r="AK618" s="838"/>
      <c r="AL618" s="839"/>
      <c r="AM618" s="280"/>
      <c r="AN618" s="280"/>
      <c r="AP618" s="486" t="e">
        <f t="shared" si="568"/>
        <v>#DIV/0!</v>
      </c>
      <c r="AQ618" s="486" t="e">
        <f t="shared" si="571"/>
        <v>#DIV/0!</v>
      </c>
      <c r="AR618" s="497" t="e">
        <f t="shared" si="572"/>
        <v>#DIV/0!</v>
      </c>
      <c r="AS618" s="497" t="e">
        <f t="shared" si="573"/>
        <v>#DIV/0!</v>
      </c>
      <c r="AT618" s="497" t="e">
        <f t="shared" si="574"/>
        <v>#DIV/0!</v>
      </c>
      <c r="AU618" s="497" t="e">
        <f t="shared" si="575"/>
        <v>#DIV/0!</v>
      </c>
      <c r="AV618" s="497" t="e">
        <f t="shared" si="576"/>
        <v>#DIV/0!</v>
      </c>
      <c r="AW618" s="497" t="e">
        <f t="shared" si="577"/>
        <v>#DIV/0!</v>
      </c>
      <c r="AX618" s="497" t="e">
        <f t="shared" si="578"/>
        <v>#DIV/0!</v>
      </c>
      <c r="AY618" s="486" t="e">
        <f t="shared" si="579"/>
        <v>#DIV/0!</v>
      </c>
      <c r="AZ618" s="497" t="e">
        <f t="shared" si="580"/>
        <v>#DIV/0!</v>
      </c>
      <c r="BA618" s="486" t="e">
        <f t="shared" si="569"/>
        <v>#DIV/0!</v>
      </c>
      <c r="BB618" s="494">
        <v>5155.41</v>
      </c>
      <c r="BC618" s="494">
        <v>2070.12</v>
      </c>
      <c r="BD618" s="494">
        <v>848.92</v>
      </c>
      <c r="BE618" s="494">
        <v>819.73</v>
      </c>
      <c r="BF618" s="494">
        <v>611.5</v>
      </c>
      <c r="BG618" s="494">
        <v>1080.04</v>
      </c>
      <c r="BH618" s="494">
        <v>2671800.0099999998</v>
      </c>
      <c r="BI618" s="494">
        <f t="shared" si="606"/>
        <v>4422.8500000000004</v>
      </c>
      <c r="BJ618" s="494">
        <v>14289.54</v>
      </c>
      <c r="BK618" s="494">
        <v>3389.61</v>
      </c>
      <c r="BL618" s="494">
        <v>5995.76</v>
      </c>
      <c r="BM618" s="494">
        <v>548.62</v>
      </c>
      <c r="BN618" s="493" t="e">
        <f t="shared" si="581"/>
        <v>#DIV/0!</v>
      </c>
      <c r="BO618" s="493" t="e">
        <f t="shared" si="582"/>
        <v>#DIV/0!</v>
      </c>
      <c r="BP618" s="493" t="e">
        <f t="shared" si="583"/>
        <v>#DIV/0!</v>
      </c>
      <c r="BQ618" s="493" t="e">
        <f t="shared" si="584"/>
        <v>#DIV/0!</v>
      </c>
      <c r="BR618" s="493" t="e">
        <f t="shared" si="585"/>
        <v>#DIV/0!</v>
      </c>
      <c r="BS618" s="493" t="e">
        <f t="shared" si="586"/>
        <v>#DIV/0!</v>
      </c>
      <c r="BT618" s="493" t="e">
        <f t="shared" si="587"/>
        <v>#DIV/0!</v>
      </c>
      <c r="BU618" s="493" t="e">
        <f t="shared" si="588"/>
        <v>#DIV/0!</v>
      </c>
      <c r="BV618" s="493" t="e">
        <f t="shared" si="589"/>
        <v>#DIV/0!</v>
      </c>
      <c r="BW618" s="493" t="e">
        <f t="shared" si="590"/>
        <v>#DIV/0!</v>
      </c>
      <c r="BX618" s="493" t="e">
        <f t="shared" si="591"/>
        <v>#DIV/0!</v>
      </c>
      <c r="BY618" s="493" t="e">
        <f t="shared" si="592"/>
        <v>#DIV/0!</v>
      </c>
    </row>
    <row r="619" spans="1:77" s="28" customFormat="1" ht="9" customHeight="1">
      <c r="A619" s="278">
        <v>215</v>
      </c>
      <c r="B619" s="156" t="s">
        <v>924</v>
      </c>
      <c r="C619" s="249">
        <v>567.1</v>
      </c>
      <c r="D619" s="376"/>
      <c r="E619" s="362" t="s">
        <v>1006</v>
      </c>
      <c r="F619" s="249"/>
      <c r="G619" s="249"/>
      <c r="H619" s="407">
        <v>2003463</v>
      </c>
      <c r="I619" s="407">
        <f t="shared" ref="I619" si="613">J619+L619+N619+P619+R619+T619</f>
        <v>0</v>
      </c>
      <c r="J619" s="217">
        <v>0</v>
      </c>
      <c r="K619" s="469">
        <v>0</v>
      </c>
      <c r="L619" s="217">
        <v>0</v>
      </c>
      <c r="M619" s="469">
        <v>0</v>
      </c>
      <c r="N619" s="217">
        <v>0</v>
      </c>
      <c r="O619" s="249">
        <v>0</v>
      </c>
      <c r="P619" s="407">
        <v>0</v>
      </c>
      <c r="Q619" s="249">
        <v>0</v>
      </c>
      <c r="R619" s="407">
        <v>0</v>
      </c>
      <c r="S619" s="249">
        <v>0</v>
      </c>
      <c r="T619" s="407">
        <v>0</v>
      </c>
      <c r="U619" s="130">
        <v>0</v>
      </c>
      <c r="V619" s="407">
        <v>0</v>
      </c>
      <c r="W619" s="410">
        <v>619.5</v>
      </c>
      <c r="X619" s="407">
        <f>ROUND(H619/100*95.5-0.01,2)</f>
        <v>1913307.16</v>
      </c>
      <c r="Y619" s="410">
        <v>0</v>
      </c>
      <c r="Z619" s="410">
        <v>0</v>
      </c>
      <c r="AA619" s="410">
        <v>0</v>
      </c>
      <c r="AB619" s="410">
        <v>0</v>
      </c>
      <c r="AC619" s="410">
        <v>0</v>
      </c>
      <c r="AD619" s="410">
        <v>0</v>
      </c>
      <c r="AE619" s="410">
        <v>0</v>
      </c>
      <c r="AF619" s="410">
        <v>0</v>
      </c>
      <c r="AG619" s="410">
        <v>0</v>
      </c>
      <c r="AH619" s="410">
        <v>0</v>
      </c>
      <c r="AI619" s="410">
        <v>0</v>
      </c>
      <c r="AJ619" s="410">
        <f t="shared" ref="AJ619" si="614">ROUND(H619/100*3,2)</f>
        <v>60103.89</v>
      </c>
      <c r="AK619" s="410">
        <f t="shared" ref="AK619" si="615">ROUND(H619/100*1.5,2)</f>
        <v>30051.95</v>
      </c>
      <c r="AL619" s="410">
        <v>0</v>
      </c>
      <c r="AM619" s="446"/>
      <c r="AN619" s="446"/>
      <c r="AP619" s="486" t="e">
        <f t="shared" si="568"/>
        <v>#DIV/0!</v>
      </c>
      <c r="AQ619" s="486" t="e">
        <f t="shared" si="571"/>
        <v>#DIV/0!</v>
      </c>
      <c r="AR619" s="486" t="e">
        <f t="shared" si="572"/>
        <v>#DIV/0!</v>
      </c>
      <c r="AS619" s="486" t="e">
        <f t="shared" si="573"/>
        <v>#DIV/0!</v>
      </c>
      <c r="AT619" s="486" t="e">
        <f t="shared" si="574"/>
        <v>#DIV/0!</v>
      </c>
      <c r="AU619" s="486" t="e">
        <f t="shared" si="575"/>
        <v>#DIV/0!</v>
      </c>
      <c r="AV619" s="486" t="e">
        <f t="shared" si="576"/>
        <v>#DIV/0!</v>
      </c>
      <c r="AW619" s="486">
        <f t="shared" si="577"/>
        <v>3088.4699919289747</v>
      </c>
      <c r="AX619" s="486" t="e">
        <f t="shared" si="578"/>
        <v>#DIV/0!</v>
      </c>
      <c r="AY619" s="486" t="e">
        <f t="shared" si="579"/>
        <v>#DIV/0!</v>
      </c>
      <c r="AZ619" s="486" t="e">
        <f t="shared" si="580"/>
        <v>#DIV/0!</v>
      </c>
      <c r="BA619" s="486">
        <f t="shared" si="569"/>
        <v>0</v>
      </c>
      <c r="BB619" s="494">
        <v>5155.41</v>
      </c>
      <c r="BC619" s="494">
        <v>2070.12</v>
      </c>
      <c r="BD619" s="494">
        <v>848.92</v>
      </c>
      <c r="BE619" s="494">
        <v>819.73</v>
      </c>
      <c r="BF619" s="494">
        <v>611.5</v>
      </c>
      <c r="BG619" s="494">
        <v>1080.04</v>
      </c>
      <c r="BH619" s="494">
        <v>2671800.0099999998</v>
      </c>
      <c r="BI619" s="494">
        <f t="shared" si="606"/>
        <v>4422.8500000000004</v>
      </c>
      <c r="BJ619" s="494">
        <v>14289.54</v>
      </c>
      <c r="BK619" s="494">
        <v>3389.61</v>
      </c>
      <c r="BL619" s="494">
        <v>5995.76</v>
      </c>
      <c r="BM619" s="494">
        <v>548.62</v>
      </c>
      <c r="BN619" s="495" t="e">
        <f t="shared" si="581"/>
        <v>#DIV/0!</v>
      </c>
      <c r="BO619" s="495" t="e">
        <f t="shared" si="582"/>
        <v>#DIV/0!</v>
      </c>
      <c r="BP619" s="495" t="e">
        <f t="shared" si="583"/>
        <v>#DIV/0!</v>
      </c>
      <c r="BQ619" s="495" t="e">
        <f t="shared" si="584"/>
        <v>#DIV/0!</v>
      </c>
      <c r="BR619" s="495" t="e">
        <f t="shared" si="585"/>
        <v>#DIV/0!</v>
      </c>
      <c r="BS619" s="495" t="e">
        <f t="shared" si="586"/>
        <v>#DIV/0!</v>
      </c>
      <c r="BT619" s="495" t="e">
        <f t="shared" si="587"/>
        <v>#DIV/0!</v>
      </c>
      <c r="BU619" s="495" t="str">
        <f t="shared" si="588"/>
        <v xml:space="preserve"> </v>
      </c>
      <c r="BV619" s="495" t="e">
        <f t="shared" si="589"/>
        <v>#DIV/0!</v>
      </c>
      <c r="BW619" s="495" t="e">
        <f t="shared" si="590"/>
        <v>#DIV/0!</v>
      </c>
      <c r="BX619" s="495" t="e">
        <f t="shared" si="591"/>
        <v>#DIV/0!</v>
      </c>
      <c r="BY619" s="495" t="str">
        <f t="shared" si="592"/>
        <v xml:space="preserve"> </v>
      </c>
    </row>
    <row r="620" spans="1:77" s="28" customFormat="1" ht="22.5" customHeight="1">
      <c r="A620" s="954" t="s">
        <v>424</v>
      </c>
      <c r="B620" s="954"/>
      <c r="C620" s="407">
        <f>SUM(C619)</f>
        <v>567.1</v>
      </c>
      <c r="D620" s="396"/>
      <c r="E620" s="362" t="s">
        <v>391</v>
      </c>
      <c r="F620" s="374"/>
      <c r="G620" s="374"/>
      <c r="H620" s="407">
        <f>SUM(H619)</f>
        <v>2003463</v>
      </c>
      <c r="I620" s="407">
        <f t="shared" ref="I620:AL620" si="616">SUM(I619)</f>
        <v>0</v>
      </c>
      <c r="J620" s="407">
        <f t="shared" si="616"/>
        <v>0</v>
      </c>
      <c r="K620" s="407">
        <f t="shared" si="616"/>
        <v>0</v>
      </c>
      <c r="L620" s="407">
        <f t="shared" si="616"/>
        <v>0</v>
      </c>
      <c r="M620" s="407">
        <f t="shared" si="616"/>
        <v>0</v>
      </c>
      <c r="N620" s="407">
        <f t="shared" si="616"/>
        <v>0</v>
      </c>
      <c r="O620" s="407">
        <f t="shared" si="616"/>
        <v>0</v>
      </c>
      <c r="P620" s="407">
        <f t="shared" si="616"/>
        <v>0</v>
      </c>
      <c r="Q620" s="407">
        <f t="shared" si="616"/>
        <v>0</v>
      </c>
      <c r="R620" s="407">
        <f t="shared" si="616"/>
        <v>0</v>
      </c>
      <c r="S620" s="407">
        <f t="shared" si="616"/>
        <v>0</v>
      </c>
      <c r="T620" s="407">
        <f t="shared" si="616"/>
        <v>0</v>
      </c>
      <c r="U620" s="130">
        <f t="shared" si="616"/>
        <v>0</v>
      </c>
      <c r="V620" s="407">
        <f t="shared" si="616"/>
        <v>0</v>
      </c>
      <c r="W620" s="407">
        <f t="shared" si="616"/>
        <v>619.5</v>
      </c>
      <c r="X620" s="407">
        <f t="shared" si="616"/>
        <v>1913307.16</v>
      </c>
      <c r="Y620" s="407">
        <f t="shared" si="616"/>
        <v>0</v>
      </c>
      <c r="Z620" s="407">
        <f t="shared" si="616"/>
        <v>0</v>
      </c>
      <c r="AA620" s="407">
        <f t="shared" si="616"/>
        <v>0</v>
      </c>
      <c r="AB620" s="407">
        <f t="shared" si="616"/>
        <v>0</v>
      </c>
      <c r="AC620" s="407">
        <f t="shared" si="616"/>
        <v>0</v>
      </c>
      <c r="AD620" s="407">
        <f t="shared" si="616"/>
        <v>0</v>
      </c>
      <c r="AE620" s="407">
        <f t="shared" si="616"/>
        <v>0</v>
      </c>
      <c r="AF620" s="407">
        <f t="shared" si="616"/>
        <v>0</v>
      </c>
      <c r="AG620" s="407">
        <f t="shared" si="616"/>
        <v>0</v>
      </c>
      <c r="AH620" s="407">
        <f t="shared" si="616"/>
        <v>0</v>
      </c>
      <c r="AI620" s="407">
        <f t="shared" si="616"/>
        <v>0</v>
      </c>
      <c r="AJ620" s="407">
        <f t="shared" si="616"/>
        <v>60103.89</v>
      </c>
      <c r="AK620" s="407">
        <f t="shared" si="616"/>
        <v>30051.95</v>
      </c>
      <c r="AL620" s="407">
        <f t="shared" si="616"/>
        <v>0</v>
      </c>
      <c r="AM620" s="280"/>
      <c r="AN620" s="280"/>
      <c r="AP620" s="486" t="e">
        <f t="shared" si="568"/>
        <v>#DIV/0!</v>
      </c>
      <c r="AQ620" s="486" t="e">
        <f t="shared" si="571"/>
        <v>#DIV/0!</v>
      </c>
      <c r="AR620" s="497" t="e">
        <f t="shared" si="572"/>
        <v>#DIV/0!</v>
      </c>
      <c r="AS620" s="497" t="e">
        <f t="shared" si="573"/>
        <v>#DIV/0!</v>
      </c>
      <c r="AT620" s="497" t="e">
        <f t="shared" si="574"/>
        <v>#DIV/0!</v>
      </c>
      <c r="AU620" s="497" t="e">
        <f t="shared" si="575"/>
        <v>#DIV/0!</v>
      </c>
      <c r="AV620" s="497" t="e">
        <f t="shared" si="576"/>
        <v>#DIV/0!</v>
      </c>
      <c r="AW620" s="497">
        <f t="shared" si="577"/>
        <v>3088.4699919289747</v>
      </c>
      <c r="AX620" s="497" t="e">
        <f t="shared" si="578"/>
        <v>#DIV/0!</v>
      </c>
      <c r="AY620" s="486" t="e">
        <f t="shared" si="579"/>
        <v>#DIV/0!</v>
      </c>
      <c r="AZ620" s="497" t="e">
        <f t="shared" si="580"/>
        <v>#DIV/0!</v>
      </c>
      <c r="BA620" s="486">
        <f t="shared" si="569"/>
        <v>0</v>
      </c>
      <c r="BB620" s="494">
        <v>5155.41</v>
      </c>
      <c r="BC620" s="494">
        <v>2070.12</v>
      </c>
      <c r="BD620" s="494">
        <v>848.92</v>
      </c>
      <c r="BE620" s="494">
        <v>819.73</v>
      </c>
      <c r="BF620" s="494">
        <v>611.5</v>
      </c>
      <c r="BG620" s="494">
        <v>1080.04</v>
      </c>
      <c r="BH620" s="494">
        <v>2671800.0099999998</v>
      </c>
      <c r="BI620" s="494">
        <f t="shared" si="606"/>
        <v>4422.8500000000004</v>
      </c>
      <c r="BJ620" s="494">
        <v>14289.54</v>
      </c>
      <c r="BK620" s="494">
        <v>3389.61</v>
      </c>
      <c r="BL620" s="494">
        <v>5995.76</v>
      </c>
      <c r="BM620" s="494">
        <v>548.62</v>
      </c>
      <c r="BN620" s="493" t="e">
        <f t="shared" si="581"/>
        <v>#DIV/0!</v>
      </c>
      <c r="BO620" s="493" t="e">
        <f t="shared" si="582"/>
        <v>#DIV/0!</v>
      </c>
      <c r="BP620" s="493" t="e">
        <f t="shared" si="583"/>
        <v>#DIV/0!</v>
      </c>
      <c r="BQ620" s="493" t="e">
        <f t="shared" si="584"/>
        <v>#DIV/0!</v>
      </c>
      <c r="BR620" s="493" t="e">
        <f t="shared" si="585"/>
        <v>#DIV/0!</v>
      </c>
      <c r="BS620" s="493" t="e">
        <f t="shared" si="586"/>
        <v>#DIV/0!</v>
      </c>
      <c r="BT620" s="493" t="e">
        <f t="shared" si="587"/>
        <v>#DIV/0!</v>
      </c>
      <c r="BU620" s="493" t="str">
        <f t="shared" si="588"/>
        <v xml:space="preserve"> </v>
      </c>
      <c r="BV620" s="493" t="e">
        <f t="shared" si="589"/>
        <v>#DIV/0!</v>
      </c>
      <c r="BW620" s="493" t="e">
        <f t="shared" si="590"/>
        <v>#DIV/0!</v>
      </c>
      <c r="BX620" s="493" t="e">
        <f t="shared" si="591"/>
        <v>#DIV/0!</v>
      </c>
      <c r="BY620" s="493" t="str">
        <f t="shared" si="592"/>
        <v xml:space="preserve"> </v>
      </c>
    </row>
    <row r="621" spans="1:77" s="28" customFormat="1" ht="12" customHeight="1">
      <c r="A621" s="837" t="s">
        <v>352</v>
      </c>
      <c r="B621" s="838"/>
      <c r="C621" s="838"/>
      <c r="D621" s="838"/>
      <c r="E621" s="838"/>
      <c r="F621" s="838"/>
      <c r="G621" s="838"/>
      <c r="H621" s="838"/>
      <c r="I621" s="838"/>
      <c r="J621" s="838"/>
      <c r="K621" s="838"/>
      <c r="L621" s="838"/>
      <c r="M621" s="838"/>
      <c r="N621" s="838"/>
      <c r="O621" s="838"/>
      <c r="P621" s="838"/>
      <c r="Q621" s="838"/>
      <c r="R621" s="838"/>
      <c r="S621" s="838"/>
      <c r="T621" s="838"/>
      <c r="U621" s="838"/>
      <c r="V621" s="838"/>
      <c r="W621" s="838"/>
      <c r="X621" s="838"/>
      <c r="Y621" s="838"/>
      <c r="Z621" s="838"/>
      <c r="AA621" s="838"/>
      <c r="AB621" s="838"/>
      <c r="AC621" s="838"/>
      <c r="AD621" s="838"/>
      <c r="AE621" s="838"/>
      <c r="AF621" s="838"/>
      <c r="AG621" s="838"/>
      <c r="AH621" s="838"/>
      <c r="AI621" s="838"/>
      <c r="AJ621" s="838"/>
      <c r="AK621" s="838"/>
      <c r="AL621" s="839"/>
      <c r="AM621" s="280"/>
      <c r="AN621" s="280"/>
      <c r="AP621" s="486" t="e">
        <f t="shared" si="568"/>
        <v>#DIV/0!</v>
      </c>
      <c r="AQ621" s="486" t="e">
        <f t="shared" si="571"/>
        <v>#DIV/0!</v>
      </c>
      <c r="AR621" s="497" t="e">
        <f t="shared" si="572"/>
        <v>#DIV/0!</v>
      </c>
      <c r="AS621" s="497" t="e">
        <f t="shared" si="573"/>
        <v>#DIV/0!</v>
      </c>
      <c r="AT621" s="497" t="e">
        <f t="shared" si="574"/>
        <v>#DIV/0!</v>
      </c>
      <c r="AU621" s="497" t="e">
        <f t="shared" si="575"/>
        <v>#DIV/0!</v>
      </c>
      <c r="AV621" s="497" t="e">
        <f t="shared" si="576"/>
        <v>#DIV/0!</v>
      </c>
      <c r="AW621" s="497" t="e">
        <f t="shared" si="577"/>
        <v>#DIV/0!</v>
      </c>
      <c r="AX621" s="497" t="e">
        <f t="shared" si="578"/>
        <v>#DIV/0!</v>
      </c>
      <c r="AY621" s="486" t="e">
        <f t="shared" si="579"/>
        <v>#DIV/0!</v>
      </c>
      <c r="AZ621" s="497" t="e">
        <f t="shared" si="580"/>
        <v>#DIV/0!</v>
      </c>
      <c r="BA621" s="486" t="e">
        <f t="shared" si="569"/>
        <v>#DIV/0!</v>
      </c>
      <c r="BB621" s="494">
        <v>5155.41</v>
      </c>
      <c r="BC621" s="494">
        <v>2070.12</v>
      </c>
      <c r="BD621" s="494">
        <v>848.92</v>
      </c>
      <c r="BE621" s="494">
        <v>819.73</v>
      </c>
      <c r="BF621" s="494">
        <v>611.5</v>
      </c>
      <c r="BG621" s="494">
        <v>1080.04</v>
      </c>
      <c r="BH621" s="494">
        <v>2671800.0099999998</v>
      </c>
      <c r="BI621" s="494">
        <f t="shared" si="606"/>
        <v>4422.8500000000004</v>
      </c>
      <c r="BJ621" s="494">
        <v>14289.54</v>
      </c>
      <c r="BK621" s="494">
        <v>3389.61</v>
      </c>
      <c r="BL621" s="494">
        <v>5995.76</v>
      </c>
      <c r="BM621" s="494">
        <v>548.62</v>
      </c>
      <c r="BN621" s="493" t="e">
        <f t="shared" si="581"/>
        <v>#DIV/0!</v>
      </c>
      <c r="BO621" s="493" t="e">
        <f t="shared" si="582"/>
        <v>#DIV/0!</v>
      </c>
      <c r="BP621" s="493" t="e">
        <f t="shared" si="583"/>
        <v>#DIV/0!</v>
      </c>
      <c r="BQ621" s="493" t="e">
        <f t="shared" si="584"/>
        <v>#DIV/0!</v>
      </c>
      <c r="BR621" s="493" t="e">
        <f t="shared" si="585"/>
        <v>#DIV/0!</v>
      </c>
      <c r="BS621" s="493" t="e">
        <f t="shared" si="586"/>
        <v>#DIV/0!</v>
      </c>
      <c r="BT621" s="493" t="e">
        <f t="shared" si="587"/>
        <v>#DIV/0!</v>
      </c>
      <c r="BU621" s="493" t="e">
        <f t="shared" si="588"/>
        <v>#DIV/0!</v>
      </c>
      <c r="BV621" s="493" t="e">
        <f t="shared" si="589"/>
        <v>#DIV/0!</v>
      </c>
      <c r="BW621" s="493" t="e">
        <f t="shared" si="590"/>
        <v>#DIV/0!</v>
      </c>
      <c r="BX621" s="493" t="e">
        <f t="shared" si="591"/>
        <v>#DIV/0!</v>
      </c>
      <c r="BY621" s="493" t="e">
        <f t="shared" si="592"/>
        <v>#DIV/0!</v>
      </c>
    </row>
    <row r="622" spans="1:77" s="28" customFormat="1" ht="9" customHeight="1">
      <c r="A622" s="278">
        <v>216</v>
      </c>
      <c r="B622" s="276" t="s">
        <v>926</v>
      </c>
      <c r="C622" s="249">
        <v>265.62</v>
      </c>
      <c r="D622" s="376"/>
      <c r="E622" s="362" t="s">
        <v>1006</v>
      </c>
      <c r="F622" s="249"/>
      <c r="G622" s="249"/>
      <c r="H622" s="407">
        <v>908754</v>
      </c>
      <c r="I622" s="407">
        <f t="shared" ref="I622:I623" si="617">J622+L622+N622+P622+R622+T622</f>
        <v>0</v>
      </c>
      <c r="J622" s="217">
        <v>0</v>
      </c>
      <c r="K622" s="469">
        <v>0</v>
      </c>
      <c r="L622" s="217">
        <v>0</v>
      </c>
      <c r="M622" s="469">
        <v>0</v>
      </c>
      <c r="N622" s="217">
        <v>0</v>
      </c>
      <c r="O622" s="249">
        <v>0</v>
      </c>
      <c r="P622" s="407">
        <v>0</v>
      </c>
      <c r="Q622" s="249">
        <v>0</v>
      </c>
      <c r="R622" s="407">
        <v>0</v>
      </c>
      <c r="S622" s="249">
        <v>0</v>
      </c>
      <c r="T622" s="407">
        <v>0</v>
      </c>
      <c r="U622" s="130">
        <v>0</v>
      </c>
      <c r="V622" s="407">
        <v>0</v>
      </c>
      <c r="W622" s="410">
        <v>281</v>
      </c>
      <c r="X622" s="407">
        <f t="shared" ref="X622:X623" si="618">ROUND(H622/100*95.5,2)</f>
        <v>867860.07</v>
      </c>
      <c r="Y622" s="410">
        <v>0</v>
      </c>
      <c r="Z622" s="410">
        <v>0</v>
      </c>
      <c r="AA622" s="410">
        <v>0</v>
      </c>
      <c r="AB622" s="410">
        <v>0</v>
      </c>
      <c r="AC622" s="410">
        <v>0</v>
      </c>
      <c r="AD622" s="410">
        <v>0</v>
      </c>
      <c r="AE622" s="410">
        <v>0</v>
      </c>
      <c r="AF622" s="410">
        <v>0</v>
      </c>
      <c r="AG622" s="410">
        <v>0</v>
      </c>
      <c r="AH622" s="410">
        <v>0</v>
      </c>
      <c r="AI622" s="410">
        <v>0</v>
      </c>
      <c r="AJ622" s="410">
        <f t="shared" ref="AJ622:AJ623" si="619">ROUND(H622/100*3,2)</f>
        <v>27262.62</v>
      </c>
      <c r="AK622" s="410">
        <f t="shared" ref="AK622:AK623" si="620">ROUND(H622/100*1.5,2)</f>
        <v>13631.31</v>
      </c>
      <c r="AL622" s="410">
        <v>0</v>
      </c>
      <c r="AM622" s="446"/>
      <c r="AN622" s="446"/>
      <c r="AP622" s="486" t="e">
        <f t="shared" si="568"/>
        <v>#DIV/0!</v>
      </c>
      <c r="AQ622" s="486" t="e">
        <f t="shared" si="571"/>
        <v>#DIV/0!</v>
      </c>
      <c r="AR622" s="486" t="e">
        <f t="shared" si="572"/>
        <v>#DIV/0!</v>
      </c>
      <c r="AS622" s="486" t="e">
        <f t="shared" si="573"/>
        <v>#DIV/0!</v>
      </c>
      <c r="AT622" s="486" t="e">
        <f t="shared" si="574"/>
        <v>#DIV/0!</v>
      </c>
      <c r="AU622" s="486" t="e">
        <f t="shared" si="575"/>
        <v>#DIV/0!</v>
      </c>
      <c r="AV622" s="486" t="e">
        <f t="shared" si="576"/>
        <v>#DIV/0!</v>
      </c>
      <c r="AW622" s="486">
        <f t="shared" si="577"/>
        <v>3088.47</v>
      </c>
      <c r="AX622" s="486" t="e">
        <f t="shared" si="578"/>
        <v>#DIV/0!</v>
      </c>
      <c r="AY622" s="486" t="e">
        <f t="shared" si="579"/>
        <v>#DIV/0!</v>
      </c>
      <c r="AZ622" s="486" t="e">
        <f t="shared" si="580"/>
        <v>#DIV/0!</v>
      </c>
      <c r="BA622" s="486">
        <f t="shared" si="569"/>
        <v>0</v>
      </c>
      <c r="BB622" s="494">
        <v>5155.41</v>
      </c>
      <c r="BC622" s="494">
        <v>2070.12</v>
      </c>
      <c r="BD622" s="494">
        <v>848.92</v>
      </c>
      <c r="BE622" s="494">
        <v>819.73</v>
      </c>
      <c r="BF622" s="494">
        <v>611.5</v>
      </c>
      <c r="BG622" s="494">
        <v>1080.04</v>
      </c>
      <c r="BH622" s="494">
        <v>2671800.0099999998</v>
      </c>
      <c r="BI622" s="494">
        <f t="shared" si="606"/>
        <v>4422.8500000000004</v>
      </c>
      <c r="BJ622" s="494">
        <v>14289.54</v>
      </c>
      <c r="BK622" s="494">
        <v>3389.61</v>
      </c>
      <c r="BL622" s="494">
        <v>5995.76</v>
      </c>
      <c r="BM622" s="494">
        <v>548.62</v>
      </c>
      <c r="BN622" s="495" t="e">
        <f t="shared" si="581"/>
        <v>#DIV/0!</v>
      </c>
      <c r="BO622" s="495" t="e">
        <f t="shared" si="582"/>
        <v>#DIV/0!</v>
      </c>
      <c r="BP622" s="495" t="e">
        <f t="shared" si="583"/>
        <v>#DIV/0!</v>
      </c>
      <c r="BQ622" s="495" t="e">
        <f t="shared" si="584"/>
        <v>#DIV/0!</v>
      </c>
      <c r="BR622" s="495" t="e">
        <f t="shared" si="585"/>
        <v>#DIV/0!</v>
      </c>
      <c r="BS622" s="495" t="e">
        <f t="shared" si="586"/>
        <v>#DIV/0!</v>
      </c>
      <c r="BT622" s="495" t="e">
        <f t="shared" si="587"/>
        <v>#DIV/0!</v>
      </c>
      <c r="BU622" s="495" t="str">
        <f t="shared" si="588"/>
        <v xml:space="preserve"> </v>
      </c>
      <c r="BV622" s="495" t="e">
        <f t="shared" si="589"/>
        <v>#DIV/0!</v>
      </c>
      <c r="BW622" s="495" t="e">
        <f t="shared" si="590"/>
        <v>#DIV/0!</v>
      </c>
      <c r="BX622" s="495" t="e">
        <f t="shared" si="591"/>
        <v>#DIV/0!</v>
      </c>
      <c r="BY622" s="495" t="str">
        <f t="shared" si="592"/>
        <v xml:space="preserve"> </v>
      </c>
    </row>
    <row r="623" spans="1:77" s="28" customFormat="1" ht="9" customHeight="1">
      <c r="A623" s="278">
        <v>217</v>
      </c>
      <c r="B623" s="276" t="s">
        <v>927</v>
      </c>
      <c r="C623" s="249">
        <v>641.38</v>
      </c>
      <c r="D623" s="376"/>
      <c r="E623" s="362" t="s">
        <v>1006</v>
      </c>
      <c r="F623" s="249"/>
      <c r="G623" s="249"/>
      <c r="H623" s="407">
        <v>1817508</v>
      </c>
      <c r="I623" s="407">
        <f t="shared" si="617"/>
        <v>0</v>
      </c>
      <c r="J623" s="217">
        <v>0</v>
      </c>
      <c r="K623" s="469">
        <v>0</v>
      </c>
      <c r="L623" s="217">
        <v>0</v>
      </c>
      <c r="M623" s="469">
        <v>0</v>
      </c>
      <c r="N623" s="217">
        <v>0</v>
      </c>
      <c r="O623" s="249">
        <v>0</v>
      </c>
      <c r="P623" s="407">
        <v>0</v>
      </c>
      <c r="Q623" s="249">
        <v>0</v>
      </c>
      <c r="R623" s="407">
        <v>0</v>
      </c>
      <c r="S623" s="249">
        <v>0</v>
      </c>
      <c r="T623" s="407">
        <v>0</v>
      </c>
      <c r="U623" s="130">
        <v>0</v>
      </c>
      <c r="V623" s="407">
        <v>0</v>
      </c>
      <c r="W623" s="410">
        <v>562</v>
      </c>
      <c r="X623" s="407">
        <f t="shared" si="618"/>
        <v>1735720.14</v>
      </c>
      <c r="Y623" s="410">
        <v>0</v>
      </c>
      <c r="Z623" s="410">
        <v>0</v>
      </c>
      <c r="AA623" s="410">
        <v>0</v>
      </c>
      <c r="AB623" s="410">
        <v>0</v>
      </c>
      <c r="AC623" s="410">
        <v>0</v>
      </c>
      <c r="AD623" s="410">
        <v>0</v>
      </c>
      <c r="AE623" s="410">
        <v>0</v>
      </c>
      <c r="AF623" s="410">
        <v>0</v>
      </c>
      <c r="AG623" s="410">
        <v>0</v>
      </c>
      <c r="AH623" s="410">
        <v>0</v>
      </c>
      <c r="AI623" s="410">
        <v>0</v>
      </c>
      <c r="AJ623" s="410">
        <f t="shared" si="619"/>
        <v>54525.24</v>
      </c>
      <c r="AK623" s="410">
        <f t="shared" si="620"/>
        <v>27262.62</v>
      </c>
      <c r="AL623" s="410">
        <v>0</v>
      </c>
      <c r="AM623" s="446"/>
      <c r="AN623" s="446"/>
      <c r="AP623" s="486" t="e">
        <f t="shared" si="568"/>
        <v>#DIV/0!</v>
      </c>
      <c r="AQ623" s="486" t="e">
        <f t="shared" si="571"/>
        <v>#DIV/0!</v>
      </c>
      <c r="AR623" s="486" t="e">
        <f t="shared" si="572"/>
        <v>#DIV/0!</v>
      </c>
      <c r="AS623" s="486" t="e">
        <f t="shared" si="573"/>
        <v>#DIV/0!</v>
      </c>
      <c r="AT623" s="486" t="e">
        <f t="shared" si="574"/>
        <v>#DIV/0!</v>
      </c>
      <c r="AU623" s="486" t="e">
        <f t="shared" si="575"/>
        <v>#DIV/0!</v>
      </c>
      <c r="AV623" s="486" t="e">
        <f t="shared" si="576"/>
        <v>#DIV/0!</v>
      </c>
      <c r="AW623" s="486">
        <f t="shared" si="577"/>
        <v>3088.47</v>
      </c>
      <c r="AX623" s="486" t="e">
        <f t="shared" si="578"/>
        <v>#DIV/0!</v>
      </c>
      <c r="AY623" s="486" t="e">
        <f t="shared" si="579"/>
        <v>#DIV/0!</v>
      </c>
      <c r="AZ623" s="486" t="e">
        <f t="shared" si="580"/>
        <v>#DIV/0!</v>
      </c>
      <c r="BA623" s="486">
        <f t="shared" si="569"/>
        <v>0</v>
      </c>
      <c r="BB623" s="494">
        <v>5155.41</v>
      </c>
      <c r="BC623" s="494">
        <v>2070.12</v>
      </c>
      <c r="BD623" s="494">
        <v>848.92</v>
      </c>
      <c r="BE623" s="494">
        <v>819.73</v>
      </c>
      <c r="BF623" s="494">
        <v>611.5</v>
      </c>
      <c r="BG623" s="494">
        <v>1080.04</v>
      </c>
      <c r="BH623" s="494">
        <v>2671800.0099999998</v>
      </c>
      <c r="BI623" s="494">
        <f t="shared" si="606"/>
        <v>4422.8500000000004</v>
      </c>
      <c r="BJ623" s="494">
        <v>14289.54</v>
      </c>
      <c r="BK623" s="494">
        <v>3389.61</v>
      </c>
      <c r="BL623" s="494">
        <v>5995.76</v>
      </c>
      <c r="BM623" s="494">
        <v>548.62</v>
      </c>
      <c r="BN623" s="495" t="e">
        <f t="shared" si="581"/>
        <v>#DIV/0!</v>
      </c>
      <c r="BO623" s="495" t="e">
        <f t="shared" si="582"/>
        <v>#DIV/0!</v>
      </c>
      <c r="BP623" s="495" t="e">
        <f t="shared" si="583"/>
        <v>#DIV/0!</v>
      </c>
      <c r="BQ623" s="495" t="e">
        <f t="shared" si="584"/>
        <v>#DIV/0!</v>
      </c>
      <c r="BR623" s="495" t="e">
        <f t="shared" si="585"/>
        <v>#DIV/0!</v>
      </c>
      <c r="BS623" s="495" t="e">
        <f t="shared" si="586"/>
        <v>#DIV/0!</v>
      </c>
      <c r="BT623" s="495" t="e">
        <f t="shared" si="587"/>
        <v>#DIV/0!</v>
      </c>
      <c r="BU623" s="495" t="str">
        <f t="shared" si="588"/>
        <v xml:space="preserve"> </v>
      </c>
      <c r="BV623" s="495" t="e">
        <f t="shared" si="589"/>
        <v>#DIV/0!</v>
      </c>
      <c r="BW623" s="495" t="e">
        <f t="shared" si="590"/>
        <v>#DIV/0!</v>
      </c>
      <c r="BX623" s="495" t="e">
        <f t="shared" si="591"/>
        <v>#DIV/0!</v>
      </c>
      <c r="BY623" s="495" t="str">
        <f t="shared" si="592"/>
        <v xml:space="preserve"> </v>
      </c>
    </row>
    <row r="624" spans="1:77" s="28" customFormat="1" ht="24.75" customHeight="1">
      <c r="A624" s="954" t="s">
        <v>351</v>
      </c>
      <c r="B624" s="954"/>
      <c r="C624" s="407">
        <f>SUM(C622:C623)</f>
        <v>907</v>
      </c>
      <c r="D624" s="396"/>
      <c r="E624" s="362" t="s">
        <v>391</v>
      </c>
      <c r="F624" s="374"/>
      <c r="G624" s="374"/>
      <c r="H624" s="407">
        <f>SUM(H622:H623)</f>
        <v>2726262</v>
      </c>
      <c r="I624" s="407">
        <f t="shared" ref="I624:AL624" si="621">SUM(I622:I623)</f>
        <v>0</v>
      </c>
      <c r="J624" s="407">
        <f t="shared" si="621"/>
        <v>0</v>
      </c>
      <c r="K624" s="407">
        <f t="shared" si="621"/>
        <v>0</v>
      </c>
      <c r="L624" s="407">
        <f t="shared" si="621"/>
        <v>0</v>
      </c>
      <c r="M624" s="407">
        <f t="shared" si="621"/>
        <v>0</v>
      </c>
      <c r="N624" s="407">
        <f t="shared" si="621"/>
        <v>0</v>
      </c>
      <c r="O624" s="407">
        <f t="shared" si="621"/>
        <v>0</v>
      </c>
      <c r="P624" s="407">
        <f t="shared" si="621"/>
        <v>0</v>
      </c>
      <c r="Q624" s="407">
        <f t="shared" si="621"/>
        <v>0</v>
      </c>
      <c r="R624" s="407">
        <f t="shared" si="621"/>
        <v>0</v>
      </c>
      <c r="S624" s="407">
        <f t="shared" si="621"/>
        <v>0</v>
      </c>
      <c r="T624" s="407">
        <f t="shared" si="621"/>
        <v>0</v>
      </c>
      <c r="U624" s="130">
        <f t="shared" si="621"/>
        <v>0</v>
      </c>
      <c r="V624" s="407">
        <f t="shared" si="621"/>
        <v>0</v>
      </c>
      <c r="W624" s="407">
        <f t="shared" si="621"/>
        <v>843</v>
      </c>
      <c r="X624" s="407">
        <f t="shared" si="621"/>
        <v>2603580.21</v>
      </c>
      <c r="Y624" s="407">
        <f t="shared" si="621"/>
        <v>0</v>
      </c>
      <c r="Z624" s="407">
        <f t="shared" si="621"/>
        <v>0</v>
      </c>
      <c r="AA624" s="407">
        <f t="shared" si="621"/>
        <v>0</v>
      </c>
      <c r="AB624" s="407">
        <f t="shared" si="621"/>
        <v>0</v>
      </c>
      <c r="AC624" s="407">
        <f t="shared" si="621"/>
        <v>0</v>
      </c>
      <c r="AD624" s="407">
        <f t="shared" si="621"/>
        <v>0</v>
      </c>
      <c r="AE624" s="407">
        <f t="shared" si="621"/>
        <v>0</v>
      </c>
      <c r="AF624" s="407">
        <f t="shared" si="621"/>
        <v>0</v>
      </c>
      <c r="AG624" s="407">
        <f t="shared" si="621"/>
        <v>0</v>
      </c>
      <c r="AH624" s="407">
        <f t="shared" si="621"/>
        <v>0</v>
      </c>
      <c r="AI624" s="407">
        <f t="shared" si="621"/>
        <v>0</v>
      </c>
      <c r="AJ624" s="407">
        <f t="shared" si="621"/>
        <v>81787.86</v>
      </c>
      <c r="AK624" s="407">
        <f t="shared" si="621"/>
        <v>40893.93</v>
      </c>
      <c r="AL624" s="407">
        <f t="shared" si="621"/>
        <v>0</v>
      </c>
      <c r="AM624" s="280"/>
      <c r="AN624" s="280"/>
      <c r="AP624" s="486" t="e">
        <f t="shared" si="568"/>
        <v>#DIV/0!</v>
      </c>
      <c r="AQ624" s="486" t="e">
        <f t="shared" si="571"/>
        <v>#DIV/0!</v>
      </c>
      <c r="AR624" s="497" t="e">
        <f t="shared" si="572"/>
        <v>#DIV/0!</v>
      </c>
      <c r="AS624" s="497" t="e">
        <f t="shared" si="573"/>
        <v>#DIV/0!</v>
      </c>
      <c r="AT624" s="497" t="e">
        <f t="shared" si="574"/>
        <v>#DIV/0!</v>
      </c>
      <c r="AU624" s="497" t="e">
        <f t="shared" si="575"/>
        <v>#DIV/0!</v>
      </c>
      <c r="AV624" s="497" t="e">
        <f t="shared" si="576"/>
        <v>#DIV/0!</v>
      </c>
      <c r="AW624" s="497">
        <f t="shared" si="577"/>
        <v>3088.47</v>
      </c>
      <c r="AX624" s="497" t="e">
        <f t="shared" si="578"/>
        <v>#DIV/0!</v>
      </c>
      <c r="AY624" s="486" t="e">
        <f t="shared" si="579"/>
        <v>#DIV/0!</v>
      </c>
      <c r="AZ624" s="497" t="e">
        <f t="shared" si="580"/>
        <v>#DIV/0!</v>
      </c>
      <c r="BA624" s="486">
        <f t="shared" si="569"/>
        <v>0</v>
      </c>
      <c r="BB624" s="494">
        <v>5155.41</v>
      </c>
      <c r="BC624" s="494">
        <v>2070.12</v>
      </c>
      <c r="BD624" s="494">
        <v>848.92</v>
      </c>
      <c r="BE624" s="494">
        <v>819.73</v>
      </c>
      <c r="BF624" s="494">
        <v>611.5</v>
      </c>
      <c r="BG624" s="494">
        <v>1080.04</v>
      </c>
      <c r="BH624" s="494">
        <v>2671800.0099999998</v>
      </c>
      <c r="BI624" s="494">
        <f t="shared" si="606"/>
        <v>4422.8500000000004</v>
      </c>
      <c r="BJ624" s="494">
        <v>14289.54</v>
      </c>
      <c r="BK624" s="494">
        <v>3389.61</v>
      </c>
      <c r="BL624" s="494">
        <v>5995.76</v>
      </c>
      <c r="BM624" s="494">
        <v>548.62</v>
      </c>
      <c r="BN624" s="493" t="e">
        <f t="shared" si="581"/>
        <v>#DIV/0!</v>
      </c>
      <c r="BO624" s="493" t="e">
        <f t="shared" si="582"/>
        <v>#DIV/0!</v>
      </c>
      <c r="BP624" s="493" t="e">
        <f t="shared" si="583"/>
        <v>#DIV/0!</v>
      </c>
      <c r="BQ624" s="493" t="e">
        <f t="shared" si="584"/>
        <v>#DIV/0!</v>
      </c>
      <c r="BR624" s="493" t="e">
        <f t="shared" si="585"/>
        <v>#DIV/0!</v>
      </c>
      <c r="BS624" s="493" t="e">
        <f t="shared" si="586"/>
        <v>#DIV/0!</v>
      </c>
      <c r="BT624" s="493" t="e">
        <f t="shared" si="587"/>
        <v>#DIV/0!</v>
      </c>
      <c r="BU624" s="493" t="str">
        <f t="shared" si="588"/>
        <v xml:space="preserve"> </v>
      </c>
      <c r="BV624" s="493" t="e">
        <f t="shared" si="589"/>
        <v>#DIV/0!</v>
      </c>
      <c r="BW624" s="493" t="e">
        <f t="shared" si="590"/>
        <v>#DIV/0!</v>
      </c>
      <c r="BX624" s="493" t="e">
        <f t="shared" si="591"/>
        <v>#DIV/0!</v>
      </c>
      <c r="BY624" s="493" t="str">
        <f t="shared" si="592"/>
        <v xml:space="preserve"> </v>
      </c>
    </row>
    <row r="625" spans="1:77" s="28" customFormat="1" ht="12" customHeight="1">
      <c r="A625" s="837" t="s">
        <v>433</v>
      </c>
      <c r="B625" s="838"/>
      <c r="C625" s="838"/>
      <c r="D625" s="838"/>
      <c r="E625" s="838"/>
      <c r="F625" s="838"/>
      <c r="G625" s="838"/>
      <c r="H625" s="838"/>
      <c r="I625" s="838"/>
      <c r="J625" s="838"/>
      <c r="K625" s="838"/>
      <c r="L625" s="838"/>
      <c r="M625" s="838"/>
      <c r="N625" s="838"/>
      <c r="O625" s="838"/>
      <c r="P625" s="838"/>
      <c r="Q625" s="838"/>
      <c r="R625" s="838"/>
      <c r="S625" s="838"/>
      <c r="T625" s="838"/>
      <c r="U625" s="838"/>
      <c r="V625" s="838"/>
      <c r="W625" s="838"/>
      <c r="X625" s="838"/>
      <c r="Y625" s="838"/>
      <c r="Z625" s="838"/>
      <c r="AA625" s="838"/>
      <c r="AB625" s="838"/>
      <c r="AC625" s="838"/>
      <c r="AD625" s="838"/>
      <c r="AE625" s="838"/>
      <c r="AF625" s="838"/>
      <c r="AG625" s="838"/>
      <c r="AH625" s="838"/>
      <c r="AI625" s="838"/>
      <c r="AJ625" s="838"/>
      <c r="AK625" s="838"/>
      <c r="AL625" s="839"/>
      <c r="AM625" s="280"/>
      <c r="AN625" s="280"/>
      <c r="AP625" s="486" t="e">
        <f t="shared" si="568"/>
        <v>#DIV/0!</v>
      </c>
      <c r="AQ625" s="486" t="e">
        <f t="shared" si="571"/>
        <v>#DIV/0!</v>
      </c>
      <c r="AR625" s="497" t="e">
        <f t="shared" si="572"/>
        <v>#DIV/0!</v>
      </c>
      <c r="AS625" s="497" t="e">
        <f t="shared" si="573"/>
        <v>#DIV/0!</v>
      </c>
      <c r="AT625" s="497" t="e">
        <f t="shared" si="574"/>
        <v>#DIV/0!</v>
      </c>
      <c r="AU625" s="497" t="e">
        <f t="shared" si="575"/>
        <v>#DIV/0!</v>
      </c>
      <c r="AV625" s="497" t="e">
        <f t="shared" si="576"/>
        <v>#DIV/0!</v>
      </c>
      <c r="AW625" s="497" t="e">
        <f t="shared" si="577"/>
        <v>#DIV/0!</v>
      </c>
      <c r="AX625" s="497" t="e">
        <f t="shared" si="578"/>
        <v>#DIV/0!</v>
      </c>
      <c r="AY625" s="486" t="e">
        <f t="shared" si="579"/>
        <v>#DIV/0!</v>
      </c>
      <c r="AZ625" s="497" t="e">
        <f t="shared" si="580"/>
        <v>#DIV/0!</v>
      </c>
      <c r="BA625" s="486" t="e">
        <f t="shared" si="569"/>
        <v>#DIV/0!</v>
      </c>
      <c r="BB625" s="494">
        <v>5155.41</v>
      </c>
      <c r="BC625" s="494">
        <v>2070.12</v>
      </c>
      <c r="BD625" s="494">
        <v>848.92</v>
      </c>
      <c r="BE625" s="494">
        <v>819.73</v>
      </c>
      <c r="BF625" s="494">
        <v>611.5</v>
      </c>
      <c r="BG625" s="494">
        <v>1080.04</v>
      </c>
      <c r="BH625" s="494">
        <v>2671800.0099999998</v>
      </c>
      <c r="BI625" s="494">
        <f t="shared" si="606"/>
        <v>4422.8500000000004</v>
      </c>
      <c r="BJ625" s="494">
        <v>14289.54</v>
      </c>
      <c r="BK625" s="494">
        <v>3389.61</v>
      </c>
      <c r="BL625" s="494">
        <v>5995.76</v>
      </c>
      <c r="BM625" s="494">
        <v>548.62</v>
      </c>
      <c r="BN625" s="493" t="e">
        <f t="shared" si="581"/>
        <v>#DIV/0!</v>
      </c>
      <c r="BO625" s="493" t="e">
        <f t="shared" si="582"/>
        <v>#DIV/0!</v>
      </c>
      <c r="BP625" s="493" t="e">
        <f t="shared" si="583"/>
        <v>#DIV/0!</v>
      </c>
      <c r="BQ625" s="493" t="e">
        <f t="shared" si="584"/>
        <v>#DIV/0!</v>
      </c>
      <c r="BR625" s="493" t="e">
        <f t="shared" si="585"/>
        <v>#DIV/0!</v>
      </c>
      <c r="BS625" s="493" t="e">
        <f t="shared" si="586"/>
        <v>#DIV/0!</v>
      </c>
      <c r="BT625" s="493" t="e">
        <f t="shared" si="587"/>
        <v>#DIV/0!</v>
      </c>
      <c r="BU625" s="493" t="e">
        <f t="shared" si="588"/>
        <v>#DIV/0!</v>
      </c>
      <c r="BV625" s="493" t="e">
        <f t="shared" si="589"/>
        <v>#DIV/0!</v>
      </c>
      <c r="BW625" s="493" t="e">
        <f t="shared" si="590"/>
        <v>#DIV/0!</v>
      </c>
      <c r="BX625" s="493" t="e">
        <f t="shared" si="591"/>
        <v>#DIV/0!</v>
      </c>
      <c r="BY625" s="493" t="e">
        <f t="shared" si="592"/>
        <v>#DIV/0!</v>
      </c>
    </row>
    <row r="626" spans="1:77" s="28" customFormat="1" ht="9" customHeight="1">
      <c r="A626" s="184">
        <v>218</v>
      </c>
      <c r="B626" s="185" t="s">
        <v>928</v>
      </c>
      <c r="C626" s="478">
        <v>851.45</v>
      </c>
      <c r="D626" s="376"/>
      <c r="E626" s="362"/>
      <c r="F626" s="187"/>
      <c r="G626" s="187"/>
      <c r="H626" s="187">
        <v>258031.92</v>
      </c>
      <c r="I626" s="407">
        <f t="shared" ref="I626:I628" si="622">J626+L626+N626+P626+R626+T626</f>
        <v>246420.48000000001</v>
      </c>
      <c r="J626" s="217">
        <v>0</v>
      </c>
      <c r="K626" s="469">
        <v>0</v>
      </c>
      <c r="L626" s="217">
        <v>0</v>
      </c>
      <c r="M626" s="469">
        <v>121.5</v>
      </c>
      <c r="N626" s="217">
        <f>ROUND(0.955*(C626*303.05)-0.01,2)</f>
        <v>246420.48000000001</v>
      </c>
      <c r="O626" s="249">
        <v>0</v>
      </c>
      <c r="P626" s="407">
        <v>0</v>
      </c>
      <c r="Q626" s="249">
        <v>0</v>
      </c>
      <c r="R626" s="407">
        <v>0</v>
      </c>
      <c r="S626" s="249">
        <v>0</v>
      </c>
      <c r="T626" s="407">
        <v>0</v>
      </c>
      <c r="U626" s="130">
        <v>0</v>
      </c>
      <c r="V626" s="407">
        <v>0</v>
      </c>
      <c r="W626" s="23">
        <v>0</v>
      </c>
      <c r="X626" s="407">
        <v>0</v>
      </c>
      <c r="Y626" s="410">
        <v>0</v>
      </c>
      <c r="Z626" s="410">
        <v>0</v>
      </c>
      <c r="AA626" s="410">
        <v>0</v>
      </c>
      <c r="AB626" s="410">
        <v>0</v>
      </c>
      <c r="AC626" s="410">
        <v>0</v>
      </c>
      <c r="AD626" s="410">
        <v>0</v>
      </c>
      <c r="AE626" s="410">
        <v>0</v>
      </c>
      <c r="AF626" s="410">
        <v>0</v>
      </c>
      <c r="AG626" s="410">
        <v>0</v>
      </c>
      <c r="AH626" s="410">
        <v>0</v>
      </c>
      <c r="AI626" s="410">
        <v>0</v>
      </c>
      <c r="AJ626" s="410">
        <f>ROUND(0.03*303.05*C626,2)</f>
        <v>7740.96</v>
      </c>
      <c r="AK626" s="410">
        <f>ROUND(0.015*303.05*C626,2)</f>
        <v>3870.48</v>
      </c>
      <c r="AL626" s="410">
        <v>0</v>
      </c>
      <c r="AM626" s="446"/>
      <c r="AN626" s="446"/>
      <c r="AP626" s="486" t="e">
        <f t="shared" si="568"/>
        <v>#DIV/0!</v>
      </c>
      <c r="AQ626" s="486" t="e">
        <f t="shared" si="571"/>
        <v>#DIV/0!</v>
      </c>
      <c r="AR626" s="486">
        <f t="shared" si="572"/>
        <v>2028.1520987654321</v>
      </c>
      <c r="AS626" s="486" t="e">
        <f t="shared" si="573"/>
        <v>#DIV/0!</v>
      </c>
      <c r="AT626" s="486" t="e">
        <f t="shared" si="574"/>
        <v>#DIV/0!</v>
      </c>
      <c r="AU626" s="486" t="e">
        <f t="shared" si="575"/>
        <v>#DIV/0!</v>
      </c>
      <c r="AV626" s="486" t="e">
        <f t="shared" si="576"/>
        <v>#DIV/0!</v>
      </c>
      <c r="AW626" s="486" t="e">
        <f t="shared" si="577"/>
        <v>#DIV/0!</v>
      </c>
      <c r="AX626" s="486" t="e">
        <f t="shared" si="578"/>
        <v>#DIV/0!</v>
      </c>
      <c r="AY626" s="486" t="e">
        <f t="shared" si="579"/>
        <v>#DIV/0!</v>
      </c>
      <c r="AZ626" s="486" t="e">
        <f t="shared" si="580"/>
        <v>#DIV/0!</v>
      </c>
      <c r="BA626" s="486">
        <f t="shared" si="569"/>
        <v>0</v>
      </c>
      <c r="BB626" s="494">
        <v>5155.41</v>
      </c>
      <c r="BC626" s="494">
        <v>2070.12</v>
      </c>
      <c r="BD626" s="494">
        <v>848.92</v>
      </c>
      <c r="BE626" s="494">
        <v>819.73</v>
      </c>
      <c r="BF626" s="494">
        <v>611.5</v>
      </c>
      <c r="BG626" s="494">
        <v>1080.04</v>
      </c>
      <c r="BH626" s="494">
        <v>2671800.0099999998</v>
      </c>
      <c r="BI626" s="494">
        <f t="shared" si="606"/>
        <v>4422.8500000000004</v>
      </c>
      <c r="BJ626" s="494">
        <v>14289.54</v>
      </c>
      <c r="BK626" s="494">
        <v>3389.61</v>
      </c>
      <c r="BL626" s="494">
        <v>5995.76</v>
      </c>
      <c r="BM626" s="494">
        <v>548.62</v>
      </c>
      <c r="BN626" s="495" t="e">
        <f t="shared" si="581"/>
        <v>#DIV/0!</v>
      </c>
      <c r="BO626" s="495" t="e">
        <f t="shared" si="582"/>
        <v>#DIV/0!</v>
      </c>
      <c r="BP626" s="495" t="str">
        <f t="shared" si="583"/>
        <v>+</v>
      </c>
      <c r="BQ626" s="495" t="e">
        <f t="shared" si="584"/>
        <v>#DIV/0!</v>
      </c>
      <c r="BR626" s="495" t="e">
        <f t="shared" si="585"/>
        <v>#DIV/0!</v>
      </c>
      <c r="BS626" s="495" t="e">
        <f t="shared" si="586"/>
        <v>#DIV/0!</v>
      </c>
      <c r="BT626" s="495" t="e">
        <f t="shared" si="587"/>
        <v>#DIV/0!</v>
      </c>
      <c r="BU626" s="495" t="e">
        <f t="shared" si="588"/>
        <v>#DIV/0!</v>
      </c>
      <c r="BV626" s="495" t="e">
        <f t="shared" si="589"/>
        <v>#DIV/0!</v>
      </c>
      <c r="BW626" s="495" t="e">
        <f t="shared" si="590"/>
        <v>#DIV/0!</v>
      </c>
      <c r="BX626" s="495" t="e">
        <f t="shared" si="591"/>
        <v>#DIV/0!</v>
      </c>
      <c r="BY626" s="495" t="str">
        <f t="shared" si="592"/>
        <v xml:space="preserve"> </v>
      </c>
    </row>
    <row r="627" spans="1:77" s="28" customFormat="1" ht="9" customHeight="1">
      <c r="A627" s="184">
        <v>219</v>
      </c>
      <c r="B627" s="185" t="s">
        <v>929</v>
      </c>
      <c r="C627" s="478">
        <v>869.8</v>
      </c>
      <c r="D627" s="376">
        <v>73.2</v>
      </c>
      <c r="E627" s="362"/>
      <c r="F627" s="187"/>
      <c r="G627" s="187"/>
      <c r="H627" s="187">
        <v>2193489.5</v>
      </c>
      <c r="I627" s="407">
        <f t="shared" si="622"/>
        <v>559075.05000000005</v>
      </c>
      <c r="J627" s="217">
        <f>ROUND(0.955*(C627*370)+0.01,2)</f>
        <v>307343.84000000003</v>
      </c>
      <c r="K627" s="469">
        <v>0</v>
      </c>
      <c r="L627" s="217">
        <v>0</v>
      </c>
      <c r="M627" s="469">
        <v>0</v>
      </c>
      <c r="N627" s="217">
        <f>ROUND(0.955*(C627*303.05),2)</f>
        <v>251731.21</v>
      </c>
      <c r="O627" s="249">
        <v>0</v>
      </c>
      <c r="P627" s="407">
        <v>0</v>
      </c>
      <c r="Q627" s="249">
        <v>0</v>
      </c>
      <c r="R627" s="407">
        <v>0</v>
      </c>
      <c r="S627" s="249">
        <v>0</v>
      </c>
      <c r="T627" s="407">
        <v>0</v>
      </c>
      <c r="U627" s="130">
        <v>0</v>
      </c>
      <c r="V627" s="407">
        <v>0</v>
      </c>
      <c r="W627" s="23">
        <v>0</v>
      </c>
      <c r="X627" s="407">
        <v>0</v>
      </c>
      <c r="Y627" s="410">
        <v>0</v>
      </c>
      <c r="Z627" s="410">
        <v>0</v>
      </c>
      <c r="AA627" s="410">
        <v>741.6</v>
      </c>
      <c r="AB627" s="410">
        <f>ROUND(0.955*2168.38*AA627,2)</f>
        <v>1535707.43</v>
      </c>
      <c r="AC627" s="410">
        <v>0</v>
      </c>
      <c r="AD627" s="410">
        <v>0</v>
      </c>
      <c r="AE627" s="410">
        <v>0</v>
      </c>
      <c r="AF627" s="410">
        <v>0</v>
      </c>
      <c r="AG627" s="410">
        <v>0</v>
      </c>
      <c r="AH627" s="410">
        <v>0</v>
      </c>
      <c r="AI627" s="410">
        <v>0</v>
      </c>
      <c r="AJ627" s="410">
        <f>ROUND(0.03*((370+303.05)*C627+2168.38*AA627),2)</f>
        <v>65804.679999999993</v>
      </c>
      <c r="AK627" s="410">
        <f>ROUND(0.015*((370+303.05)*C627+2168.38*AA627),2)</f>
        <v>32902.339999999997</v>
      </c>
      <c r="AL627" s="410">
        <v>0</v>
      </c>
      <c r="AM627" s="446"/>
      <c r="AN627" s="446"/>
      <c r="AP627" s="486">
        <f t="shared" si="568"/>
        <v>4198.6863387978146</v>
      </c>
      <c r="AQ627" s="486" t="e">
        <f t="shared" si="571"/>
        <v>#DIV/0!</v>
      </c>
      <c r="AR627" s="486" t="e">
        <f t="shared" si="572"/>
        <v>#DIV/0!</v>
      </c>
      <c r="AS627" s="486" t="e">
        <f t="shared" si="573"/>
        <v>#DIV/0!</v>
      </c>
      <c r="AT627" s="486" t="e">
        <f t="shared" si="574"/>
        <v>#DIV/0!</v>
      </c>
      <c r="AU627" s="486" t="e">
        <f t="shared" si="575"/>
        <v>#DIV/0!</v>
      </c>
      <c r="AV627" s="486" t="e">
        <f t="shared" si="576"/>
        <v>#DIV/0!</v>
      </c>
      <c r="AW627" s="486" t="e">
        <f t="shared" si="577"/>
        <v>#DIV/0!</v>
      </c>
      <c r="AX627" s="486" t="e">
        <f t="shared" si="578"/>
        <v>#DIV/0!</v>
      </c>
      <c r="AY627" s="486">
        <f t="shared" si="579"/>
        <v>2070.8028991370011</v>
      </c>
      <c r="AZ627" s="486" t="e">
        <f t="shared" si="580"/>
        <v>#DIV/0!</v>
      </c>
      <c r="BA627" s="486">
        <f t="shared" si="569"/>
        <v>0</v>
      </c>
      <c r="BB627" s="494">
        <v>5155.41</v>
      </c>
      <c r="BC627" s="494">
        <v>2070.12</v>
      </c>
      <c r="BD627" s="494">
        <v>848.92</v>
      </c>
      <c r="BE627" s="494">
        <v>819.73</v>
      </c>
      <c r="BF627" s="494">
        <v>611.5</v>
      </c>
      <c r="BG627" s="494">
        <v>1080.04</v>
      </c>
      <c r="BH627" s="494">
        <v>2671800.0099999998</v>
      </c>
      <c r="BI627" s="494">
        <f t="shared" si="606"/>
        <v>4422.8500000000004</v>
      </c>
      <c r="BJ627" s="494">
        <v>14289.54</v>
      </c>
      <c r="BK627" s="494">
        <v>3389.61</v>
      </c>
      <c r="BL627" s="494">
        <v>5995.76</v>
      </c>
      <c r="BM627" s="494">
        <v>548.62</v>
      </c>
      <c r="BN627" s="495" t="str">
        <f t="shared" si="581"/>
        <v xml:space="preserve"> </v>
      </c>
      <c r="BO627" s="495" t="e">
        <f t="shared" si="582"/>
        <v>#DIV/0!</v>
      </c>
      <c r="BP627" s="495" t="e">
        <f t="shared" si="583"/>
        <v>#DIV/0!</v>
      </c>
      <c r="BQ627" s="495" t="e">
        <f t="shared" si="584"/>
        <v>#DIV/0!</v>
      </c>
      <c r="BR627" s="495" t="e">
        <f t="shared" si="585"/>
        <v>#DIV/0!</v>
      </c>
      <c r="BS627" s="495" t="e">
        <f t="shared" si="586"/>
        <v>#DIV/0!</v>
      </c>
      <c r="BT627" s="495" t="e">
        <f t="shared" si="587"/>
        <v>#DIV/0!</v>
      </c>
      <c r="BU627" s="495" t="e">
        <f t="shared" si="588"/>
        <v>#DIV/0!</v>
      </c>
      <c r="BV627" s="495" t="e">
        <f t="shared" si="589"/>
        <v>#DIV/0!</v>
      </c>
      <c r="BW627" s="495" t="str">
        <f t="shared" si="590"/>
        <v xml:space="preserve"> </v>
      </c>
      <c r="BX627" s="495" t="e">
        <f t="shared" si="591"/>
        <v>#DIV/0!</v>
      </c>
      <c r="BY627" s="495" t="str">
        <f t="shared" si="592"/>
        <v xml:space="preserve"> </v>
      </c>
    </row>
    <row r="628" spans="1:77" s="28" customFormat="1" ht="9" customHeight="1">
      <c r="A628" s="184">
        <v>220</v>
      </c>
      <c r="B628" s="185" t="s">
        <v>930</v>
      </c>
      <c r="C628" s="478">
        <v>893</v>
      </c>
      <c r="D628" s="376"/>
      <c r="E628" s="362"/>
      <c r="F628" s="187"/>
      <c r="G628" s="187"/>
      <c r="H628" s="187">
        <v>270623.65000000002</v>
      </c>
      <c r="I628" s="407">
        <f t="shared" si="622"/>
        <v>258445.59</v>
      </c>
      <c r="J628" s="217">
        <v>0</v>
      </c>
      <c r="K628" s="469">
        <v>0</v>
      </c>
      <c r="L628" s="217">
        <v>0</v>
      </c>
      <c r="M628" s="469">
        <v>120.5</v>
      </c>
      <c r="N628" s="217">
        <f>ROUND(0.955*(C628*303.05),2)</f>
        <v>258445.59</v>
      </c>
      <c r="O628" s="249">
        <v>0</v>
      </c>
      <c r="P628" s="407">
        <v>0</v>
      </c>
      <c r="Q628" s="249">
        <v>0</v>
      </c>
      <c r="R628" s="407">
        <v>0</v>
      </c>
      <c r="S628" s="249">
        <v>0</v>
      </c>
      <c r="T628" s="407">
        <v>0</v>
      </c>
      <c r="U628" s="130">
        <v>0</v>
      </c>
      <c r="V628" s="407">
        <v>0</v>
      </c>
      <c r="W628" s="23">
        <v>0</v>
      </c>
      <c r="X628" s="407">
        <v>0</v>
      </c>
      <c r="Y628" s="410">
        <v>0</v>
      </c>
      <c r="Z628" s="410">
        <v>0</v>
      </c>
      <c r="AA628" s="410">
        <v>0</v>
      </c>
      <c r="AB628" s="410">
        <v>0</v>
      </c>
      <c r="AC628" s="410">
        <v>0</v>
      </c>
      <c r="AD628" s="410">
        <v>0</v>
      </c>
      <c r="AE628" s="410">
        <v>0</v>
      </c>
      <c r="AF628" s="410">
        <v>0</v>
      </c>
      <c r="AG628" s="410">
        <v>0</v>
      </c>
      <c r="AH628" s="410">
        <v>0</v>
      </c>
      <c r="AI628" s="410">
        <v>0</v>
      </c>
      <c r="AJ628" s="410">
        <f>ROUND(0.03*303.05*C628,2)</f>
        <v>8118.71</v>
      </c>
      <c r="AK628" s="410">
        <f>ROUND(0.015*303.05*C628,2)</f>
        <v>4059.35</v>
      </c>
      <c r="AL628" s="410">
        <v>0</v>
      </c>
      <c r="AM628" s="446"/>
      <c r="AN628" s="446"/>
      <c r="AP628" s="486" t="e">
        <f t="shared" si="568"/>
        <v>#DIV/0!</v>
      </c>
      <c r="AQ628" s="486" t="e">
        <f t="shared" si="571"/>
        <v>#DIV/0!</v>
      </c>
      <c r="AR628" s="486">
        <f t="shared" si="572"/>
        <v>2144.7766804979251</v>
      </c>
      <c r="AS628" s="486" t="e">
        <f t="shared" si="573"/>
        <v>#DIV/0!</v>
      </c>
      <c r="AT628" s="486" t="e">
        <f t="shared" si="574"/>
        <v>#DIV/0!</v>
      </c>
      <c r="AU628" s="486" t="e">
        <f t="shared" si="575"/>
        <v>#DIV/0!</v>
      </c>
      <c r="AV628" s="486" t="e">
        <f t="shared" si="576"/>
        <v>#DIV/0!</v>
      </c>
      <c r="AW628" s="486" t="e">
        <f t="shared" si="577"/>
        <v>#DIV/0!</v>
      </c>
      <c r="AX628" s="486" t="e">
        <f t="shared" si="578"/>
        <v>#DIV/0!</v>
      </c>
      <c r="AY628" s="486" t="e">
        <f t="shared" si="579"/>
        <v>#DIV/0!</v>
      </c>
      <c r="AZ628" s="486" t="e">
        <f t="shared" si="580"/>
        <v>#DIV/0!</v>
      </c>
      <c r="BA628" s="486">
        <f t="shared" si="569"/>
        <v>0</v>
      </c>
      <c r="BB628" s="494">
        <v>5155.41</v>
      </c>
      <c r="BC628" s="494">
        <v>2070.12</v>
      </c>
      <c r="BD628" s="494">
        <v>848.92</v>
      </c>
      <c r="BE628" s="494">
        <v>819.73</v>
      </c>
      <c r="BF628" s="494">
        <v>611.5</v>
      </c>
      <c r="BG628" s="494">
        <v>1080.04</v>
      </c>
      <c r="BH628" s="494">
        <v>2671800.0099999998</v>
      </c>
      <c r="BI628" s="494">
        <f t="shared" si="606"/>
        <v>4422.8500000000004</v>
      </c>
      <c r="BJ628" s="494">
        <v>14289.54</v>
      </c>
      <c r="BK628" s="494">
        <v>3389.61</v>
      </c>
      <c r="BL628" s="494">
        <v>5995.76</v>
      </c>
      <c r="BM628" s="494">
        <v>548.62</v>
      </c>
      <c r="BN628" s="495" t="e">
        <f t="shared" si="581"/>
        <v>#DIV/0!</v>
      </c>
      <c r="BO628" s="495" t="e">
        <f t="shared" si="582"/>
        <v>#DIV/0!</v>
      </c>
      <c r="BP628" s="495" t="str">
        <f t="shared" si="583"/>
        <v>+</v>
      </c>
      <c r="BQ628" s="495" t="e">
        <f t="shared" si="584"/>
        <v>#DIV/0!</v>
      </c>
      <c r="BR628" s="495" t="e">
        <f t="shared" si="585"/>
        <v>#DIV/0!</v>
      </c>
      <c r="BS628" s="495" t="e">
        <f t="shared" si="586"/>
        <v>#DIV/0!</v>
      </c>
      <c r="BT628" s="495" t="e">
        <f t="shared" si="587"/>
        <v>#DIV/0!</v>
      </c>
      <c r="BU628" s="495" t="e">
        <f t="shared" si="588"/>
        <v>#DIV/0!</v>
      </c>
      <c r="BV628" s="495" t="e">
        <f t="shared" si="589"/>
        <v>#DIV/0!</v>
      </c>
      <c r="BW628" s="495" t="e">
        <f t="shared" si="590"/>
        <v>#DIV/0!</v>
      </c>
      <c r="BX628" s="495" t="e">
        <f t="shared" si="591"/>
        <v>#DIV/0!</v>
      </c>
      <c r="BY628" s="495" t="str">
        <f t="shared" si="592"/>
        <v xml:space="preserve"> </v>
      </c>
    </row>
    <row r="629" spans="1:77" s="28" customFormat="1" ht="37.5" customHeight="1">
      <c r="A629" s="958" t="s">
        <v>434</v>
      </c>
      <c r="B629" s="958"/>
      <c r="C629" s="189">
        <f>SUM(C626:C628)</f>
        <v>2614.25</v>
      </c>
      <c r="D629" s="401"/>
      <c r="E629" s="189" t="s">
        <v>391</v>
      </c>
      <c r="F629" s="400"/>
      <c r="G629" s="400"/>
      <c r="H629" s="189">
        <f>SUM(H626:H628)</f>
        <v>2722145.07</v>
      </c>
      <c r="I629" s="189">
        <f t="shared" ref="I629:AL629" si="623">SUM(I626:I628)</f>
        <v>1063941.1200000001</v>
      </c>
      <c r="J629" s="189">
        <f t="shared" si="623"/>
        <v>307343.84000000003</v>
      </c>
      <c r="K629" s="189">
        <f t="shared" si="623"/>
        <v>0</v>
      </c>
      <c r="L629" s="189">
        <f t="shared" si="623"/>
        <v>0</v>
      </c>
      <c r="M629" s="189">
        <f t="shared" si="623"/>
        <v>242</v>
      </c>
      <c r="N629" s="189">
        <f t="shared" si="623"/>
        <v>756597.28</v>
      </c>
      <c r="O629" s="189">
        <f t="shared" si="623"/>
        <v>0</v>
      </c>
      <c r="P629" s="189">
        <f t="shared" si="623"/>
        <v>0</v>
      </c>
      <c r="Q629" s="189">
        <f t="shared" si="623"/>
        <v>0</v>
      </c>
      <c r="R629" s="189">
        <f t="shared" si="623"/>
        <v>0</v>
      </c>
      <c r="S629" s="189">
        <f t="shared" si="623"/>
        <v>0</v>
      </c>
      <c r="T629" s="189">
        <f t="shared" si="623"/>
        <v>0</v>
      </c>
      <c r="U629" s="219">
        <f t="shared" si="623"/>
        <v>0</v>
      </c>
      <c r="V629" s="189">
        <f t="shared" si="623"/>
        <v>0</v>
      </c>
      <c r="W629" s="189">
        <f t="shared" si="623"/>
        <v>0</v>
      </c>
      <c r="X629" s="189">
        <f t="shared" si="623"/>
        <v>0</v>
      </c>
      <c r="Y629" s="189">
        <f t="shared" si="623"/>
        <v>0</v>
      </c>
      <c r="Z629" s="189">
        <f t="shared" si="623"/>
        <v>0</v>
      </c>
      <c r="AA629" s="189">
        <f t="shared" si="623"/>
        <v>741.6</v>
      </c>
      <c r="AB629" s="189">
        <f t="shared" si="623"/>
        <v>1535707.43</v>
      </c>
      <c r="AC629" s="189">
        <f t="shared" si="623"/>
        <v>0</v>
      </c>
      <c r="AD629" s="189">
        <f t="shared" si="623"/>
        <v>0</v>
      </c>
      <c r="AE629" s="189">
        <f t="shared" si="623"/>
        <v>0</v>
      </c>
      <c r="AF629" s="189">
        <f t="shared" si="623"/>
        <v>0</v>
      </c>
      <c r="AG629" s="189">
        <f t="shared" si="623"/>
        <v>0</v>
      </c>
      <c r="AH629" s="189">
        <f t="shared" si="623"/>
        <v>0</v>
      </c>
      <c r="AI629" s="189">
        <f t="shared" si="623"/>
        <v>0</v>
      </c>
      <c r="AJ629" s="189">
        <f t="shared" si="623"/>
        <v>81664.350000000006</v>
      </c>
      <c r="AK629" s="189">
        <f t="shared" si="623"/>
        <v>40832.17</v>
      </c>
      <c r="AL629" s="189">
        <f t="shared" si="623"/>
        <v>0</v>
      </c>
      <c r="AM629" s="280"/>
      <c r="AN629" s="280"/>
      <c r="AP629" s="486" t="e">
        <f t="shared" si="568"/>
        <v>#DIV/0!</v>
      </c>
      <c r="AQ629" s="486" t="e">
        <f t="shared" si="571"/>
        <v>#DIV/0!</v>
      </c>
      <c r="AR629" s="497">
        <f t="shared" si="572"/>
        <v>3126.4350413223142</v>
      </c>
      <c r="AS629" s="497" t="e">
        <f t="shared" si="573"/>
        <v>#DIV/0!</v>
      </c>
      <c r="AT629" s="497" t="e">
        <f t="shared" si="574"/>
        <v>#DIV/0!</v>
      </c>
      <c r="AU629" s="497" t="e">
        <f t="shared" si="575"/>
        <v>#DIV/0!</v>
      </c>
      <c r="AV629" s="497" t="e">
        <f t="shared" si="576"/>
        <v>#DIV/0!</v>
      </c>
      <c r="AW629" s="497" t="e">
        <f t="shared" si="577"/>
        <v>#DIV/0!</v>
      </c>
      <c r="AX629" s="497" t="e">
        <f t="shared" si="578"/>
        <v>#DIV/0!</v>
      </c>
      <c r="AY629" s="486">
        <f t="shared" si="579"/>
        <v>2070.8028991370011</v>
      </c>
      <c r="AZ629" s="497" t="e">
        <f t="shared" si="580"/>
        <v>#DIV/0!</v>
      </c>
      <c r="BA629" s="486">
        <f t="shared" si="569"/>
        <v>0</v>
      </c>
      <c r="BB629" s="494">
        <v>5155.41</v>
      </c>
      <c r="BC629" s="494">
        <v>2070.12</v>
      </c>
      <c r="BD629" s="494">
        <v>848.92</v>
      </c>
      <c r="BE629" s="494">
        <v>819.73</v>
      </c>
      <c r="BF629" s="494">
        <v>611.5</v>
      </c>
      <c r="BG629" s="494">
        <v>1080.04</v>
      </c>
      <c r="BH629" s="494">
        <v>2671800.0099999998</v>
      </c>
      <c r="BI629" s="494">
        <f t="shared" si="606"/>
        <v>4422.8500000000004</v>
      </c>
      <c r="BJ629" s="494">
        <v>14289.54</v>
      </c>
      <c r="BK629" s="494">
        <v>3389.61</v>
      </c>
      <c r="BL629" s="494">
        <v>5995.76</v>
      </c>
      <c r="BM629" s="494">
        <v>548.62</v>
      </c>
      <c r="BN629" s="493" t="e">
        <f t="shared" si="581"/>
        <v>#DIV/0!</v>
      </c>
      <c r="BO629" s="493" t="e">
        <f t="shared" si="582"/>
        <v>#DIV/0!</v>
      </c>
      <c r="BP629" s="493" t="str">
        <f t="shared" si="583"/>
        <v>+</v>
      </c>
      <c r="BQ629" s="493" t="e">
        <f t="shared" si="584"/>
        <v>#DIV/0!</v>
      </c>
      <c r="BR629" s="493" t="e">
        <f t="shared" si="585"/>
        <v>#DIV/0!</v>
      </c>
      <c r="BS629" s="493" t="e">
        <f t="shared" si="586"/>
        <v>#DIV/0!</v>
      </c>
      <c r="BT629" s="493" t="e">
        <f t="shared" si="587"/>
        <v>#DIV/0!</v>
      </c>
      <c r="BU629" s="493" t="e">
        <f t="shared" si="588"/>
        <v>#DIV/0!</v>
      </c>
      <c r="BV629" s="493" t="e">
        <f t="shared" si="589"/>
        <v>#DIV/0!</v>
      </c>
      <c r="BW629" s="493" t="str">
        <f t="shared" si="590"/>
        <v xml:space="preserve"> </v>
      </c>
      <c r="BX629" s="493" t="e">
        <f t="shared" si="591"/>
        <v>#DIV/0!</v>
      </c>
      <c r="BY629" s="493" t="str">
        <f t="shared" si="592"/>
        <v xml:space="preserve"> </v>
      </c>
    </row>
    <row r="630" spans="1:77" s="28" customFormat="1" ht="11.25" customHeight="1">
      <c r="A630" s="833" t="s">
        <v>937</v>
      </c>
      <c r="B630" s="834"/>
      <c r="C630" s="834"/>
      <c r="D630" s="834"/>
      <c r="E630" s="834"/>
      <c r="F630" s="834"/>
      <c r="G630" s="834"/>
      <c r="H630" s="834"/>
      <c r="I630" s="834"/>
      <c r="J630" s="834"/>
      <c r="K630" s="834"/>
      <c r="L630" s="834"/>
      <c r="M630" s="834"/>
      <c r="N630" s="834"/>
      <c r="O630" s="834"/>
      <c r="P630" s="834"/>
      <c r="Q630" s="834"/>
      <c r="R630" s="834"/>
      <c r="S630" s="834"/>
      <c r="T630" s="834"/>
      <c r="U630" s="834"/>
      <c r="V630" s="834"/>
      <c r="W630" s="834"/>
      <c r="X630" s="834"/>
      <c r="Y630" s="834"/>
      <c r="Z630" s="834"/>
      <c r="AA630" s="834"/>
      <c r="AB630" s="834"/>
      <c r="AC630" s="834"/>
      <c r="AD630" s="834"/>
      <c r="AE630" s="834"/>
      <c r="AF630" s="834"/>
      <c r="AG630" s="834"/>
      <c r="AH630" s="834"/>
      <c r="AI630" s="834"/>
      <c r="AJ630" s="834"/>
      <c r="AK630" s="834"/>
      <c r="AL630" s="835"/>
      <c r="AM630" s="280"/>
      <c r="AN630" s="280"/>
      <c r="AP630" s="486" t="e">
        <f t="shared" si="568"/>
        <v>#DIV/0!</v>
      </c>
      <c r="AQ630" s="486" t="e">
        <f t="shared" si="571"/>
        <v>#DIV/0!</v>
      </c>
      <c r="AR630" s="497" t="e">
        <f t="shared" si="572"/>
        <v>#DIV/0!</v>
      </c>
      <c r="AS630" s="497" t="e">
        <f t="shared" si="573"/>
        <v>#DIV/0!</v>
      </c>
      <c r="AT630" s="497" t="e">
        <f t="shared" si="574"/>
        <v>#DIV/0!</v>
      </c>
      <c r="AU630" s="497" t="e">
        <f t="shared" si="575"/>
        <v>#DIV/0!</v>
      </c>
      <c r="AV630" s="497" t="e">
        <f t="shared" si="576"/>
        <v>#DIV/0!</v>
      </c>
      <c r="AW630" s="497" t="e">
        <f t="shared" si="577"/>
        <v>#DIV/0!</v>
      </c>
      <c r="AX630" s="497" t="e">
        <f t="shared" si="578"/>
        <v>#DIV/0!</v>
      </c>
      <c r="AY630" s="486" t="e">
        <f t="shared" si="579"/>
        <v>#DIV/0!</v>
      </c>
      <c r="AZ630" s="497" t="e">
        <f t="shared" si="580"/>
        <v>#DIV/0!</v>
      </c>
      <c r="BA630" s="486" t="e">
        <f t="shared" si="569"/>
        <v>#DIV/0!</v>
      </c>
      <c r="BB630" s="494">
        <v>5155.41</v>
      </c>
      <c r="BC630" s="494">
        <v>2070.12</v>
      </c>
      <c r="BD630" s="494">
        <v>848.92</v>
      </c>
      <c r="BE630" s="494">
        <v>819.73</v>
      </c>
      <c r="BF630" s="494">
        <v>611.5</v>
      </c>
      <c r="BG630" s="494">
        <v>1080.04</v>
      </c>
      <c r="BH630" s="494">
        <v>2671800.0099999998</v>
      </c>
      <c r="BI630" s="494">
        <f t="shared" si="606"/>
        <v>4422.8500000000004</v>
      </c>
      <c r="BJ630" s="494">
        <v>14289.54</v>
      </c>
      <c r="BK630" s="494">
        <v>3389.61</v>
      </c>
      <c r="BL630" s="494">
        <v>5995.76</v>
      </c>
      <c r="BM630" s="494">
        <v>548.62</v>
      </c>
      <c r="BN630" s="493" t="e">
        <f t="shared" si="581"/>
        <v>#DIV/0!</v>
      </c>
      <c r="BO630" s="493" t="e">
        <f t="shared" si="582"/>
        <v>#DIV/0!</v>
      </c>
      <c r="BP630" s="493" t="e">
        <f t="shared" si="583"/>
        <v>#DIV/0!</v>
      </c>
      <c r="BQ630" s="493" t="e">
        <f t="shared" si="584"/>
        <v>#DIV/0!</v>
      </c>
      <c r="BR630" s="493" t="e">
        <f t="shared" si="585"/>
        <v>#DIV/0!</v>
      </c>
      <c r="BS630" s="493" t="e">
        <f t="shared" si="586"/>
        <v>#DIV/0!</v>
      </c>
      <c r="BT630" s="493" t="e">
        <f t="shared" si="587"/>
        <v>#DIV/0!</v>
      </c>
      <c r="BU630" s="493" t="e">
        <f t="shared" si="588"/>
        <v>#DIV/0!</v>
      </c>
      <c r="BV630" s="493" t="e">
        <f t="shared" si="589"/>
        <v>#DIV/0!</v>
      </c>
      <c r="BW630" s="493" t="e">
        <f t="shared" si="590"/>
        <v>#DIV/0!</v>
      </c>
      <c r="BX630" s="493" t="e">
        <f t="shared" si="591"/>
        <v>#DIV/0!</v>
      </c>
      <c r="BY630" s="493" t="e">
        <f t="shared" si="592"/>
        <v>#DIV/0!</v>
      </c>
    </row>
    <row r="631" spans="1:77" s="28" customFormat="1" ht="9" customHeight="1">
      <c r="A631" s="277">
        <v>221</v>
      </c>
      <c r="B631" s="277" t="s">
        <v>938</v>
      </c>
      <c r="C631" s="400">
        <v>493.7</v>
      </c>
      <c r="D631" s="376"/>
      <c r="E631" s="362" t="s">
        <v>1006</v>
      </c>
      <c r="F631" s="400"/>
      <c r="G631" s="400"/>
      <c r="H631" s="189">
        <v>1203048</v>
      </c>
      <c r="I631" s="407">
        <f t="shared" ref="I631" si="624">J631+L631+N631+P631+R631+T631</f>
        <v>0</v>
      </c>
      <c r="J631" s="217">
        <v>0</v>
      </c>
      <c r="K631" s="469">
        <v>0</v>
      </c>
      <c r="L631" s="217">
        <v>0</v>
      </c>
      <c r="M631" s="469">
        <v>0</v>
      </c>
      <c r="N631" s="217">
        <v>0</v>
      </c>
      <c r="O631" s="249">
        <v>0</v>
      </c>
      <c r="P631" s="407">
        <v>0</v>
      </c>
      <c r="Q631" s="249">
        <v>0</v>
      </c>
      <c r="R631" s="407">
        <v>0</v>
      </c>
      <c r="S631" s="249">
        <v>0</v>
      </c>
      <c r="T631" s="407">
        <v>0</v>
      </c>
      <c r="U631" s="130">
        <v>0</v>
      </c>
      <c r="V631" s="407">
        <v>0</v>
      </c>
      <c r="W631" s="25">
        <v>372</v>
      </c>
      <c r="X631" s="407">
        <f t="shared" ref="X631" si="625">ROUND(H631/100*95.5,2)</f>
        <v>1148910.8400000001</v>
      </c>
      <c r="Y631" s="410">
        <v>0</v>
      </c>
      <c r="Z631" s="410">
        <v>0</v>
      </c>
      <c r="AA631" s="410">
        <v>0</v>
      </c>
      <c r="AB631" s="410">
        <v>0</v>
      </c>
      <c r="AC631" s="410">
        <v>0</v>
      </c>
      <c r="AD631" s="410">
        <v>0</v>
      </c>
      <c r="AE631" s="410">
        <v>0</v>
      </c>
      <c r="AF631" s="410">
        <v>0</v>
      </c>
      <c r="AG631" s="410">
        <v>0</v>
      </c>
      <c r="AH631" s="410">
        <v>0</v>
      </c>
      <c r="AI631" s="410">
        <v>0</v>
      </c>
      <c r="AJ631" s="410">
        <f t="shared" ref="AJ631" si="626">ROUND(H631/100*3,2)</f>
        <v>36091.440000000002</v>
      </c>
      <c r="AK631" s="410">
        <f t="shared" ref="AK631" si="627">ROUND(H631/100*1.5,2)</f>
        <v>18045.72</v>
      </c>
      <c r="AL631" s="410">
        <v>0</v>
      </c>
      <c r="AM631" s="446"/>
      <c r="AN631" s="446"/>
      <c r="AP631" s="486" t="e">
        <f t="shared" si="568"/>
        <v>#DIV/0!</v>
      </c>
      <c r="AQ631" s="486" t="e">
        <f t="shared" si="571"/>
        <v>#DIV/0!</v>
      </c>
      <c r="AR631" s="486" t="e">
        <f t="shared" si="572"/>
        <v>#DIV/0!</v>
      </c>
      <c r="AS631" s="486" t="e">
        <f t="shared" si="573"/>
        <v>#DIV/0!</v>
      </c>
      <c r="AT631" s="486" t="e">
        <f t="shared" si="574"/>
        <v>#DIV/0!</v>
      </c>
      <c r="AU631" s="486" t="e">
        <f t="shared" si="575"/>
        <v>#DIV/0!</v>
      </c>
      <c r="AV631" s="486" t="e">
        <f t="shared" si="576"/>
        <v>#DIV/0!</v>
      </c>
      <c r="AW631" s="486">
        <f t="shared" si="577"/>
        <v>3088.4700000000003</v>
      </c>
      <c r="AX631" s="486" t="e">
        <f t="shared" si="578"/>
        <v>#DIV/0!</v>
      </c>
      <c r="AY631" s="486" t="e">
        <f t="shared" si="579"/>
        <v>#DIV/0!</v>
      </c>
      <c r="AZ631" s="486" t="e">
        <f t="shared" si="580"/>
        <v>#DIV/0!</v>
      </c>
      <c r="BA631" s="486">
        <f t="shared" si="569"/>
        <v>0</v>
      </c>
      <c r="BB631" s="494">
        <v>5155.41</v>
      </c>
      <c r="BC631" s="494">
        <v>2070.12</v>
      </c>
      <c r="BD631" s="494">
        <v>848.92</v>
      </c>
      <c r="BE631" s="494">
        <v>819.73</v>
      </c>
      <c r="BF631" s="494">
        <v>611.5</v>
      </c>
      <c r="BG631" s="494">
        <v>1080.04</v>
      </c>
      <c r="BH631" s="494">
        <v>2671800.0099999998</v>
      </c>
      <c r="BI631" s="494">
        <f t="shared" si="606"/>
        <v>4422.8500000000004</v>
      </c>
      <c r="BJ631" s="494">
        <v>14289.54</v>
      </c>
      <c r="BK631" s="494">
        <v>3389.61</v>
      </c>
      <c r="BL631" s="494">
        <v>5995.76</v>
      </c>
      <c r="BM631" s="494">
        <v>548.62</v>
      </c>
      <c r="BN631" s="495" t="e">
        <f t="shared" si="581"/>
        <v>#DIV/0!</v>
      </c>
      <c r="BO631" s="495" t="e">
        <f t="shared" si="582"/>
        <v>#DIV/0!</v>
      </c>
      <c r="BP631" s="495" t="e">
        <f t="shared" si="583"/>
        <v>#DIV/0!</v>
      </c>
      <c r="BQ631" s="495" t="e">
        <f t="shared" si="584"/>
        <v>#DIV/0!</v>
      </c>
      <c r="BR631" s="495" t="e">
        <f t="shared" si="585"/>
        <v>#DIV/0!</v>
      </c>
      <c r="BS631" s="495" t="e">
        <f t="shared" si="586"/>
        <v>#DIV/0!</v>
      </c>
      <c r="BT631" s="495" t="e">
        <f t="shared" si="587"/>
        <v>#DIV/0!</v>
      </c>
      <c r="BU631" s="495" t="str">
        <f t="shared" si="588"/>
        <v xml:space="preserve"> </v>
      </c>
      <c r="BV631" s="495" t="e">
        <f t="shared" si="589"/>
        <v>#DIV/0!</v>
      </c>
      <c r="BW631" s="495" t="e">
        <f t="shared" si="590"/>
        <v>#DIV/0!</v>
      </c>
      <c r="BX631" s="495" t="e">
        <f t="shared" si="591"/>
        <v>#DIV/0!</v>
      </c>
      <c r="BY631" s="495" t="str">
        <f t="shared" si="592"/>
        <v xml:space="preserve"> </v>
      </c>
    </row>
    <row r="632" spans="1:77" s="28" customFormat="1" ht="36.75" customHeight="1">
      <c r="A632" s="958" t="s">
        <v>939</v>
      </c>
      <c r="B632" s="958"/>
      <c r="C632" s="189">
        <f>SUM(C631)</f>
        <v>493.7</v>
      </c>
      <c r="D632" s="401"/>
      <c r="E632" s="189" t="s">
        <v>391</v>
      </c>
      <c r="F632" s="400"/>
      <c r="G632" s="400"/>
      <c r="H632" s="189">
        <f>SUM(H631)</f>
        <v>1203048</v>
      </c>
      <c r="I632" s="189">
        <f t="shared" ref="I632:AN632" si="628">SUM(I631)</f>
        <v>0</v>
      </c>
      <c r="J632" s="189">
        <f t="shared" si="628"/>
        <v>0</v>
      </c>
      <c r="K632" s="189">
        <f t="shared" si="628"/>
        <v>0</v>
      </c>
      <c r="L632" s="189">
        <f t="shared" si="628"/>
        <v>0</v>
      </c>
      <c r="M632" s="189">
        <f t="shared" si="628"/>
        <v>0</v>
      </c>
      <c r="N632" s="189">
        <f t="shared" si="628"/>
        <v>0</v>
      </c>
      <c r="O632" s="189">
        <f t="shared" si="628"/>
        <v>0</v>
      </c>
      <c r="P632" s="189">
        <f t="shared" si="628"/>
        <v>0</v>
      </c>
      <c r="Q632" s="189">
        <f t="shared" si="628"/>
        <v>0</v>
      </c>
      <c r="R632" s="189">
        <f t="shared" si="628"/>
        <v>0</v>
      </c>
      <c r="S632" s="189">
        <f t="shared" si="628"/>
        <v>0</v>
      </c>
      <c r="T632" s="189">
        <f t="shared" si="628"/>
        <v>0</v>
      </c>
      <c r="U632" s="219">
        <f t="shared" si="628"/>
        <v>0</v>
      </c>
      <c r="V632" s="189">
        <f t="shared" si="628"/>
        <v>0</v>
      </c>
      <c r="W632" s="189">
        <f t="shared" si="628"/>
        <v>372</v>
      </c>
      <c r="X632" s="189">
        <f t="shared" si="628"/>
        <v>1148910.8400000001</v>
      </c>
      <c r="Y632" s="189">
        <f t="shared" si="628"/>
        <v>0</v>
      </c>
      <c r="Z632" s="189">
        <f t="shared" si="628"/>
        <v>0</v>
      </c>
      <c r="AA632" s="189">
        <f t="shared" si="628"/>
        <v>0</v>
      </c>
      <c r="AB632" s="189">
        <f t="shared" si="628"/>
        <v>0</v>
      </c>
      <c r="AC632" s="189">
        <f t="shared" si="628"/>
        <v>0</v>
      </c>
      <c r="AD632" s="189">
        <f t="shared" si="628"/>
        <v>0</v>
      </c>
      <c r="AE632" s="189">
        <f t="shared" si="628"/>
        <v>0</v>
      </c>
      <c r="AF632" s="189">
        <f t="shared" si="628"/>
        <v>0</v>
      </c>
      <c r="AG632" s="189">
        <f t="shared" si="628"/>
        <v>0</v>
      </c>
      <c r="AH632" s="189">
        <f t="shared" si="628"/>
        <v>0</v>
      </c>
      <c r="AI632" s="189">
        <f t="shared" si="628"/>
        <v>0</v>
      </c>
      <c r="AJ632" s="189">
        <f t="shared" si="628"/>
        <v>36091.440000000002</v>
      </c>
      <c r="AK632" s="189">
        <f t="shared" si="628"/>
        <v>18045.72</v>
      </c>
      <c r="AL632" s="189">
        <f t="shared" si="628"/>
        <v>0</v>
      </c>
      <c r="AM632" s="189">
        <f t="shared" si="628"/>
        <v>0</v>
      </c>
      <c r="AN632" s="189">
        <f t="shared" si="628"/>
        <v>0</v>
      </c>
      <c r="AP632" s="486" t="e">
        <f t="shared" si="568"/>
        <v>#DIV/0!</v>
      </c>
      <c r="AQ632" s="486" t="e">
        <f t="shared" si="571"/>
        <v>#DIV/0!</v>
      </c>
      <c r="AR632" s="497" t="e">
        <f t="shared" si="572"/>
        <v>#DIV/0!</v>
      </c>
      <c r="AS632" s="497" t="e">
        <f t="shared" si="573"/>
        <v>#DIV/0!</v>
      </c>
      <c r="AT632" s="497" t="e">
        <f t="shared" si="574"/>
        <v>#DIV/0!</v>
      </c>
      <c r="AU632" s="497" t="e">
        <f t="shared" si="575"/>
        <v>#DIV/0!</v>
      </c>
      <c r="AV632" s="497" t="e">
        <f t="shared" si="576"/>
        <v>#DIV/0!</v>
      </c>
      <c r="AW632" s="497">
        <f t="shared" si="577"/>
        <v>3088.4700000000003</v>
      </c>
      <c r="AX632" s="497" t="e">
        <f t="shared" si="578"/>
        <v>#DIV/0!</v>
      </c>
      <c r="AY632" s="486" t="e">
        <f t="shared" si="579"/>
        <v>#DIV/0!</v>
      </c>
      <c r="AZ632" s="497" t="e">
        <f t="shared" si="580"/>
        <v>#DIV/0!</v>
      </c>
      <c r="BA632" s="486">
        <f t="shared" si="569"/>
        <v>0</v>
      </c>
      <c r="BB632" s="494">
        <v>5155.41</v>
      </c>
      <c r="BC632" s="494">
        <v>2070.12</v>
      </c>
      <c r="BD632" s="494">
        <v>848.92</v>
      </c>
      <c r="BE632" s="494">
        <v>819.73</v>
      </c>
      <c r="BF632" s="494">
        <v>611.5</v>
      </c>
      <c r="BG632" s="494">
        <v>1080.04</v>
      </c>
      <c r="BH632" s="494">
        <v>2671800.0099999998</v>
      </c>
      <c r="BI632" s="494">
        <f t="shared" si="606"/>
        <v>4422.8500000000004</v>
      </c>
      <c r="BJ632" s="494">
        <v>14289.54</v>
      </c>
      <c r="BK632" s="494">
        <v>3389.61</v>
      </c>
      <c r="BL632" s="494">
        <v>5995.76</v>
      </c>
      <c r="BM632" s="494">
        <v>548.62</v>
      </c>
      <c r="BN632" s="493" t="e">
        <f t="shared" si="581"/>
        <v>#DIV/0!</v>
      </c>
      <c r="BO632" s="493" t="e">
        <f t="shared" si="582"/>
        <v>#DIV/0!</v>
      </c>
      <c r="BP632" s="493" t="e">
        <f t="shared" si="583"/>
        <v>#DIV/0!</v>
      </c>
      <c r="BQ632" s="493" t="e">
        <f t="shared" si="584"/>
        <v>#DIV/0!</v>
      </c>
      <c r="BR632" s="493" t="e">
        <f t="shared" si="585"/>
        <v>#DIV/0!</v>
      </c>
      <c r="BS632" s="493" t="e">
        <f t="shared" si="586"/>
        <v>#DIV/0!</v>
      </c>
      <c r="BT632" s="493" t="e">
        <f t="shared" si="587"/>
        <v>#DIV/0!</v>
      </c>
      <c r="BU632" s="493" t="str">
        <f t="shared" si="588"/>
        <v xml:space="preserve"> </v>
      </c>
      <c r="BV632" s="493" t="e">
        <f t="shared" si="589"/>
        <v>#DIV/0!</v>
      </c>
      <c r="BW632" s="493" t="e">
        <f t="shared" si="590"/>
        <v>#DIV/0!</v>
      </c>
      <c r="BX632" s="493" t="e">
        <f t="shared" si="591"/>
        <v>#DIV/0!</v>
      </c>
      <c r="BY632" s="493" t="str">
        <f t="shared" si="592"/>
        <v xml:space="preserve"> </v>
      </c>
    </row>
    <row r="633" spans="1:77" s="28" customFormat="1" ht="12" customHeight="1">
      <c r="A633" s="837" t="s">
        <v>361</v>
      </c>
      <c r="B633" s="838"/>
      <c r="C633" s="838"/>
      <c r="D633" s="838"/>
      <c r="E633" s="838"/>
      <c r="F633" s="838"/>
      <c r="G633" s="838"/>
      <c r="H633" s="838"/>
      <c r="I633" s="838"/>
      <c r="J633" s="838"/>
      <c r="K633" s="838"/>
      <c r="L633" s="838"/>
      <c r="M633" s="838"/>
      <c r="N633" s="838"/>
      <c r="O633" s="838"/>
      <c r="P633" s="838"/>
      <c r="Q633" s="838"/>
      <c r="R633" s="838"/>
      <c r="S633" s="838"/>
      <c r="T633" s="838"/>
      <c r="U633" s="838"/>
      <c r="V633" s="838"/>
      <c r="W633" s="838"/>
      <c r="X633" s="838"/>
      <c r="Y633" s="838"/>
      <c r="Z633" s="838"/>
      <c r="AA633" s="838"/>
      <c r="AB633" s="838"/>
      <c r="AC633" s="838"/>
      <c r="AD633" s="838"/>
      <c r="AE633" s="838"/>
      <c r="AF633" s="838"/>
      <c r="AG633" s="838"/>
      <c r="AH633" s="838"/>
      <c r="AI633" s="838"/>
      <c r="AJ633" s="838"/>
      <c r="AK633" s="838"/>
      <c r="AL633" s="839"/>
      <c r="AM633" s="280"/>
      <c r="AN633" s="280"/>
      <c r="AP633" s="486" t="e">
        <f t="shared" si="568"/>
        <v>#DIV/0!</v>
      </c>
      <c r="AQ633" s="486" t="e">
        <f t="shared" si="571"/>
        <v>#DIV/0!</v>
      </c>
      <c r="AR633" s="497" t="e">
        <f t="shared" si="572"/>
        <v>#DIV/0!</v>
      </c>
      <c r="AS633" s="497" t="e">
        <f t="shared" si="573"/>
        <v>#DIV/0!</v>
      </c>
      <c r="AT633" s="497" t="e">
        <f t="shared" si="574"/>
        <v>#DIV/0!</v>
      </c>
      <c r="AU633" s="497" t="e">
        <f t="shared" si="575"/>
        <v>#DIV/0!</v>
      </c>
      <c r="AV633" s="497" t="e">
        <f t="shared" si="576"/>
        <v>#DIV/0!</v>
      </c>
      <c r="AW633" s="497" t="e">
        <f t="shared" si="577"/>
        <v>#DIV/0!</v>
      </c>
      <c r="AX633" s="497" t="e">
        <f t="shared" si="578"/>
        <v>#DIV/0!</v>
      </c>
      <c r="AY633" s="486" t="e">
        <f t="shared" si="579"/>
        <v>#DIV/0!</v>
      </c>
      <c r="AZ633" s="497" t="e">
        <f t="shared" si="580"/>
        <v>#DIV/0!</v>
      </c>
      <c r="BA633" s="486" t="e">
        <f t="shared" si="569"/>
        <v>#DIV/0!</v>
      </c>
      <c r="BB633" s="494">
        <v>5155.41</v>
      </c>
      <c r="BC633" s="494">
        <v>2070.12</v>
      </c>
      <c r="BD633" s="494">
        <v>848.92</v>
      </c>
      <c r="BE633" s="494">
        <v>819.73</v>
      </c>
      <c r="BF633" s="494">
        <v>611.5</v>
      </c>
      <c r="BG633" s="494">
        <v>1080.04</v>
      </c>
      <c r="BH633" s="494">
        <v>2671800.0099999998</v>
      </c>
      <c r="BI633" s="494">
        <f t="shared" si="606"/>
        <v>4422.8500000000004</v>
      </c>
      <c r="BJ633" s="494">
        <v>14289.54</v>
      </c>
      <c r="BK633" s="494">
        <v>3389.61</v>
      </c>
      <c r="BL633" s="494">
        <v>5995.76</v>
      </c>
      <c r="BM633" s="494">
        <v>548.62</v>
      </c>
      <c r="BN633" s="493" t="e">
        <f t="shared" si="581"/>
        <v>#DIV/0!</v>
      </c>
      <c r="BO633" s="493" t="e">
        <f t="shared" si="582"/>
        <v>#DIV/0!</v>
      </c>
      <c r="BP633" s="493" t="e">
        <f t="shared" si="583"/>
        <v>#DIV/0!</v>
      </c>
      <c r="BQ633" s="493" t="e">
        <f t="shared" si="584"/>
        <v>#DIV/0!</v>
      </c>
      <c r="BR633" s="493" t="e">
        <f t="shared" si="585"/>
        <v>#DIV/0!</v>
      </c>
      <c r="BS633" s="493" t="e">
        <f t="shared" si="586"/>
        <v>#DIV/0!</v>
      </c>
      <c r="BT633" s="493" t="e">
        <f t="shared" si="587"/>
        <v>#DIV/0!</v>
      </c>
      <c r="BU633" s="493" t="e">
        <f t="shared" si="588"/>
        <v>#DIV/0!</v>
      </c>
      <c r="BV633" s="493" t="e">
        <f t="shared" si="589"/>
        <v>#DIV/0!</v>
      </c>
      <c r="BW633" s="493" t="e">
        <f t="shared" si="590"/>
        <v>#DIV/0!</v>
      </c>
      <c r="BX633" s="493" t="e">
        <f t="shared" si="591"/>
        <v>#DIV/0!</v>
      </c>
      <c r="BY633" s="493" t="e">
        <f t="shared" si="592"/>
        <v>#DIV/0!</v>
      </c>
    </row>
    <row r="634" spans="1:77" s="28" customFormat="1" ht="9" customHeight="1">
      <c r="A634" s="278">
        <v>222</v>
      </c>
      <c r="B634" s="156" t="s">
        <v>1031</v>
      </c>
      <c r="C634" s="249">
        <v>876.1</v>
      </c>
      <c r="D634" s="376"/>
      <c r="E634" s="362" t="s">
        <v>1006</v>
      </c>
      <c r="F634" s="249"/>
      <c r="G634" s="249"/>
      <c r="H634" s="407">
        <v>3027024</v>
      </c>
      <c r="I634" s="407">
        <f t="shared" ref="I634:I635" si="629">J634+L634+N634+P634+R634+T634</f>
        <v>0</v>
      </c>
      <c r="J634" s="217">
        <v>0</v>
      </c>
      <c r="K634" s="469">
        <v>0</v>
      </c>
      <c r="L634" s="217">
        <v>0</v>
      </c>
      <c r="M634" s="469">
        <v>0</v>
      </c>
      <c r="N634" s="217">
        <v>0</v>
      </c>
      <c r="O634" s="249">
        <v>0</v>
      </c>
      <c r="P634" s="407">
        <v>0</v>
      </c>
      <c r="Q634" s="249">
        <v>0</v>
      </c>
      <c r="R634" s="407">
        <v>0</v>
      </c>
      <c r="S634" s="249">
        <v>0</v>
      </c>
      <c r="T634" s="407">
        <v>0</v>
      </c>
      <c r="U634" s="130">
        <v>0</v>
      </c>
      <c r="V634" s="407">
        <v>0</v>
      </c>
      <c r="W634" s="410">
        <v>936</v>
      </c>
      <c r="X634" s="407">
        <f t="shared" ref="X634:X635" si="630">ROUND(H634/100*95.5,2)</f>
        <v>2890807.92</v>
      </c>
      <c r="Y634" s="410">
        <v>0</v>
      </c>
      <c r="Z634" s="410">
        <v>0</v>
      </c>
      <c r="AA634" s="410">
        <v>0</v>
      </c>
      <c r="AB634" s="410">
        <v>0</v>
      </c>
      <c r="AC634" s="410">
        <v>0</v>
      </c>
      <c r="AD634" s="410">
        <v>0</v>
      </c>
      <c r="AE634" s="410">
        <v>0</v>
      </c>
      <c r="AF634" s="410">
        <v>0</v>
      </c>
      <c r="AG634" s="410">
        <v>0</v>
      </c>
      <c r="AH634" s="410">
        <v>0</v>
      </c>
      <c r="AI634" s="410">
        <v>0</v>
      </c>
      <c r="AJ634" s="410">
        <f t="shared" ref="AJ634:AJ635" si="631">ROUND(H634/100*3,2)</f>
        <v>90810.72</v>
      </c>
      <c r="AK634" s="410">
        <f t="shared" ref="AK634:AK635" si="632">ROUND(H634/100*1.5,2)</f>
        <v>45405.36</v>
      </c>
      <c r="AL634" s="410">
        <v>0</v>
      </c>
      <c r="AM634" s="446"/>
      <c r="AN634" s="446"/>
      <c r="AP634" s="486" t="e">
        <f t="shared" si="568"/>
        <v>#DIV/0!</v>
      </c>
      <c r="AQ634" s="486" t="e">
        <f t="shared" si="571"/>
        <v>#DIV/0!</v>
      </c>
      <c r="AR634" s="486" t="e">
        <f t="shared" si="572"/>
        <v>#DIV/0!</v>
      </c>
      <c r="AS634" s="486" t="e">
        <f t="shared" si="573"/>
        <v>#DIV/0!</v>
      </c>
      <c r="AT634" s="486" t="e">
        <f t="shared" si="574"/>
        <v>#DIV/0!</v>
      </c>
      <c r="AU634" s="486" t="e">
        <f t="shared" si="575"/>
        <v>#DIV/0!</v>
      </c>
      <c r="AV634" s="486" t="e">
        <f t="shared" si="576"/>
        <v>#DIV/0!</v>
      </c>
      <c r="AW634" s="486">
        <f t="shared" si="577"/>
        <v>3088.47</v>
      </c>
      <c r="AX634" s="486" t="e">
        <f t="shared" si="578"/>
        <v>#DIV/0!</v>
      </c>
      <c r="AY634" s="486" t="e">
        <f t="shared" si="579"/>
        <v>#DIV/0!</v>
      </c>
      <c r="AZ634" s="486" t="e">
        <f t="shared" si="580"/>
        <v>#DIV/0!</v>
      </c>
      <c r="BA634" s="486">
        <f t="shared" si="569"/>
        <v>0</v>
      </c>
      <c r="BB634" s="494">
        <v>5155.41</v>
      </c>
      <c r="BC634" s="494">
        <v>2070.12</v>
      </c>
      <c r="BD634" s="494">
        <v>848.92</v>
      </c>
      <c r="BE634" s="494">
        <v>819.73</v>
      </c>
      <c r="BF634" s="494">
        <v>611.5</v>
      </c>
      <c r="BG634" s="494">
        <v>1080.04</v>
      </c>
      <c r="BH634" s="494">
        <v>2671800.0099999998</v>
      </c>
      <c r="BI634" s="494">
        <f t="shared" si="606"/>
        <v>4422.8500000000004</v>
      </c>
      <c r="BJ634" s="494">
        <v>14289.54</v>
      </c>
      <c r="BK634" s="494">
        <v>3389.61</v>
      </c>
      <c r="BL634" s="494">
        <v>5995.76</v>
      </c>
      <c r="BM634" s="494">
        <v>548.62</v>
      </c>
      <c r="BN634" s="495" t="e">
        <f t="shared" si="581"/>
        <v>#DIV/0!</v>
      </c>
      <c r="BO634" s="495" t="e">
        <f t="shared" si="582"/>
        <v>#DIV/0!</v>
      </c>
      <c r="BP634" s="495" t="e">
        <f t="shared" si="583"/>
        <v>#DIV/0!</v>
      </c>
      <c r="BQ634" s="495" t="e">
        <f t="shared" si="584"/>
        <v>#DIV/0!</v>
      </c>
      <c r="BR634" s="495" t="e">
        <f t="shared" si="585"/>
        <v>#DIV/0!</v>
      </c>
      <c r="BS634" s="495" t="e">
        <f t="shared" si="586"/>
        <v>#DIV/0!</v>
      </c>
      <c r="BT634" s="495" t="e">
        <f t="shared" si="587"/>
        <v>#DIV/0!</v>
      </c>
      <c r="BU634" s="495" t="str">
        <f t="shared" si="588"/>
        <v xml:space="preserve"> </v>
      </c>
      <c r="BV634" s="495" t="e">
        <f t="shared" si="589"/>
        <v>#DIV/0!</v>
      </c>
      <c r="BW634" s="495" t="e">
        <f t="shared" si="590"/>
        <v>#DIV/0!</v>
      </c>
      <c r="BX634" s="495" t="e">
        <f t="shared" si="591"/>
        <v>#DIV/0!</v>
      </c>
      <c r="BY634" s="495" t="str">
        <f t="shared" si="592"/>
        <v xml:space="preserve"> </v>
      </c>
    </row>
    <row r="635" spans="1:77" s="28" customFormat="1" ht="9" customHeight="1">
      <c r="A635" s="278">
        <v>223</v>
      </c>
      <c r="B635" s="156" t="s">
        <v>1032</v>
      </c>
      <c r="C635" s="249">
        <v>504.53</v>
      </c>
      <c r="D635" s="376"/>
      <c r="E635" s="362" t="s">
        <v>1006</v>
      </c>
      <c r="F635" s="249"/>
      <c r="G635" s="249"/>
      <c r="H635" s="407">
        <v>1649340</v>
      </c>
      <c r="I635" s="407">
        <f t="shared" si="629"/>
        <v>0</v>
      </c>
      <c r="J635" s="217">
        <v>0</v>
      </c>
      <c r="K635" s="469">
        <v>0</v>
      </c>
      <c r="L635" s="217">
        <v>0</v>
      </c>
      <c r="M635" s="469">
        <v>0</v>
      </c>
      <c r="N635" s="217">
        <v>0</v>
      </c>
      <c r="O635" s="249">
        <v>0</v>
      </c>
      <c r="P635" s="407">
        <v>0</v>
      </c>
      <c r="Q635" s="249">
        <v>0</v>
      </c>
      <c r="R635" s="407">
        <v>0</v>
      </c>
      <c r="S635" s="249">
        <v>0</v>
      </c>
      <c r="T635" s="407">
        <v>0</v>
      </c>
      <c r="U635" s="130">
        <v>0</v>
      </c>
      <c r="V635" s="407">
        <v>0</v>
      </c>
      <c r="W635" s="410">
        <v>510</v>
      </c>
      <c r="X635" s="407">
        <f t="shared" si="630"/>
        <v>1575119.7</v>
      </c>
      <c r="Y635" s="410">
        <v>0</v>
      </c>
      <c r="Z635" s="410">
        <v>0</v>
      </c>
      <c r="AA635" s="410">
        <v>0</v>
      </c>
      <c r="AB635" s="410">
        <v>0</v>
      </c>
      <c r="AC635" s="410">
        <v>0</v>
      </c>
      <c r="AD635" s="410">
        <v>0</v>
      </c>
      <c r="AE635" s="410">
        <v>0</v>
      </c>
      <c r="AF635" s="410">
        <v>0</v>
      </c>
      <c r="AG635" s="410">
        <v>0</v>
      </c>
      <c r="AH635" s="410">
        <v>0</v>
      </c>
      <c r="AI635" s="410">
        <v>0</v>
      </c>
      <c r="AJ635" s="410">
        <f t="shared" si="631"/>
        <v>49480.2</v>
      </c>
      <c r="AK635" s="410">
        <f t="shared" si="632"/>
        <v>24740.1</v>
      </c>
      <c r="AL635" s="410">
        <v>0</v>
      </c>
      <c r="AM635" s="446"/>
      <c r="AN635" s="446"/>
      <c r="AP635" s="486" t="e">
        <f t="shared" si="568"/>
        <v>#DIV/0!</v>
      </c>
      <c r="AQ635" s="486" t="e">
        <f t="shared" si="571"/>
        <v>#DIV/0!</v>
      </c>
      <c r="AR635" s="486" t="e">
        <f t="shared" si="572"/>
        <v>#DIV/0!</v>
      </c>
      <c r="AS635" s="486" t="e">
        <f t="shared" si="573"/>
        <v>#DIV/0!</v>
      </c>
      <c r="AT635" s="486" t="e">
        <f t="shared" si="574"/>
        <v>#DIV/0!</v>
      </c>
      <c r="AU635" s="486" t="e">
        <f t="shared" si="575"/>
        <v>#DIV/0!</v>
      </c>
      <c r="AV635" s="486" t="e">
        <f t="shared" si="576"/>
        <v>#DIV/0!</v>
      </c>
      <c r="AW635" s="486">
        <f t="shared" si="577"/>
        <v>3088.47</v>
      </c>
      <c r="AX635" s="486" t="e">
        <f t="shared" si="578"/>
        <v>#DIV/0!</v>
      </c>
      <c r="AY635" s="486" t="e">
        <f t="shared" si="579"/>
        <v>#DIV/0!</v>
      </c>
      <c r="AZ635" s="486" t="e">
        <f t="shared" si="580"/>
        <v>#DIV/0!</v>
      </c>
      <c r="BA635" s="486">
        <f t="shared" si="569"/>
        <v>0</v>
      </c>
      <c r="BB635" s="494">
        <v>5155.41</v>
      </c>
      <c r="BC635" s="494">
        <v>2070.12</v>
      </c>
      <c r="BD635" s="494">
        <v>848.92</v>
      </c>
      <c r="BE635" s="494">
        <v>819.73</v>
      </c>
      <c r="BF635" s="494">
        <v>611.5</v>
      </c>
      <c r="BG635" s="494">
        <v>1080.04</v>
      </c>
      <c r="BH635" s="494">
        <v>2671800.0099999998</v>
      </c>
      <c r="BI635" s="494">
        <f t="shared" si="606"/>
        <v>4422.8500000000004</v>
      </c>
      <c r="BJ635" s="494">
        <v>14289.54</v>
      </c>
      <c r="BK635" s="494">
        <v>3389.61</v>
      </c>
      <c r="BL635" s="494">
        <v>5995.76</v>
      </c>
      <c r="BM635" s="494">
        <v>548.62</v>
      </c>
      <c r="BN635" s="495" t="e">
        <f t="shared" si="581"/>
        <v>#DIV/0!</v>
      </c>
      <c r="BO635" s="495" t="e">
        <f t="shared" si="582"/>
        <v>#DIV/0!</v>
      </c>
      <c r="BP635" s="495" t="e">
        <f t="shared" si="583"/>
        <v>#DIV/0!</v>
      </c>
      <c r="BQ635" s="495" t="e">
        <f t="shared" si="584"/>
        <v>#DIV/0!</v>
      </c>
      <c r="BR635" s="495" t="e">
        <f t="shared" si="585"/>
        <v>#DIV/0!</v>
      </c>
      <c r="BS635" s="495" t="e">
        <f t="shared" si="586"/>
        <v>#DIV/0!</v>
      </c>
      <c r="BT635" s="495" t="e">
        <f t="shared" si="587"/>
        <v>#DIV/0!</v>
      </c>
      <c r="BU635" s="495" t="str">
        <f t="shared" si="588"/>
        <v xml:space="preserve"> </v>
      </c>
      <c r="BV635" s="495" t="e">
        <f t="shared" si="589"/>
        <v>#DIV/0!</v>
      </c>
      <c r="BW635" s="495" t="e">
        <f t="shared" si="590"/>
        <v>#DIV/0!</v>
      </c>
      <c r="BX635" s="495" t="e">
        <f t="shared" si="591"/>
        <v>#DIV/0!</v>
      </c>
      <c r="BY635" s="495" t="str">
        <f t="shared" si="592"/>
        <v xml:space="preserve"> </v>
      </c>
    </row>
    <row r="636" spans="1:77" s="28" customFormat="1" ht="35.25" customHeight="1">
      <c r="A636" s="954" t="s">
        <v>450</v>
      </c>
      <c r="B636" s="954"/>
      <c r="C636" s="407">
        <f>SUM(C634:C635)</f>
        <v>1380.63</v>
      </c>
      <c r="D636" s="396"/>
      <c r="E636" s="362" t="s">
        <v>391</v>
      </c>
      <c r="F636" s="374"/>
      <c r="G636" s="374"/>
      <c r="H636" s="407">
        <f>SUM(H634:H635)</f>
        <v>4676364</v>
      </c>
      <c r="I636" s="407">
        <f t="shared" ref="I636:AN636" si="633">SUM(I634:I635)</f>
        <v>0</v>
      </c>
      <c r="J636" s="407">
        <f t="shared" si="633"/>
        <v>0</v>
      </c>
      <c r="K636" s="407">
        <f t="shared" si="633"/>
        <v>0</v>
      </c>
      <c r="L636" s="407">
        <f t="shared" si="633"/>
        <v>0</v>
      </c>
      <c r="M636" s="407">
        <f t="shared" si="633"/>
        <v>0</v>
      </c>
      <c r="N636" s="407">
        <f t="shared" si="633"/>
        <v>0</v>
      </c>
      <c r="O636" s="407">
        <f t="shared" si="633"/>
        <v>0</v>
      </c>
      <c r="P636" s="407">
        <f t="shared" si="633"/>
        <v>0</v>
      </c>
      <c r="Q636" s="407">
        <f t="shared" si="633"/>
        <v>0</v>
      </c>
      <c r="R636" s="407">
        <f t="shared" si="633"/>
        <v>0</v>
      </c>
      <c r="S636" s="407">
        <f t="shared" si="633"/>
        <v>0</v>
      </c>
      <c r="T636" s="407">
        <f t="shared" si="633"/>
        <v>0</v>
      </c>
      <c r="U636" s="130">
        <f t="shared" si="633"/>
        <v>0</v>
      </c>
      <c r="V636" s="407">
        <f t="shared" si="633"/>
        <v>0</v>
      </c>
      <c r="W636" s="407">
        <f t="shared" si="633"/>
        <v>1446</v>
      </c>
      <c r="X636" s="407">
        <f t="shared" si="633"/>
        <v>4465927.62</v>
      </c>
      <c r="Y636" s="407">
        <f t="shared" si="633"/>
        <v>0</v>
      </c>
      <c r="Z636" s="407">
        <f t="shared" si="633"/>
        <v>0</v>
      </c>
      <c r="AA636" s="407">
        <f t="shared" si="633"/>
        <v>0</v>
      </c>
      <c r="AB636" s="407">
        <f t="shared" si="633"/>
        <v>0</v>
      </c>
      <c r="AC636" s="407">
        <f t="shared" si="633"/>
        <v>0</v>
      </c>
      <c r="AD636" s="407">
        <f t="shared" si="633"/>
        <v>0</v>
      </c>
      <c r="AE636" s="407">
        <f t="shared" si="633"/>
        <v>0</v>
      </c>
      <c r="AF636" s="407">
        <f t="shared" si="633"/>
        <v>0</v>
      </c>
      <c r="AG636" s="407">
        <f t="shared" si="633"/>
        <v>0</v>
      </c>
      <c r="AH636" s="407">
        <f t="shared" si="633"/>
        <v>0</v>
      </c>
      <c r="AI636" s="407">
        <f t="shared" si="633"/>
        <v>0</v>
      </c>
      <c r="AJ636" s="407">
        <f t="shared" si="633"/>
        <v>140290.91999999998</v>
      </c>
      <c r="AK636" s="407">
        <f t="shared" si="633"/>
        <v>70145.459999999992</v>
      </c>
      <c r="AL636" s="407">
        <f t="shared" si="633"/>
        <v>0</v>
      </c>
      <c r="AM636" s="407">
        <f t="shared" si="633"/>
        <v>0</v>
      </c>
      <c r="AN636" s="407">
        <f t="shared" si="633"/>
        <v>0</v>
      </c>
      <c r="AP636" s="486" t="e">
        <f t="shared" si="568"/>
        <v>#DIV/0!</v>
      </c>
      <c r="AQ636" s="486" t="e">
        <f t="shared" si="571"/>
        <v>#DIV/0!</v>
      </c>
      <c r="AR636" s="497" t="e">
        <f t="shared" si="572"/>
        <v>#DIV/0!</v>
      </c>
      <c r="AS636" s="497" t="e">
        <f t="shared" si="573"/>
        <v>#DIV/0!</v>
      </c>
      <c r="AT636" s="497" t="e">
        <f t="shared" si="574"/>
        <v>#DIV/0!</v>
      </c>
      <c r="AU636" s="497" t="e">
        <f t="shared" si="575"/>
        <v>#DIV/0!</v>
      </c>
      <c r="AV636" s="497" t="e">
        <f t="shared" si="576"/>
        <v>#DIV/0!</v>
      </c>
      <c r="AW636" s="497">
        <f t="shared" si="577"/>
        <v>3088.4700000000003</v>
      </c>
      <c r="AX636" s="497" t="e">
        <f t="shared" si="578"/>
        <v>#DIV/0!</v>
      </c>
      <c r="AY636" s="486" t="e">
        <f t="shared" si="579"/>
        <v>#DIV/0!</v>
      </c>
      <c r="AZ636" s="497" t="e">
        <f t="shared" si="580"/>
        <v>#DIV/0!</v>
      </c>
      <c r="BA636" s="486">
        <f t="shared" si="569"/>
        <v>0</v>
      </c>
      <c r="BB636" s="494">
        <v>5155.41</v>
      </c>
      <c r="BC636" s="494">
        <v>2070.12</v>
      </c>
      <c r="BD636" s="494">
        <v>848.92</v>
      </c>
      <c r="BE636" s="494">
        <v>819.73</v>
      </c>
      <c r="BF636" s="494">
        <v>611.5</v>
      </c>
      <c r="BG636" s="494">
        <v>1080.04</v>
      </c>
      <c r="BH636" s="494">
        <v>2671800.0099999998</v>
      </c>
      <c r="BI636" s="494">
        <f t="shared" si="606"/>
        <v>4422.8500000000004</v>
      </c>
      <c r="BJ636" s="494">
        <v>14289.54</v>
      </c>
      <c r="BK636" s="494">
        <v>3389.61</v>
      </c>
      <c r="BL636" s="494">
        <v>5995.76</v>
      </c>
      <c r="BM636" s="494">
        <v>548.62</v>
      </c>
      <c r="BN636" s="493" t="e">
        <f t="shared" si="581"/>
        <v>#DIV/0!</v>
      </c>
      <c r="BO636" s="493" t="e">
        <f t="shared" si="582"/>
        <v>#DIV/0!</v>
      </c>
      <c r="BP636" s="493" t="e">
        <f t="shared" si="583"/>
        <v>#DIV/0!</v>
      </c>
      <c r="BQ636" s="493" t="e">
        <f t="shared" si="584"/>
        <v>#DIV/0!</v>
      </c>
      <c r="BR636" s="493" t="e">
        <f t="shared" si="585"/>
        <v>#DIV/0!</v>
      </c>
      <c r="BS636" s="493" t="e">
        <f t="shared" si="586"/>
        <v>#DIV/0!</v>
      </c>
      <c r="BT636" s="493" t="e">
        <f t="shared" si="587"/>
        <v>#DIV/0!</v>
      </c>
      <c r="BU636" s="493" t="str">
        <f t="shared" si="588"/>
        <v xml:space="preserve"> </v>
      </c>
      <c r="BV636" s="493" t="e">
        <f t="shared" si="589"/>
        <v>#DIV/0!</v>
      </c>
      <c r="BW636" s="493" t="e">
        <f t="shared" si="590"/>
        <v>#DIV/0!</v>
      </c>
      <c r="BX636" s="493" t="e">
        <f t="shared" si="591"/>
        <v>#DIV/0!</v>
      </c>
      <c r="BY636" s="493" t="str">
        <f t="shared" si="592"/>
        <v xml:space="preserve"> </v>
      </c>
    </row>
    <row r="637" spans="1:77" s="28" customFormat="1" ht="12.75" customHeight="1">
      <c r="A637" s="837" t="s">
        <v>431</v>
      </c>
      <c r="B637" s="838"/>
      <c r="C637" s="838"/>
      <c r="D637" s="838"/>
      <c r="E637" s="838"/>
      <c r="F637" s="838"/>
      <c r="G637" s="838"/>
      <c r="H637" s="838"/>
      <c r="I637" s="838"/>
      <c r="J637" s="838"/>
      <c r="K637" s="838"/>
      <c r="L637" s="838"/>
      <c r="M637" s="838"/>
      <c r="N637" s="838"/>
      <c r="O637" s="838"/>
      <c r="P637" s="838"/>
      <c r="Q637" s="838"/>
      <c r="R637" s="838"/>
      <c r="S637" s="838"/>
      <c r="T637" s="838"/>
      <c r="U637" s="838"/>
      <c r="V637" s="838"/>
      <c r="W637" s="838"/>
      <c r="X637" s="838"/>
      <c r="Y637" s="838"/>
      <c r="Z637" s="838"/>
      <c r="AA637" s="838"/>
      <c r="AB637" s="838"/>
      <c r="AC637" s="838"/>
      <c r="AD637" s="838"/>
      <c r="AE637" s="838"/>
      <c r="AF637" s="838"/>
      <c r="AG637" s="838"/>
      <c r="AH637" s="838"/>
      <c r="AI637" s="838"/>
      <c r="AJ637" s="838"/>
      <c r="AK637" s="838"/>
      <c r="AL637" s="839"/>
      <c r="AM637" s="280"/>
      <c r="AN637" s="280"/>
      <c r="AP637" s="486" t="e">
        <f t="shared" si="568"/>
        <v>#DIV/0!</v>
      </c>
      <c r="AQ637" s="486" t="e">
        <f t="shared" si="571"/>
        <v>#DIV/0!</v>
      </c>
      <c r="AR637" s="497" t="e">
        <f t="shared" si="572"/>
        <v>#DIV/0!</v>
      </c>
      <c r="AS637" s="497" t="e">
        <f t="shared" si="573"/>
        <v>#DIV/0!</v>
      </c>
      <c r="AT637" s="497" t="e">
        <f t="shared" si="574"/>
        <v>#DIV/0!</v>
      </c>
      <c r="AU637" s="497" t="e">
        <f t="shared" si="575"/>
        <v>#DIV/0!</v>
      </c>
      <c r="AV637" s="497" t="e">
        <f t="shared" si="576"/>
        <v>#DIV/0!</v>
      </c>
      <c r="AW637" s="497" t="e">
        <f t="shared" si="577"/>
        <v>#DIV/0!</v>
      </c>
      <c r="AX637" s="497" t="e">
        <f t="shared" si="578"/>
        <v>#DIV/0!</v>
      </c>
      <c r="AY637" s="486" t="e">
        <f t="shared" si="579"/>
        <v>#DIV/0!</v>
      </c>
      <c r="AZ637" s="497" t="e">
        <f t="shared" si="580"/>
        <v>#DIV/0!</v>
      </c>
      <c r="BA637" s="486" t="e">
        <f t="shared" si="569"/>
        <v>#DIV/0!</v>
      </c>
      <c r="BB637" s="494">
        <v>5155.41</v>
      </c>
      <c r="BC637" s="494">
        <v>2070.12</v>
      </c>
      <c r="BD637" s="494">
        <v>848.92</v>
      </c>
      <c r="BE637" s="494">
        <v>819.73</v>
      </c>
      <c r="BF637" s="494">
        <v>611.5</v>
      </c>
      <c r="BG637" s="494">
        <v>1080.04</v>
      </c>
      <c r="BH637" s="494">
        <v>2671800.0099999998</v>
      </c>
      <c r="BI637" s="494">
        <f t="shared" si="606"/>
        <v>4422.8500000000004</v>
      </c>
      <c r="BJ637" s="494">
        <v>14289.54</v>
      </c>
      <c r="BK637" s="494">
        <v>3389.61</v>
      </c>
      <c r="BL637" s="494">
        <v>5995.76</v>
      </c>
      <c r="BM637" s="494">
        <v>548.62</v>
      </c>
      <c r="BN637" s="493" t="e">
        <f t="shared" si="581"/>
        <v>#DIV/0!</v>
      </c>
      <c r="BO637" s="493" t="e">
        <f t="shared" si="582"/>
        <v>#DIV/0!</v>
      </c>
      <c r="BP637" s="493" t="e">
        <f t="shared" si="583"/>
        <v>#DIV/0!</v>
      </c>
      <c r="BQ637" s="493" t="e">
        <f t="shared" si="584"/>
        <v>#DIV/0!</v>
      </c>
      <c r="BR637" s="493" t="e">
        <f t="shared" si="585"/>
        <v>#DIV/0!</v>
      </c>
      <c r="BS637" s="493" t="e">
        <f t="shared" si="586"/>
        <v>#DIV/0!</v>
      </c>
      <c r="BT637" s="493" t="e">
        <f t="shared" si="587"/>
        <v>#DIV/0!</v>
      </c>
      <c r="BU637" s="493" t="e">
        <f t="shared" si="588"/>
        <v>#DIV/0!</v>
      </c>
      <c r="BV637" s="493" t="e">
        <f t="shared" si="589"/>
        <v>#DIV/0!</v>
      </c>
      <c r="BW637" s="493" t="e">
        <f t="shared" si="590"/>
        <v>#DIV/0!</v>
      </c>
      <c r="BX637" s="493" t="e">
        <f t="shared" si="591"/>
        <v>#DIV/0!</v>
      </c>
      <c r="BY637" s="493" t="e">
        <f t="shared" si="592"/>
        <v>#DIV/0!</v>
      </c>
    </row>
    <row r="638" spans="1:77" s="28" customFormat="1" ht="9" customHeight="1">
      <c r="A638" s="278">
        <v>224</v>
      </c>
      <c r="B638" s="156" t="s">
        <v>942</v>
      </c>
      <c r="C638" s="249">
        <v>370.4</v>
      </c>
      <c r="D638" s="376"/>
      <c r="E638" s="362" t="s">
        <v>1006</v>
      </c>
      <c r="F638" s="249"/>
      <c r="G638" s="249"/>
      <c r="H638" s="407">
        <v>1002216.6</v>
      </c>
      <c r="I638" s="407">
        <f t="shared" ref="I638:I639" si="634">J638+L638+N638+P638+R638+T638</f>
        <v>0</v>
      </c>
      <c r="J638" s="217">
        <v>0</v>
      </c>
      <c r="K638" s="469">
        <v>0</v>
      </c>
      <c r="L638" s="217">
        <v>0</v>
      </c>
      <c r="M638" s="469">
        <v>0</v>
      </c>
      <c r="N638" s="217">
        <v>0</v>
      </c>
      <c r="O638" s="249">
        <v>0</v>
      </c>
      <c r="P638" s="407">
        <v>0</v>
      </c>
      <c r="Q638" s="249">
        <v>0</v>
      </c>
      <c r="R638" s="407">
        <v>0</v>
      </c>
      <c r="S638" s="249">
        <v>0</v>
      </c>
      <c r="T638" s="407">
        <v>0</v>
      </c>
      <c r="U638" s="130">
        <v>0</v>
      </c>
      <c r="V638" s="407">
        <v>0</v>
      </c>
      <c r="W638" s="410">
        <v>309.89999999999998</v>
      </c>
      <c r="X638" s="407">
        <f t="shared" ref="X638:X639" si="635">ROUND(H638/100*95.5,2)</f>
        <v>957116.85</v>
      </c>
      <c r="Y638" s="410">
        <v>0</v>
      </c>
      <c r="Z638" s="410">
        <v>0</v>
      </c>
      <c r="AA638" s="410">
        <v>0</v>
      </c>
      <c r="AB638" s="410">
        <v>0</v>
      </c>
      <c r="AC638" s="410">
        <v>0</v>
      </c>
      <c r="AD638" s="410">
        <v>0</v>
      </c>
      <c r="AE638" s="410">
        <v>0</v>
      </c>
      <c r="AF638" s="410">
        <v>0</v>
      </c>
      <c r="AG638" s="410">
        <v>0</v>
      </c>
      <c r="AH638" s="410">
        <v>0</v>
      </c>
      <c r="AI638" s="410">
        <v>0</v>
      </c>
      <c r="AJ638" s="410">
        <f t="shared" ref="AJ638:AJ639" si="636">ROUND(H638/100*3,2)</f>
        <v>30066.5</v>
      </c>
      <c r="AK638" s="410">
        <f t="shared" ref="AK638:AK639" si="637">ROUND(H638/100*1.5,2)</f>
        <v>15033.25</v>
      </c>
      <c r="AL638" s="410">
        <v>0</v>
      </c>
      <c r="AM638" s="446"/>
      <c r="AN638" s="446"/>
      <c r="AP638" s="486" t="e">
        <f t="shared" si="568"/>
        <v>#DIV/0!</v>
      </c>
      <c r="AQ638" s="486" t="e">
        <f t="shared" si="571"/>
        <v>#DIV/0!</v>
      </c>
      <c r="AR638" s="486" t="e">
        <f t="shared" si="572"/>
        <v>#DIV/0!</v>
      </c>
      <c r="AS638" s="486" t="e">
        <f t="shared" si="573"/>
        <v>#DIV/0!</v>
      </c>
      <c r="AT638" s="486" t="e">
        <f t="shared" si="574"/>
        <v>#DIV/0!</v>
      </c>
      <c r="AU638" s="486" t="e">
        <f t="shared" si="575"/>
        <v>#DIV/0!</v>
      </c>
      <c r="AV638" s="486" t="e">
        <f t="shared" si="576"/>
        <v>#DIV/0!</v>
      </c>
      <c r="AW638" s="486">
        <f t="shared" si="577"/>
        <v>3088.4699903194582</v>
      </c>
      <c r="AX638" s="486" t="e">
        <f t="shared" si="578"/>
        <v>#DIV/0!</v>
      </c>
      <c r="AY638" s="486" t="e">
        <f t="shared" si="579"/>
        <v>#DIV/0!</v>
      </c>
      <c r="AZ638" s="486" t="e">
        <f t="shared" si="580"/>
        <v>#DIV/0!</v>
      </c>
      <c r="BA638" s="486">
        <f t="shared" si="569"/>
        <v>0</v>
      </c>
      <c r="BB638" s="494">
        <v>5155.41</v>
      </c>
      <c r="BC638" s="494">
        <v>2070.12</v>
      </c>
      <c r="BD638" s="494">
        <v>848.92</v>
      </c>
      <c r="BE638" s="494">
        <v>819.73</v>
      </c>
      <c r="BF638" s="494">
        <v>611.5</v>
      </c>
      <c r="BG638" s="494">
        <v>1080.04</v>
      </c>
      <c r="BH638" s="494">
        <v>2671800.0099999998</v>
      </c>
      <c r="BI638" s="494">
        <f t="shared" si="606"/>
        <v>4422.8500000000004</v>
      </c>
      <c r="BJ638" s="494">
        <v>14289.54</v>
      </c>
      <c r="BK638" s="494">
        <v>3389.61</v>
      </c>
      <c r="BL638" s="494">
        <v>5995.76</v>
      </c>
      <c r="BM638" s="494">
        <v>548.62</v>
      </c>
      <c r="BN638" s="495" t="e">
        <f t="shared" si="581"/>
        <v>#DIV/0!</v>
      </c>
      <c r="BO638" s="495" t="e">
        <f t="shared" si="582"/>
        <v>#DIV/0!</v>
      </c>
      <c r="BP638" s="495" t="e">
        <f t="shared" si="583"/>
        <v>#DIV/0!</v>
      </c>
      <c r="BQ638" s="495" t="e">
        <f t="shared" si="584"/>
        <v>#DIV/0!</v>
      </c>
      <c r="BR638" s="495" t="e">
        <f t="shared" si="585"/>
        <v>#DIV/0!</v>
      </c>
      <c r="BS638" s="495" t="e">
        <f t="shared" si="586"/>
        <v>#DIV/0!</v>
      </c>
      <c r="BT638" s="495" t="e">
        <f t="shared" si="587"/>
        <v>#DIV/0!</v>
      </c>
      <c r="BU638" s="495" t="str">
        <f t="shared" si="588"/>
        <v xml:space="preserve"> </v>
      </c>
      <c r="BV638" s="495" t="e">
        <f t="shared" si="589"/>
        <v>#DIV/0!</v>
      </c>
      <c r="BW638" s="495" t="e">
        <f t="shared" si="590"/>
        <v>#DIV/0!</v>
      </c>
      <c r="BX638" s="495" t="e">
        <f t="shared" si="591"/>
        <v>#DIV/0!</v>
      </c>
      <c r="BY638" s="495" t="str">
        <f t="shared" si="592"/>
        <v xml:space="preserve"> </v>
      </c>
    </row>
    <row r="639" spans="1:77" s="28" customFormat="1" ht="9" customHeight="1">
      <c r="A639" s="278">
        <v>225</v>
      </c>
      <c r="B639" s="156" t="s">
        <v>943</v>
      </c>
      <c r="C639" s="249">
        <v>728</v>
      </c>
      <c r="D639" s="376"/>
      <c r="E639" s="362" t="s">
        <v>1006</v>
      </c>
      <c r="F639" s="249"/>
      <c r="G639" s="249"/>
      <c r="H639" s="407">
        <v>2003139.6</v>
      </c>
      <c r="I639" s="407">
        <f t="shared" si="634"/>
        <v>0</v>
      </c>
      <c r="J639" s="217">
        <v>0</v>
      </c>
      <c r="K639" s="469">
        <v>0</v>
      </c>
      <c r="L639" s="217">
        <v>0</v>
      </c>
      <c r="M639" s="469">
        <v>0</v>
      </c>
      <c r="N639" s="217">
        <v>0</v>
      </c>
      <c r="O639" s="249">
        <v>0</v>
      </c>
      <c r="P639" s="407">
        <v>0</v>
      </c>
      <c r="Q639" s="249">
        <v>0</v>
      </c>
      <c r="R639" s="407">
        <v>0</v>
      </c>
      <c r="S639" s="249">
        <v>0</v>
      </c>
      <c r="T639" s="407">
        <v>0</v>
      </c>
      <c r="U639" s="130">
        <v>0</v>
      </c>
      <c r="V639" s="407">
        <v>0</v>
      </c>
      <c r="W639" s="410">
        <v>619.4</v>
      </c>
      <c r="X639" s="407">
        <f t="shared" si="635"/>
        <v>1912998.32</v>
      </c>
      <c r="Y639" s="410">
        <v>0</v>
      </c>
      <c r="Z639" s="410">
        <v>0</v>
      </c>
      <c r="AA639" s="410">
        <v>0</v>
      </c>
      <c r="AB639" s="410">
        <v>0</v>
      </c>
      <c r="AC639" s="410">
        <v>0</v>
      </c>
      <c r="AD639" s="410">
        <v>0</v>
      </c>
      <c r="AE639" s="410">
        <v>0</v>
      </c>
      <c r="AF639" s="410">
        <v>0</v>
      </c>
      <c r="AG639" s="410">
        <v>0</v>
      </c>
      <c r="AH639" s="410">
        <v>0</v>
      </c>
      <c r="AI639" s="410">
        <v>0</v>
      </c>
      <c r="AJ639" s="410">
        <f t="shared" si="636"/>
        <v>60094.19</v>
      </c>
      <c r="AK639" s="410">
        <f t="shared" si="637"/>
        <v>30047.09</v>
      </c>
      <c r="AL639" s="410">
        <v>0</v>
      </c>
      <c r="AM639" s="446"/>
      <c r="AN639" s="446"/>
      <c r="AP639" s="486" t="e">
        <f t="shared" si="568"/>
        <v>#DIV/0!</v>
      </c>
      <c r="AQ639" s="486" t="e">
        <f t="shared" si="571"/>
        <v>#DIV/0!</v>
      </c>
      <c r="AR639" s="486" t="e">
        <f t="shared" si="572"/>
        <v>#DIV/0!</v>
      </c>
      <c r="AS639" s="486" t="e">
        <f t="shared" si="573"/>
        <v>#DIV/0!</v>
      </c>
      <c r="AT639" s="486" t="e">
        <f t="shared" si="574"/>
        <v>#DIV/0!</v>
      </c>
      <c r="AU639" s="486" t="e">
        <f t="shared" si="575"/>
        <v>#DIV/0!</v>
      </c>
      <c r="AV639" s="486" t="e">
        <f t="shared" si="576"/>
        <v>#DIV/0!</v>
      </c>
      <c r="AW639" s="486">
        <f t="shared" si="577"/>
        <v>3088.4700032289315</v>
      </c>
      <c r="AX639" s="486" t="e">
        <f t="shared" si="578"/>
        <v>#DIV/0!</v>
      </c>
      <c r="AY639" s="486" t="e">
        <f t="shared" si="579"/>
        <v>#DIV/0!</v>
      </c>
      <c r="AZ639" s="486" t="e">
        <f t="shared" si="580"/>
        <v>#DIV/0!</v>
      </c>
      <c r="BA639" s="486">
        <f t="shared" si="569"/>
        <v>0</v>
      </c>
      <c r="BB639" s="494">
        <v>5155.41</v>
      </c>
      <c r="BC639" s="494">
        <v>2070.12</v>
      </c>
      <c r="BD639" s="494">
        <v>848.92</v>
      </c>
      <c r="BE639" s="494">
        <v>819.73</v>
      </c>
      <c r="BF639" s="494">
        <v>611.5</v>
      </c>
      <c r="BG639" s="494">
        <v>1080.04</v>
      </c>
      <c r="BH639" s="494">
        <v>2671800.0099999998</v>
      </c>
      <c r="BI639" s="494">
        <f t="shared" si="606"/>
        <v>4422.8500000000004</v>
      </c>
      <c r="BJ639" s="494">
        <v>14289.54</v>
      </c>
      <c r="BK639" s="494">
        <v>3389.61</v>
      </c>
      <c r="BL639" s="494">
        <v>5995.76</v>
      </c>
      <c r="BM639" s="494">
        <v>548.62</v>
      </c>
      <c r="BN639" s="495" t="e">
        <f t="shared" si="581"/>
        <v>#DIV/0!</v>
      </c>
      <c r="BO639" s="495" t="e">
        <f t="shared" si="582"/>
        <v>#DIV/0!</v>
      </c>
      <c r="BP639" s="495" t="e">
        <f t="shared" si="583"/>
        <v>#DIV/0!</v>
      </c>
      <c r="BQ639" s="495" t="e">
        <f t="shared" si="584"/>
        <v>#DIV/0!</v>
      </c>
      <c r="BR639" s="495" t="e">
        <f t="shared" si="585"/>
        <v>#DIV/0!</v>
      </c>
      <c r="BS639" s="495" t="e">
        <f t="shared" si="586"/>
        <v>#DIV/0!</v>
      </c>
      <c r="BT639" s="495" t="e">
        <f t="shared" si="587"/>
        <v>#DIV/0!</v>
      </c>
      <c r="BU639" s="495" t="str">
        <f t="shared" si="588"/>
        <v xml:space="preserve"> </v>
      </c>
      <c r="BV639" s="495" t="e">
        <f t="shared" si="589"/>
        <v>#DIV/0!</v>
      </c>
      <c r="BW639" s="495" t="e">
        <f t="shared" si="590"/>
        <v>#DIV/0!</v>
      </c>
      <c r="BX639" s="495" t="e">
        <f t="shared" si="591"/>
        <v>#DIV/0!</v>
      </c>
      <c r="BY639" s="495" t="str">
        <f t="shared" si="592"/>
        <v xml:space="preserve"> </v>
      </c>
    </row>
    <row r="640" spans="1:77" s="28" customFormat="1" ht="35.25" customHeight="1">
      <c r="A640" s="954" t="s">
        <v>432</v>
      </c>
      <c r="B640" s="954"/>
      <c r="C640" s="407">
        <f>SUM(C638:C639)</f>
        <v>1098.4000000000001</v>
      </c>
      <c r="D640" s="396"/>
      <c r="E640" s="362" t="s">
        <v>391</v>
      </c>
      <c r="F640" s="374"/>
      <c r="G640" s="374"/>
      <c r="H640" s="407">
        <f>SUM(H638:H639)</f>
        <v>3005356.2</v>
      </c>
      <c r="I640" s="407">
        <f t="shared" ref="I640:AL640" si="638">SUM(I638:I639)</f>
        <v>0</v>
      </c>
      <c r="J640" s="407">
        <f t="shared" si="638"/>
        <v>0</v>
      </c>
      <c r="K640" s="407">
        <f t="shared" si="638"/>
        <v>0</v>
      </c>
      <c r="L640" s="407">
        <f t="shared" si="638"/>
        <v>0</v>
      </c>
      <c r="M640" s="407">
        <f t="shared" si="638"/>
        <v>0</v>
      </c>
      <c r="N640" s="407">
        <f t="shared" si="638"/>
        <v>0</v>
      </c>
      <c r="O640" s="407">
        <f t="shared" si="638"/>
        <v>0</v>
      </c>
      <c r="P640" s="407">
        <f t="shared" si="638"/>
        <v>0</v>
      </c>
      <c r="Q640" s="407">
        <f t="shared" si="638"/>
        <v>0</v>
      </c>
      <c r="R640" s="407">
        <f t="shared" si="638"/>
        <v>0</v>
      </c>
      <c r="S640" s="407">
        <f t="shared" si="638"/>
        <v>0</v>
      </c>
      <c r="T640" s="407">
        <f t="shared" si="638"/>
        <v>0</v>
      </c>
      <c r="U640" s="130">
        <f t="shared" si="638"/>
        <v>0</v>
      </c>
      <c r="V640" s="407">
        <f t="shared" si="638"/>
        <v>0</v>
      </c>
      <c r="W640" s="407">
        <f t="shared" si="638"/>
        <v>929.3</v>
      </c>
      <c r="X640" s="407">
        <f t="shared" si="638"/>
        <v>2870115.17</v>
      </c>
      <c r="Y640" s="407">
        <f t="shared" si="638"/>
        <v>0</v>
      </c>
      <c r="Z640" s="407">
        <f t="shared" si="638"/>
        <v>0</v>
      </c>
      <c r="AA640" s="407">
        <f t="shared" si="638"/>
        <v>0</v>
      </c>
      <c r="AB640" s="407">
        <f t="shared" si="638"/>
        <v>0</v>
      </c>
      <c r="AC640" s="407">
        <f t="shared" si="638"/>
        <v>0</v>
      </c>
      <c r="AD640" s="407">
        <f t="shared" si="638"/>
        <v>0</v>
      </c>
      <c r="AE640" s="407">
        <f t="shared" si="638"/>
        <v>0</v>
      </c>
      <c r="AF640" s="407">
        <f t="shared" si="638"/>
        <v>0</v>
      </c>
      <c r="AG640" s="407">
        <f t="shared" si="638"/>
        <v>0</v>
      </c>
      <c r="AH640" s="407">
        <f t="shared" si="638"/>
        <v>0</v>
      </c>
      <c r="AI640" s="407">
        <f t="shared" si="638"/>
        <v>0</v>
      </c>
      <c r="AJ640" s="407">
        <f t="shared" si="638"/>
        <v>90160.69</v>
      </c>
      <c r="AK640" s="407">
        <f t="shared" si="638"/>
        <v>45080.34</v>
      </c>
      <c r="AL640" s="407">
        <f t="shared" si="638"/>
        <v>0</v>
      </c>
      <c r="AM640" s="280"/>
      <c r="AN640" s="280"/>
      <c r="AP640" s="486" t="e">
        <f t="shared" si="568"/>
        <v>#DIV/0!</v>
      </c>
      <c r="AQ640" s="486" t="e">
        <f t="shared" si="571"/>
        <v>#DIV/0!</v>
      </c>
      <c r="AR640" s="497" t="e">
        <f t="shared" si="572"/>
        <v>#DIV/0!</v>
      </c>
      <c r="AS640" s="497" t="e">
        <f t="shared" si="573"/>
        <v>#DIV/0!</v>
      </c>
      <c r="AT640" s="497" t="e">
        <f t="shared" si="574"/>
        <v>#DIV/0!</v>
      </c>
      <c r="AU640" s="497" t="e">
        <f t="shared" si="575"/>
        <v>#DIV/0!</v>
      </c>
      <c r="AV640" s="497" t="e">
        <f t="shared" si="576"/>
        <v>#DIV/0!</v>
      </c>
      <c r="AW640" s="497">
        <f t="shared" si="577"/>
        <v>3088.4699989239211</v>
      </c>
      <c r="AX640" s="497" t="e">
        <f t="shared" si="578"/>
        <v>#DIV/0!</v>
      </c>
      <c r="AY640" s="486" t="e">
        <f t="shared" si="579"/>
        <v>#DIV/0!</v>
      </c>
      <c r="AZ640" s="497" t="e">
        <f t="shared" si="580"/>
        <v>#DIV/0!</v>
      </c>
      <c r="BA640" s="486">
        <f t="shared" si="569"/>
        <v>0</v>
      </c>
      <c r="BB640" s="494">
        <v>5155.41</v>
      </c>
      <c r="BC640" s="494">
        <v>2070.12</v>
      </c>
      <c r="BD640" s="494">
        <v>848.92</v>
      </c>
      <c r="BE640" s="494">
        <v>819.73</v>
      </c>
      <c r="BF640" s="494">
        <v>611.5</v>
      </c>
      <c r="BG640" s="494">
        <v>1080.04</v>
      </c>
      <c r="BH640" s="494">
        <v>2671800.0099999998</v>
      </c>
      <c r="BI640" s="494">
        <f t="shared" si="606"/>
        <v>4422.8500000000004</v>
      </c>
      <c r="BJ640" s="494">
        <v>14289.54</v>
      </c>
      <c r="BK640" s="494">
        <v>3389.61</v>
      </c>
      <c r="BL640" s="494">
        <v>5995.76</v>
      </c>
      <c r="BM640" s="494">
        <v>548.62</v>
      </c>
      <c r="BN640" s="493" t="e">
        <f t="shared" si="581"/>
        <v>#DIV/0!</v>
      </c>
      <c r="BO640" s="493" t="e">
        <f t="shared" si="582"/>
        <v>#DIV/0!</v>
      </c>
      <c r="BP640" s="493" t="e">
        <f t="shared" si="583"/>
        <v>#DIV/0!</v>
      </c>
      <c r="BQ640" s="493" t="e">
        <f t="shared" si="584"/>
        <v>#DIV/0!</v>
      </c>
      <c r="BR640" s="493" t="e">
        <f t="shared" si="585"/>
        <v>#DIV/0!</v>
      </c>
      <c r="BS640" s="493" t="e">
        <f t="shared" si="586"/>
        <v>#DIV/0!</v>
      </c>
      <c r="BT640" s="493" t="e">
        <f t="shared" si="587"/>
        <v>#DIV/0!</v>
      </c>
      <c r="BU640" s="493" t="str">
        <f t="shared" si="588"/>
        <v xml:space="preserve"> </v>
      </c>
      <c r="BV640" s="493" t="e">
        <f t="shared" si="589"/>
        <v>#DIV/0!</v>
      </c>
      <c r="BW640" s="493" t="e">
        <f t="shared" si="590"/>
        <v>#DIV/0!</v>
      </c>
      <c r="BX640" s="493" t="e">
        <f t="shared" si="591"/>
        <v>#DIV/0!</v>
      </c>
      <c r="BY640" s="493" t="str">
        <f t="shared" si="592"/>
        <v xml:space="preserve"> </v>
      </c>
    </row>
    <row r="641" spans="1:77" s="28" customFormat="1" ht="12" customHeight="1">
      <c r="A641" s="874" t="s">
        <v>3</v>
      </c>
      <c r="B641" s="875"/>
      <c r="C641" s="875"/>
      <c r="D641" s="875"/>
      <c r="E641" s="875"/>
      <c r="F641" s="875"/>
      <c r="G641" s="875"/>
      <c r="H641" s="875"/>
      <c r="I641" s="875"/>
      <c r="J641" s="875"/>
      <c r="K641" s="875"/>
      <c r="L641" s="875"/>
      <c r="M641" s="875"/>
      <c r="N641" s="875"/>
      <c r="O641" s="875"/>
      <c r="P641" s="875"/>
      <c r="Q641" s="875"/>
      <c r="R641" s="875"/>
      <c r="S641" s="875"/>
      <c r="T641" s="875"/>
      <c r="U641" s="875"/>
      <c r="V641" s="875"/>
      <c r="W641" s="875"/>
      <c r="X641" s="875"/>
      <c r="Y641" s="875"/>
      <c r="Z641" s="875"/>
      <c r="AA641" s="875"/>
      <c r="AB641" s="875"/>
      <c r="AC641" s="875"/>
      <c r="AD641" s="875"/>
      <c r="AE641" s="875"/>
      <c r="AF641" s="875"/>
      <c r="AG641" s="875"/>
      <c r="AH641" s="875"/>
      <c r="AI641" s="875"/>
      <c r="AJ641" s="875"/>
      <c r="AK641" s="875"/>
      <c r="AL641" s="876"/>
      <c r="AM641" s="280"/>
      <c r="AN641" s="280"/>
      <c r="AP641" s="486" t="e">
        <f t="shared" si="568"/>
        <v>#DIV/0!</v>
      </c>
      <c r="AQ641" s="486" t="e">
        <f t="shared" si="571"/>
        <v>#DIV/0!</v>
      </c>
      <c r="AR641" s="497" t="e">
        <f t="shared" si="572"/>
        <v>#DIV/0!</v>
      </c>
      <c r="AS641" s="497" t="e">
        <f t="shared" si="573"/>
        <v>#DIV/0!</v>
      </c>
      <c r="AT641" s="497" t="e">
        <f t="shared" si="574"/>
        <v>#DIV/0!</v>
      </c>
      <c r="AU641" s="497" t="e">
        <f t="shared" si="575"/>
        <v>#DIV/0!</v>
      </c>
      <c r="AV641" s="497" t="e">
        <f t="shared" si="576"/>
        <v>#DIV/0!</v>
      </c>
      <c r="AW641" s="497" t="e">
        <f t="shared" si="577"/>
        <v>#DIV/0!</v>
      </c>
      <c r="AX641" s="497" t="e">
        <f t="shared" si="578"/>
        <v>#DIV/0!</v>
      </c>
      <c r="AY641" s="486" t="e">
        <f t="shared" si="579"/>
        <v>#DIV/0!</v>
      </c>
      <c r="AZ641" s="497" t="e">
        <f t="shared" si="580"/>
        <v>#DIV/0!</v>
      </c>
      <c r="BA641" s="486" t="e">
        <f t="shared" si="569"/>
        <v>#DIV/0!</v>
      </c>
      <c r="BB641" s="494">
        <v>5155.41</v>
      </c>
      <c r="BC641" s="494">
        <v>2070.12</v>
      </c>
      <c r="BD641" s="494">
        <v>848.92</v>
      </c>
      <c r="BE641" s="494">
        <v>819.73</v>
      </c>
      <c r="BF641" s="494">
        <v>611.5</v>
      </c>
      <c r="BG641" s="494">
        <v>1080.04</v>
      </c>
      <c r="BH641" s="494">
        <v>2671800.0099999998</v>
      </c>
      <c r="BI641" s="494">
        <f t="shared" si="606"/>
        <v>4422.8500000000004</v>
      </c>
      <c r="BJ641" s="494">
        <v>14289.54</v>
      </c>
      <c r="BK641" s="494">
        <v>3389.61</v>
      </c>
      <c r="BL641" s="494">
        <v>5995.76</v>
      </c>
      <c r="BM641" s="494">
        <v>548.62</v>
      </c>
      <c r="BN641" s="493" t="e">
        <f t="shared" si="581"/>
        <v>#DIV/0!</v>
      </c>
      <c r="BO641" s="493" t="e">
        <f t="shared" si="582"/>
        <v>#DIV/0!</v>
      </c>
      <c r="BP641" s="493" t="e">
        <f t="shared" si="583"/>
        <v>#DIV/0!</v>
      </c>
      <c r="BQ641" s="493" t="e">
        <f t="shared" si="584"/>
        <v>#DIV/0!</v>
      </c>
      <c r="BR641" s="493" t="e">
        <f t="shared" si="585"/>
        <v>#DIV/0!</v>
      </c>
      <c r="BS641" s="493" t="e">
        <f t="shared" si="586"/>
        <v>#DIV/0!</v>
      </c>
      <c r="BT641" s="493" t="e">
        <f t="shared" si="587"/>
        <v>#DIV/0!</v>
      </c>
      <c r="BU641" s="493" t="e">
        <f t="shared" si="588"/>
        <v>#DIV/0!</v>
      </c>
      <c r="BV641" s="493" t="e">
        <f t="shared" si="589"/>
        <v>#DIV/0!</v>
      </c>
      <c r="BW641" s="493" t="e">
        <f t="shared" si="590"/>
        <v>#DIV/0!</v>
      </c>
      <c r="BX641" s="493" t="e">
        <f t="shared" si="591"/>
        <v>#DIV/0!</v>
      </c>
      <c r="BY641" s="493" t="e">
        <f t="shared" si="592"/>
        <v>#DIV/0!</v>
      </c>
    </row>
    <row r="642" spans="1:77" s="28" customFormat="1" ht="9" customHeight="1">
      <c r="A642" s="191">
        <v>226</v>
      </c>
      <c r="B642" s="192" t="s">
        <v>946</v>
      </c>
      <c r="C642" s="402">
        <v>1072.3800000000001</v>
      </c>
      <c r="D642" s="376"/>
      <c r="E642" s="362" t="s">
        <v>1006</v>
      </c>
      <c r="F642" s="402"/>
      <c r="G642" s="402"/>
      <c r="H642" s="195">
        <v>2858856</v>
      </c>
      <c r="I642" s="407">
        <f t="shared" ref="I642" si="639">J642+L642+N642+P642+R642+T642</f>
        <v>0</v>
      </c>
      <c r="J642" s="217">
        <v>0</v>
      </c>
      <c r="K642" s="469">
        <v>0</v>
      </c>
      <c r="L642" s="217">
        <v>0</v>
      </c>
      <c r="M642" s="469">
        <v>0</v>
      </c>
      <c r="N642" s="217">
        <v>0</v>
      </c>
      <c r="O642" s="249">
        <v>0</v>
      </c>
      <c r="P642" s="407">
        <v>0</v>
      </c>
      <c r="Q642" s="249">
        <v>0</v>
      </c>
      <c r="R642" s="407">
        <v>0</v>
      </c>
      <c r="S642" s="249">
        <v>0</v>
      </c>
      <c r="T642" s="407">
        <v>0</v>
      </c>
      <c r="U642" s="130">
        <v>0</v>
      </c>
      <c r="V642" s="407">
        <v>0</v>
      </c>
      <c r="W642" s="49">
        <v>884</v>
      </c>
      <c r="X642" s="407">
        <f t="shared" ref="X642" si="640">ROUND(H642/100*95.5,2)</f>
        <v>2730207.48</v>
      </c>
      <c r="Y642" s="410">
        <v>0</v>
      </c>
      <c r="Z642" s="410">
        <v>0</v>
      </c>
      <c r="AA642" s="410">
        <v>0</v>
      </c>
      <c r="AB642" s="410">
        <v>0</v>
      </c>
      <c r="AC642" s="410">
        <v>0</v>
      </c>
      <c r="AD642" s="410">
        <v>0</v>
      </c>
      <c r="AE642" s="410">
        <v>0</v>
      </c>
      <c r="AF642" s="410">
        <v>0</v>
      </c>
      <c r="AG642" s="410">
        <v>0</v>
      </c>
      <c r="AH642" s="410">
        <v>0</v>
      </c>
      <c r="AI642" s="410">
        <v>0</v>
      </c>
      <c r="AJ642" s="410">
        <f t="shared" ref="AJ642" si="641">ROUND(H642/100*3,2)</f>
        <v>85765.68</v>
      </c>
      <c r="AK642" s="410">
        <f t="shared" ref="AK642" si="642">ROUND(H642/100*1.5,2)</f>
        <v>42882.84</v>
      </c>
      <c r="AL642" s="410">
        <v>0</v>
      </c>
      <c r="AM642" s="446"/>
      <c r="AN642" s="446"/>
      <c r="AP642" s="486" t="e">
        <f t="shared" si="568"/>
        <v>#DIV/0!</v>
      </c>
      <c r="AQ642" s="486" t="e">
        <f t="shared" si="571"/>
        <v>#DIV/0!</v>
      </c>
      <c r="AR642" s="486" t="e">
        <f t="shared" si="572"/>
        <v>#DIV/0!</v>
      </c>
      <c r="AS642" s="486" t="e">
        <f t="shared" si="573"/>
        <v>#DIV/0!</v>
      </c>
      <c r="AT642" s="486" t="e">
        <f t="shared" si="574"/>
        <v>#DIV/0!</v>
      </c>
      <c r="AU642" s="486" t="e">
        <f t="shared" si="575"/>
        <v>#DIV/0!</v>
      </c>
      <c r="AV642" s="486" t="e">
        <f t="shared" si="576"/>
        <v>#DIV/0!</v>
      </c>
      <c r="AW642" s="486">
        <f t="shared" si="577"/>
        <v>3088.47</v>
      </c>
      <c r="AX642" s="486" t="e">
        <f t="shared" si="578"/>
        <v>#DIV/0!</v>
      </c>
      <c r="AY642" s="486" t="e">
        <f t="shared" si="579"/>
        <v>#DIV/0!</v>
      </c>
      <c r="AZ642" s="486" t="e">
        <f t="shared" si="580"/>
        <v>#DIV/0!</v>
      </c>
      <c r="BA642" s="486">
        <f t="shared" si="569"/>
        <v>0</v>
      </c>
      <c r="BB642" s="494">
        <v>5155.41</v>
      </c>
      <c r="BC642" s="494">
        <v>2070.12</v>
      </c>
      <c r="BD642" s="494">
        <v>848.92</v>
      </c>
      <c r="BE642" s="494">
        <v>819.73</v>
      </c>
      <c r="BF642" s="494">
        <v>611.5</v>
      </c>
      <c r="BG642" s="494">
        <v>1080.04</v>
      </c>
      <c r="BH642" s="494">
        <v>2671800.0099999998</v>
      </c>
      <c r="BI642" s="494">
        <f t="shared" si="606"/>
        <v>4422.8500000000004</v>
      </c>
      <c r="BJ642" s="494">
        <v>14289.54</v>
      </c>
      <c r="BK642" s="494">
        <v>3389.61</v>
      </c>
      <c r="BL642" s="494">
        <v>5995.76</v>
      </c>
      <c r="BM642" s="494">
        <v>548.62</v>
      </c>
      <c r="BN642" s="495" t="e">
        <f t="shared" si="581"/>
        <v>#DIV/0!</v>
      </c>
      <c r="BO642" s="495" t="e">
        <f t="shared" si="582"/>
        <v>#DIV/0!</v>
      </c>
      <c r="BP642" s="495" t="e">
        <f t="shared" si="583"/>
        <v>#DIV/0!</v>
      </c>
      <c r="BQ642" s="495" t="e">
        <f t="shared" si="584"/>
        <v>#DIV/0!</v>
      </c>
      <c r="BR642" s="495" t="e">
        <f t="shared" si="585"/>
        <v>#DIV/0!</v>
      </c>
      <c r="BS642" s="495" t="e">
        <f t="shared" si="586"/>
        <v>#DIV/0!</v>
      </c>
      <c r="BT642" s="495" t="e">
        <f t="shared" si="587"/>
        <v>#DIV/0!</v>
      </c>
      <c r="BU642" s="495" t="str">
        <f t="shared" si="588"/>
        <v xml:space="preserve"> </v>
      </c>
      <c r="BV642" s="495" t="e">
        <f t="shared" si="589"/>
        <v>#DIV/0!</v>
      </c>
      <c r="BW642" s="495" t="e">
        <f t="shared" si="590"/>
        <v>#DIV/0!</v>
      </c>
      <c r="BX642" s="495" t="e">
        <f t="shared" si="591"/>
        <v>#DIV/0!</v>
      </c>
      <c r="BY642" s="495" t="str">
        <f t="shared" si="592"/>
        <v xml:space="preserve"> </v>
      </c>
    </row>
    <row r="643" spans="1:77" s="28" customFormat="1" ht="24" customHeight="1">
      <c r="A643" s="957" t="s">
        <v>6</v>
      </c>
      <c r="B643" s="957"/>
      <c r="C643" s="195">
        <f>SUM(C642)</f>
        <v>1072.3800000000001</v>
      </c>
      <c r="D643" s="403"/>
      <c r="E643" s="362" t="s">
        <v>391</v>
      </c>
      <c r="F643" s="374"/>
      <c r="G643" s="374"/>
      <c r="H643" s="195">
        <f>SUM(H642)</f>
        <v>2858856</v>
      </c>
      <c r="I643" s="195">
        <f t="shared" ref="I643:AL643" si="643">SUM(I642)</f>
        <v>0</v>
      </c>
      <c r="J643" s="195">
        <f t="shared" si="643"/>
        <v>0</v>
      </c>
      <c r="K643" s="195">
        <f t="shared" si="643"/>
        <v>0</v>
      </c>
      <c r="L643" s="195">
        <f t="shared" si="643"/>
        <v>0</v>
      </c>
      <c r="M643" s="195">
        <f t="shared" si="643"/>
        <v>0</v>
      </c>
      <c r="N643" s="195">
        <f t="shared" si="643"/>
        <v>0</v>
      </c>
      <c r="O643" s="195">
        <f t="shared" si="643"/>
        <v>0</v>
      </c>
      <c r="P643" s="195">
        <f t="shared" si="643"/>
        <v>0</v>
      </c>
      <c r="Q643" s="195">
        <f t="shared" si="643"/>
        <v>0</v>
      </c>
      <c r="R643" s="195">
        <f t="shared" si="643"/>
        <v>0</v>
      </c>
      <c r="S643" s="195">
        <f t="shared" si="643"/>
        <v>0</v>
      </c>
      <c r="T643" s="195">
        <f t="shared" si="643"/>
        <v>0</v>
      </c>
      <c r="U643" s="220">
        <f t="shared" si="643"/>
        <v>0</v>
      </c>
      <c r="V643" s="195">
        <f t="shared" si="643"/>
        <v>0</v>
      </c>
      <c r="W643" s="195">
        <f t="shared" si="643"/>
        <v>884</v>
      </c>
      <c r="X643" s="195">
        <f t="shared" si="643"/>
        <v>2730207.48</v>
      </c>
      <c r="Y643" s="195">
        <f t="shared" si="643"/>
        <v>0</v>
      </c>
      <c r="Z643" s="195">
        <f t="shared" si="643"/>
        <v>0</v>
      </c>
      <c r="AA643" s="195">
        <f t="shared" si="643"/>
        <v>0</v>
      </c>
      <c r="AB643" s="195">
        <f t="shared" si="643"/>
        <v>0</v>
      </c>
      <c r="AC643" s="195">
        <f t="shared" si="643"/>
        <v>0</v>
      </c>
      <c r="AD643" s="195">
        <f t="shared" si="643"/>
        <v>0</v>
      </c>
      <c r="AE643" s="195">
        <f t="shared" si="643"/>
        <v>0</v>
      </c>
      <c r="AF643" s="195">
        <f t="shared" si="643"/>
        <v>0</v>
      </c>
      <c r="AG643" s="195">
        <f t="shared" si="643"/>
        <v>0</v>
      </c>
      <c r="AH643" s="195">
        <f t="shared" si="643"/>
        <v>0</v>
      </c>
      <c r="AI643" s="195">
        <f t="shared" si="643"/>
        <v>0</v>
      </c>
      <c r="AJ643" s="195">
        <f t="shared" si="643"/>
        <v>85765.68</v>
      </c>
      <c r="AK643" s="195">
        <f t="shared" si="643"/>
        <v>42882.84</v>
      </c>
      <c r="AL643" s="195">
        <f t="shared" si="643"/>
        <v>0</v>
      </c>
      <c r="AM643" s="280"/>
      <c r="AN643" s="280"/>
      <c r="AP643" s="486" t="e">
        <f t="shared" si="568"/>
        <v>#DIV/0!</v>
      </c>
      <c r="AQ643" s="486" t="e">
        <f t="shared" si="571"/>
        <v>#DIV/0!</v>
      </c>
      <c r="AR643" s="497" t="e">
        <f t="shared" si="572"/>
        <v>#DIV/0!</v>
      </c>
      <c r="AS643" s="497" t="e">
        <f t="shared" si="573"/>
        <v>#DIV/0!</v>
      </c>
      <c r="AT643" s="497" t="e">
        <f t="shared" si="574"/>
        <v>#DIV/0!</v>
      </c>
      <c r="AU643" s="497" t="e">
        <f t="shared" si="575"/>
        <v>#DIV/0!</v>
      </c>
      <c r="AV643" s="497" t="e">
        <f t="shared" si="576"/>
        <v>#DIV/0!</v>
      </c>
      <c r="AW643" s="497">
        <f t="shared" si="577"/>
        <v>3088.47</v>
      </c>
      <c r="AX643" s="497" t="e">
        <f t="shared" si="578"/>
        <v>#DIV/0!</v>
      </c>
      <c r="AY643" s="486" t="e">
        <f t="shared" si="579"/>
        <v>#DIV/0!</v>
      </c>
      <c r="AZ643" s="497" t="e">
        <f t="shared" si="580"/>
        <v>#DIV/0!</v>
      </c>
      <c r="BA643" s="486">
        <f t="shared" si="569"/>
        <v>0</v>
      </c>
      <c r="BB643" s="494">
        <v>5155.41</v>
      </c>
      <c r="BC643" s="494">
        <v>2070.12</v>
      </c>
      <c r="BD643" s="494">
        <v>848.92</v>
      </c>
      <c r="BE643" s="494">
        <v>819.73</v>
      </c>
      <c r="BF643" s="494">
        <v>611.5</v>
      </c>
      <c r="BG643" s="494">
        <v>1080.04</v>
      </c>
      <c r="BH643" s="494">
        <v>2671800.0099999998</v>
      </c>
      <c r="BI643" s="494">
        <f t="shared" si="606"/>
        <v>4422.8500000000004</v>
      </c>
      <c r="BJ643" s="494">
        <v>14289.54</v>
      </c>
      <c r="BK643" s="494">
        <v>3389.61</v>
      </c>
      <c r="BL643" s="494">
        <v>5995.76</v>
      </c>
      <c r="BM643" s="494">
        <v>548.62</v>
      </c>
      <c r="BN643" s="493" t="e">
        <f t="shared" si="581"/>
        <v>#DIV/0!</v>
      </c>
      <c r="BO643" s="493" t="e">
        <f t="shared" si="582"/>
        <v>#DIV/0!</v>
      </c>
      <c r="BP643" s="493" t="e">
        <f t="shared" si="583"/>
        <v>#DIV/0!</v>
      </c>
      <c r="BQ643" s="493" t="e">
        <f t="shared" si="584"/>
        <v>#DIV/0!</v>
      </c>
      <c r="BR643" s="493" t="e">
        <f t="shared" si="585"/>
        <v>#DIV/0!</v>
      </c>
      <c r="BS643" s="493" t="e">
        <f t="shared" si="586"/>
        <v>#DIV/0!</v>
      </c>
      <c r="BT643" s="493" t="e">
        <f t="shared" si="587"/>
        <v>#DIV/0!</v>
      </c>
      <c r="BU643" s="493" t="str">
        <f t="shared" si="588"/>
        <v xml:space="preserve"> </v>
      </c>
      <c r="BV643" s="493" t="e">
        <f t="shared" si="589"/>
        <v>#DIV/0!</v>
      </c>
      <c r="BW643" s="493" t="e">
        <f t="shared" si="590"/>
        <v>#DIV/0!</v>
      </c>
      <c r="BX643" s="493" t="e">
        <f t="shared" si="591"/>
        <v>#DIV/0!</v>
      </c>
      <c r="BY643" s="493" t="str">
        <f t="shared" si="592"/>
        <v xml:space="preserve"> </v>
      </c>
    </row>
    <row r="644" spans="1:77" s="28" customFormat="1" ht="12" customHeight="1">
      <c r="A644" s="833" t="s">
        <v>11</v>
      </c>
      <c r="B644" s="834"/>
      <c r="C644" s="834"/>
      <c r="D644" s="834"/>
      <c r="E644" s="834"/>
      <c r="F644" s="834"/>
      <c r="G644" s="834"/>
      <c r="H644" s="834"/>
      <c r="I644" s="834"/>
      <c r="J644" s="834"/>
      <c r="K644" s="834"/>
      <c r="L644" s="834"/>
      <c r="M644" s="834"/>
      <c r="N644" s="834"/>
      <c r="O644" s="834"/>
      <c r="P644" s="834"/>
      <c r="Q644" s="834"/>
      <c r="R644" s="834"/>
      <c r="S644" s="834"/>
      <c r="T644" s="834"/>
      <c r="U644" s="834"/>
      <c r="V644" s="834"/>
      <c r="W644" s="834"/>
      <c r="X644" s="834"/>
      <c r="Y644" s="834"/>
      <c r="Z644" s="834"/>
      <c r="AA644" s="834"/>
      <c r="AB644" s="834"/>
      <c r="AC644" s="834"/>
      <c r="AD644" s="834"/>
      <c r="AE644" s="834"/>
      <c r="AF644" s="834"/>
      <c r="AG644" s="834"/>
      <c r="AH644" s="834"/>
      <c r="AI644" s="834"/>
      <c r="AJ644" s="834"/>
      <c r="AK644" s="834"/>
      <c r="AL644" s="835"/>
      <c r="AM644" s="280"/>
      <c r="AN644" s="280"/>
      <c r="AP644" s="486" t="e">
        <f t="shared" si="568"/>
        <v>#DIV/0!</v>
      </c>
      <c r="AQ644" s="486" t="e">
        <f t="shared" si="571"/>
        <v>#DIV/0!</v>
      </c>
      <c r="AR644" s="497" t="e">
        <f t="shared" si="572"/>
        <v>#DIV/0!</v>
      </c>
      <c r="AS644" s="497" t="e">
        <f t="shared" si="573"/>
        <v>#DIV/0!</v>
      </c>
      <c r="AT644" s="497" t="e">
        <f t="shared" si="574"/>
        <v>#DIV/0!</v>
      </c>
      <c r="AU644" s="497" t="e">
        <f t="shared" si="575"/>
        <v>#DIV/0!</v>
      </c>
      <c r="AV644" s="497" t="e">
        <f t="shared" si="576"/>
        <v>#DIV/0!</v>
      </c>
      <c r="AW644" s="497" t="e">
        <f t="shared" si="577"/>
        <v>#DIV/0!</v>
      </c>
      <c r="AX644" s="497" t="e">
        <f t="shared" si="578"/>
        <v>#DIV/0!</v>
      </c>
      <c r="AY644" s="486" t="e">
        <f t="shared" si="579"/>
        <v>#DIV/0!</v>
      </c>
      <c r="AZ644" s="497" t="e">
        <f t="shared" si="580"/>
        <v>#DIV/0!</v>
      </c>
      <c r="BA644" s="486" t="e">
        <f t="shared" si="569"/>
        <v>#DIV/0!</v>
      </c>
      <c r="BB644" s="494">
        <v>5155.41</v>
      </c>
      <c r="BC644" s="494">
        <v>2070.12</v>
      </c>
      <c r="BD644" s="494">
        <v>848.92</v>
      </c>
      <c r="BE644" s="494">
        <v>819.73</v>
      </c>
      <c r="BF644" s="494">
        <v>611.5</v>
      </c>
      <c r="BG644" s="494">
        <v>1080.04</v>
      </c>
      <c r="BH644" s="494">
        <v>2671800.0099999998</v>
      </c>
      <c r="BI644" s="494">
        <f t="shared" si="606"/>
        <v>4422.8500000000004</v>
      </c>
      <c r="BJ644" s="494">
        <v>14289.54</v>
      </c>
      <c r="BK644" s="494">
        <v>3389.61</v>
      </c>
      <c r="BL644" s="494">
        <v>5995.76</v>
      </c>
      <c r="BM644" s="494">
        <v>548.62</v>
      </c>
      <c r="BN644" s="493" t="e">
        <f t="shared" si="581"/>
        <v>#DIV/0!</v>
      </c>
      <c r="BO644" s="493" t="e">
        <f t="shared" si="582"/>
        <v>#DIV/0!</v>
      </c>
      <c r="BP644" s="493" t="e">
        <f t="shared" si="583"/>
        <v>#DIV/0!</v>
      </c>
      <c r="BQ644" s="493" t="e">
        <f t="shared" si="584"/>
        <v>#DIV/0!</v>
      </c>
      <c r="BR644" s="493" t="e">
        <f t="shared" si="585"/>
        <v>#DIV/0!</v>
      </c>
      <c r="BS644" s="493" t="e">
        <f t="shared" si="586"/>
        <v>#DIV/0!</v>
      </c>
      <c r="BT644" s="493" t="e">
        <f t="shared" si="587"/>
        <v>#DIV/0!</v>
      </c>
      <c r="BU644" s="493" t="e">
        <f t="shared" si="588"/>
        <v>#DIV/0!</v>
      </c>
      <c r="BV644" s="493" t="e">
        <f t="shared" si="589"/>
        <v>#DIV/0!</v>
      </c>
      <c r="BW644" s="493" t="e">
        <f t="shared" si="590"/>
        <v>#DIV/0!</v>
      </c>
      <c r="BX644" s="493" t="e">
        <f t="shared" si="591"/>
        <v>#DIV/0!</v>
      </c>
      <c r="BY644" s="493" t="e">
        <f t="shared" si="592"/>
        <v>#DIV/0!</v>
      </c>
    </row>
    <row r="645" spans="1:77" s="28" customFormat="1" ht="9" customHeight="1">
      <c r="A645" s="166">
        <v>227</v>
      </c>
      <c r="B645" s="170" t="s">
        <v>953</v>
      </c>
      <c r="C645" s="399">
        <v>234.8</v>
      </c>
      <c r="D645" s="376"/>
      <c r="E645" s="362" t="s">
        <v>1006</v>
      </c>
      <c r="F645" s="399"/>
      <c r="G645" s="399"/>
      <c r="H645" s="195">
        <v>572418</v>
      </c>
      <c r="I645" s="407">
        <f t="shared" ref="I645:I649" si="644">J645+L645+N645+P645+R645+T645</f>
        <v>0</v>
      </c>
      <c r="J645" s="217">
        <v>0</v>
      </c>
      <c r="K645" s="469">
        <v>0</v>
      </c>
      <c r="L645" s="217">
        <v>0</v>
      </c>
      <c r="M645" s="469">
        <v>0</v>
      </c>
      <c r="N645" s="217">
        <v>0</v>
      </c>
      <c r="O645" s="249">
        <v>0</v>
      </c>
      <c r="P645" s="407">
        <v>0</v>
      </c>
      <c r="Q645" s="249">
        <v>0</v>
      </c>
      <c r="R645" s="407">
        <v>0</v>
      </c>
      <c r="S645" s="249">
        <v>0</v>
      </c>
      <c r="T645" s="407">
        <v>0</v>
      </c>
      <c r="U645" s="130">
        <v>0</v>
      </c>
      <c r="V645" s="407">
        <v>0</v>
      </c>
      <c r="W645" s="20">
        <v>177</v>
      </c>
      <c r="X645" s="407">
        <f t="shared" ref="X645:X649" si="645">ROUND(H645/100*95.5,2)</f>
        <v>546659.18999999994</v>
      </c>
      <c r="Y645" s="410">
        <v>0</v>
      </c>
      <c r="Z645" s="410">
        <v>0</v>
      </c>
      <c r="AA645" s="410">
        <v>0</v>
      </c>
      <c r="AB645" s="410">
        <v>0</v>
      </c>
      <c r="AC645" s="410">
        <v>0</v>
      </c>
      <c r="AD645" s="410">
        <v>0</v>
      </c>
      <c r="AE645" s="410">
        <v>0</v>
      </c>
      <c r="AF645" s="410">
        <v>0</v>
      </c>
      <c r="AG645" s="410">
        <v>0</v>
      </c>
      <c r="AH645" s="410">
        <v>0</v>
      </c>
      <c r="AI645" s="410">
        <v>0</v>
      </c>
      <c r="AJ645" s="410">
        <f t="shared" ref="AJ645:AJ649" si="646">ROUND(H645/100*3,2)</f>
        <v>17172.54</v>
      </c>
      <c r="AK645" s="410">
        <f t="shared" ref="AK645:AK649" si="647">ROUND(H645/100*1.5,2)</f>
        <v>8586.27</v>
      </c>
      <c r="AL645" s="410">
        <v>0</v>
      </c>
      <c r="AM645" s="446"/>
      <c r="AN645" s="446"/>
      <c r="AP645" s="486" t="e">
        <f t="shared" si="568"/>
        <v>#DIV/0!</v>
      </c>
      <c r="AQ645" s="486" t="e">
        <f t="shared" si="571"/>
        <v>#DIV/0!</v>
      </c>
      <c r="AR645" s="486" t="e">
        <f t="shared" si="572"/>
        <v>#DIV/0!</v>
      </c>
      <c r="AS645" s="486" t="e">
        <f t="shared" si="573"/>
        <v>#DIV/0!</v>
      </c>
      <c r="AT645" s="486" t="e">
        <f t="shared" si="574"/>
        <v>#DIV/0!</v>
      </c>
      <c r="AU645" s="486" t="e">
        <f t="shared" si="575"/>
        <v>#DIV/0!</v>
      </c>
      <c r="AV645" s="486" t="e">
        <f t="shared" si="576"/>
        <v>#DIV/0!</v>
      </c>
      <c r="AW645" s="486">
        <f t="shared" si="577"/>
        <v>3088.47</v>
      </c>
      <c r="AX645" s="486" t="e">
        <f t="shared" si="578"/>
        <v>#DIV/0!</v>
      </c>
      <c r="AY645" s="486" t="e">
        <f t="shared" si="579"/>
        <v>#DIV/0!</v>
      </c>
      <c r="AZ645" s="486" t="e">
        <f t="shared" si="580"/>
        <v>#DIV/0!</v>
      </c>
      <c r="BA645" s="486">
        <f t="shared" si="569"/>
        <v>0</v>
      </c>
      <c r="BB645" s="494">
        <v>5155.41</v>
      </c>
      <c r="BC645" s="494">
        <v>2070.12</v>
      </c>
      <c r="BD645" s="494">
        <v>848.92</v>
      </c>
      <c r="BE645" s="494">
        <v>819.73</v>
      </c>
      <c r="BF645" s="494">
        <v>611.5</v>
      </c>
      <c r="BG645" s="494">
        <v>1080.04</v>
      </c>
      <c r="BH645" s="494">
        <v>2671800.0099999998</v>
      </c>
      <c r="BI645" s="494">
        <f t="shared" si="606"/>
        <v>4422.8500000000004</v>
      </c>
      <c r="BJ645" s="494">
        <v>14289.54</v>
      </c>
      <c r="BK645" s="494">
        <v>3389.61</v>
      </c>
      <c r="BL645" s="494">
        <v>5995.76</v>
      </c>
      <c r="BM645" s="494">
        <v>548.62</v>
      </c>
      <c r="BN645" s="495" t="e">
        <f t="shared" si="581"/>
        <v>#DIV/0!</v>
      </c>
      <c r="BO645" s="495" t="e">
        <f t="shared" si="582"/>
        <v>#DIV/0!</v>
      </c>
      <c r="BP645" s="495" t="e">
        <f t="shared" si="583"/>
        <v>#DIV/0!</v>
      </c>
      <c r="BQ645" s="495" t="e">
        <f t="shared" si="584"/>
        <v>#DIV/0!</v>
      </c>
      <c r="BR645" s="495" t="e">
        <f t="shared" si="585"/>
        <v>#DIV/0!</v>
      </c>
      <c r="BS645" s="495" t="e">
        <f t="shared" si="586"/>
        <v>#DIV/0!</v>
      </c>
      <c r="BT645" s="495" t="e">
        <f t="shared" si="587"/>
        <v>#DIV/0!</v>
      </c>
      <c r="BU645" s="495" t="str">
        <f t="shared" si="588"/>
        <v xml:space="preserve"> </v>
      </c>
      <c r="BV645" s="495" t="e">
        <f t="shared" si="589"/>
        <v>#DIV/0!</v>
      </c>
      <c r="BW645" s="495" t="e">
        <f t="shared" si="590"/>
        <v>#DIV/0!</v>
      </c>
      <c r="BX645" s="495" t="e">
        <f t="shared" si="591"/>
        <v>#DIV/0!</v>
      </c>
      <c r="BY645" s="495" t="str">
        <f t="shared" si="592"/>
        <v xml:space="preserve"> </v>
      </c>
    </row>
    <row r="646" spans="1:77" s="28" customFormat="1" ht="9" customHeight="1">
      <c r="A646" s="166">
        <v>228</v>
      </c>
      <c r="B646" s="170" t="s">
        <v>954</v>
      </c>
      <c r="C646" s="399">
        <v>176.2</v>
      </c>
      <c r="D646" s="376"/>
      <c r="E646" s="362" t="s">
        <v>1006</v>
      </c>
      <c r="F646" s="399"/>
      <c r="G646" s="399"/>
      <c r="H646" s="195">
        <v>633864</v>
      </c>
      <c r="I646" s="407">
        <f t="shared" si="644"/>
        <v>0</v>
      </c>
      <c r="J646" s="217">
        <v>0</v>
      </c>
      <c r="K646" s="469">
        <v>0</v>
      </c>
      <c r="L646" s="217">
        <v>0</v>
      </c>
      <c r="M646" s="469">
        <v>0</v>
      </c>
      <c r="N646" s="217">
        <v>0</v>
      </c>
      <c r="O646" s="249">
        <v>0</v>
      </c>
      <c r="P646" s="407">
        <v>0</v>
      </c>
      <c r="Q646" s="249">
        <v>0</v>
      </c>
      <c r="R646" s="407">
        <v>0</v>
      </c>
      <c r="S646" s="249">
        <v>0</v>
      </c>
      <c r="T646" s="407">
        <v>0</v>
      </c>
      <c r="U646" s="130">
        <v>0</v>
      </c>
      <c r="V646" s="407">
        <v>0</v>
      </c>
      <c r="W646" s="20">
        <v>196</v>
      </c>
      <c r="X646" s="407">
        <f t="shared" si="645"/>
        <v>605340.12</v>
      </c>
      <c r="Y646" s="410">
        <v>0</v>
      </c>
      <c r="Z646" s="410">
        <v>0</v>
      </c>
      <c r="AA646" s="410">
        <v>0</v>
      </c>
      <c r="AB646" s="410">
        <v>0</v>
      </c>
      <c r="AC646" s="410">
        <v>0</v>
      </c>
      <c r="AD646" s="410">
        <v>0</v>
      </c>
      <c r="AE646" s="410">
        <v>0</v>
      </c>
      <c r="AF646" s="410">
        <v>0</v>
      </c>
      <c r="AG646" s="410">
        <v>0</v>
      </c>
      <c r="AH646" s="410">
        <v>0</v>
      </c>
      <c r="AI646" s="410">
        <v>0</v>
      </c>
      <c r="AJ646" s="410">
        <f t="shared" si="646"/>
        <v>19015.919999999998</v>
      </c>
      <c r="AK646" s="410">
        <f t="shared" si="647"/>
        <v>9507.9599999999991</v>
      </c>
      <c r="AL646" s="410">
        <v>0</v>
      </c>
      <c r="AM646" s="446"/>
      <c r="AN646" s="446"/>
      <c r="AP646" s="486" t="e">
        <f t="shared" si="568"/>
        <v>#DIV/0!</v>
      </c>
      <c r="AQ646" s="486" t="e">
        <f t="shared" si="571"/>
        <v>#DIV/0!</v>
      </c>
      <c r="AR646" s="486" t="e">
        <f t="shared" si="572"/>
        <v>#DIV/0!</v>
      </c>
      <c r="AS646" s="486" t="e">
        <f t="shared" si="573"/>
        <v>#DIV/0!</v>
      </c>
      <c r="AT646" s="486" t="e">
        <f t="shared" si="574"/>
        <v>#DIV/0!</v>
      </c>
      <c r="AU646" s="486" t="e">
        <f t="shared" si="575"/>
        <v>#DIV/0!</v>
      </c>
      <c r="AV646" s="486" t="e">
        <f t="shared" si="576"/>
        <v>#DIV/0!</v>
      </c>
      <c r="AW646" s="486">
        <f t="shared" si="577"/>
        <v>3088.47</v>
      </c>
      <c r="AX646" s="486" t="e">
        <f t="shared" si="578"/>
        <v>#DIV/0!</v>
      </c>
      <c r="AY646" s="486" t="e">
        <f t="shared" si="579"/>
        <v>#DIV/0!</v>
      </c>
      <c r="AZ646" s="486" t="e">
        <f t="shared" si="580"/>
        <v>#DIV/0!</v>
      </c>
      <c r="BA646" s="486">
        <f t="shared" si="569"/>
        <v>0</v>
      </c>
      <c r="BB646" s="494">
        <v>5155.41</v>
      </c>
      <c r="BC646" s="494">
        <v>2070.12</v>
      </c>
      <c r="BD646" s="494">
        <v>848.92</v>
      </c>
      <c r="BE646" s="494">
        <v>819.73</v>
      </c>
      <c r="BF646" s="494">
        <v>611.5</v>
      </c>
      <c r="BG646" s="494">
        <v>1080.04</v>
      </c>
      <c r="BH646" s="494">
        <v>2671800.0099999998</v>
      </c>
      <c r="BI646" s="494">
        <f t="shared" si="606"/>
        <v>4422.8500000000004</v>
      </c>
      <c r="BJ646" s="494">
        <v>14289.54</v>
      </c>
      <c r="BK646" s="494">
        <v>3389.61</v>
      </c>
      <c r="BL646" s="494">
        <v>5995.76</v>
      </c>
      <c r="BM646" s="494">
        <v>548.62</v>
      </c>
      <c r="BN646" s="495" t="e">
        <f t="shared" si="581"/>
        <v>#DIV/0!</v>
      </c>
      <c r="BO646" s="495" t="e">
        <f t="shared" si="582"/>
        <v>#DIV/0!</v>
      </c>
      <c r="BP646" s="495" t="e">
        <f t="shared" si="583"/>
        <v>#DIV/0!</v>
      </c>
      <c r="BQ646" s="495" t="e">
        <f t="shared" si="584"/>
        <v>#DIV/0!</v>
      </c>
      <c r="BR646" s="495" t="e">
        <f t="shared" si="585"/>
        <v>#DIV/0!</v>
      </c>
      <c r="BS646" s="495" t="e">
        <f t="shared" si="586"/>
        <v>#DIV/0!</v>
      </c>
      <c r="BT646" s="495" t="e">
        <f t="shared" si="587"/>
        <v>#DIV/0!</v>
      </c>
      <c r="BU646" s="495" t="str">
        <f t="shared" si="588"/>
        <v xml:space="preserve"> </v>
      </c>
      <c r="BV646" s="495" t="e">
        <f t="shared" si="589"/>
        <v>#DIV/0!</v>
      </c>
      <c r="BW646" s="495" t="e">
        <f t="shared" si="590"/>
        <v>#DIV/0!</v>
      </c>
      <c r="BX646" s="495" t="e">
        <f t="shared" si="591"/>
        <v>#DIV/0!</v>
      </c>
      <c r="BY646" s="495" t="str">
        <f t="shared" si="592"/>
        <v xml:space="preserve"> </v>
      </c>
    </row>
    <row r="647" spans="1:77" s="28" customFormat="1" ht="9" customHeight="1">
      <c r="A647" s="166">
        <v>229</v>
      </c>
      <c r="B647" s="170" t="s">
        <v>955</v>
      </c>
      <c r="C647" s="399">
        <v>487.2</v>
      </c>
      <c r="D647" s="376"/>
      <c r="E647" s="362" t="s">
        <v>1006</v>
      </c>
      <c r="F647" s="399"/>
      <c r="G647" s="399"/>
      <c r="H647" s="195">
        <v>1131900</v>
      </c>
      <c r="I647" s="407">
        <f t="shared" si="644"/>
        <v>0</v>
      </c>
      <c r="J647" s="217">
        <v>0</v>
      </c>
      <c r="K647" s="469">
        <v>0</v>
      </c>
      <c r="L647" s="217">
        <v>0</v>
      </c>
      <c r="M647" s="469">
        <v>0</v>
      </c>
      <c r="N647" s="217">
        <v>0</v>
      </c>
      <c r="O647" s="249">
        <v>0</v>
      </c>
      <c r="P647" s="407">
        <v>0</v>
      </c>
      <c r="Q647" s="249">
        <v>0</v>
      </c>
      <c r="R647" s="407">
        <v>0</v>
      </c>
      <c r="S647" s="249">
        <v>0</v>
      </c>
      <c r="T647" s="407">
        <v>0</v>
      </c>
      <c r="U647" s="130">
        <v>0</v>
      </c>
      <c r="V647" s="407">
        <v>0</v>
      </c>
      <c r="W647" s="20">
        <v>350</v>
      </c>
      <c r="X647" s="407">
        <f t="shared" si="645"/>
        <v>1080964.5</v>
      </c>
      <c r="Y647" s="410">
        <v>0</v>
      </c>
      <c r="Z647" s="410">
        <v>0</v>
      </c>
      <c r="AA647" s="410">
        <v>0</v>
      </c>
      <c r="AB647" s="410">
        <v>0</v>
      </c>
      <c r="AC647" s="410">
        <v>0</v>
      </c>
      <c r="AD647" s="410">
        <v>0</v>
      </c>
      <c r="AE647" s="410">
        <v>0</v>
      </c>
      <c r="AF647" s="410">
        <v>0</v>
      </c>
      <c r="AG647" s="410">
        <v>0</v>
      </c>
      <c r="AH647" s="410">
        <v>0</v>
      </c>
      <c r="AI647" s="410">
        <v>0</v>
      </c>
      <c r="AJ647" s="410">
        <f t="shared" si="646"/>
        <v>33957</v>
      </c>
      <c r="AK647" s="410">
        <f t="shared" si="647"/>
        <v>16978.5</v>
      </c>
      <c r="AL647" s="410">
        <v>0</v>
      </c>
      <c r="AM647" s="446"/>
      <c r="AN647" s="446"/>
      <c r="AP647" s="486" t="e">
        <f t="shared" si="568"/>
        <v>#DIV/0!</v>
      </c>
      <c r="AQ647" s="486" t="e">
        <f t="shared" si="571"/>
        <v>#DIV/0!</v>
      </c>
      <c r="AR647" s="486" t="e">
        <f t="shared" si="572"/>
        <v>#DIV/0!</v>
      </c>
      <c r="AS647" s="486" t="e">
        <f t="shared" si="573"/>
        <v>#DIV/0!</v>
      </c>
      <c r="AT647" s="486" t="e">
        <f t="shared" si="574"/>
        <v>#DIV/0!</v>
      </c>
      <c r="AU647" s="486" t="e">
        <f t="shared" si="575"/>
        <v>#DIV/0!</v>
      </c>
      <c r="AV647" s="486" t="e">
        <f t="shared" si="576"/>
        <v>#DIV/0!</v>
      </c>
      <c r="AW647" s="486">
        <f t="shared" si="577"/>
        <v>3088.47</v>
      </c>
      <c r="AX647" s="486" t="e">
        <f t="shared" si="578"/>
        <v>#DIV/0!</v>
      </c>
      <c r="AY647" s="486" t="e">
        <f t="shared" si="579"/>
        <v>#DIV/0!</v>
      </c>
      <c r="AZ647" s="486" t="e">
        <f t="shared" si="580"/>
        <v>#DIV/0!</v>
      </c>
      <c r="BA647" s="486">
        <f t="shared" si="569"/>
        <v>0</v>
      </c>
      <c r="BB647" s="494">
        <v>5155.41</v>
      </c>
      <c r="BC647" s="494">
        <v>2070.12</v>
      </c>
      <c r="BD647" s="494">
        <v>848.92</v>
      </c>
      <c r="BE647" s="494">
        <v>819.73</v>
      </c>
      <c r="BF647" s="494">
        <v>611.5</v>
      </c>
      <c r="BG647" s="494">
        <v>1080.04</v>
      </c>
      <c r="BH647" s="494">
        <v>2671800.0099999998</v>
      </c>
      <c r="BI647" s="494">
        <f t="shared" si="606"/>
        <v>4422.8500000000004</v>
      </c>
      <c r="BJ647" s="494">
        <v>14289.54</v>
      </c>
      <c r="BK647" s="494">
        <v>3389.61</v>
      </c>
      <c r="BL647" s="494">
        <v>5995.76</v>
      </c>
      <c r="BM647" s="494">
        <v>548.62</v>
      </c>
      <c r="BN647" s="495" t="e">
        <f t="shared" si="581"/>
        <v>#DIV/0!</v>
      </c>
      <c r="BO647" s="495" t="e">
        <f t="shared" si="582"/>
        <v>#DIV/0!</v>
      </c>
      <c r="BP647" s="495" t="e">
        <f t="shared" si="583"/>
        <v>#DIV/0!</v>
      </c>
      <c r="BQ647" s="495" t="e">
        <f t="shared" si="584"/>
        <v>#DIV/0!</v>
      </c>
      <c r="BR647" s="495" t="e">
        <f t="shared" si="585"/>
        <v>#DIV/0!</v>
      </c>
      <c r="BS647" s="495" t="e">
        <f t="shared" si="586"/>
        <v>#DIV/0!</v>
      </c>
      <c r="BT647" s="495" t="e">
        <f t="shared" si="587"/>
        <v>#DIV/0!</v>
      </c>
      <c r="BU647" s="495" t="str">
        <f t="shared" si="588"/>
        <v xml:space="preserve"> </v>
      </c>
      <c r="BV647" s="495" t="e">
        <f t="shared" si="589"/>
        <v>#DIV/0!</v>
      </c>
      <c r="BW647" s="495" t="e">
        <f t="shared" si="590"/>
        <v>#DIV/0!</v>
      </c>
      <c r="BX647" s="495" t="e">
        <f t="shared" si="591"/>
        <v>#DIV/0!</v>
      </c>
      <c r="BY647" s="495" t="str">
        <f t="shared" si="592"/>
        <v xml:space="preserve"> </v>
      </c>
    </row>
    <row r="648" spans="1:77" s="28" customFormat="1" ht="9" customHeight="1">
      <c r="A648" s="166">
        <v>230</v>
      </c>
      <c r="B648" s="170" t="s">
        <v>956</v>
      </c>
      <c r="C648" s="399">
        <v>261.89999999999998</v>
      </c>
      <c r="D648" s="376"/>
      <c r="E648" s="362" t="s">
        <v>1006</v>
      </c>
      <c r="F648" s="399"/>
      <c r="G648" s="399"/>
      <c r="H648" s="195">
        <v>937860</v>
      </c>
      <c r="I648" s="407">
        <f t="shared" si="644"/>
        <v>0</v>
      </c>
      <c r="J648" s="217">
        <v>0</v>
      </c>
      <c r="K648" s="469">
        <v>0</v>
      </c>
      <c r="L648" s="217">
        <v>0</v>
      </c>
      <c r="M648" s="469">
        <v>0</v>
      </c>
      <c r="N648" s="217">
        <v>0</v>
      </c>
      <c r="O648" s="249">
        <v>0</v>
      </c>
      <c r="P648" s="407">
        <v>0</v>
      </c>
      <c r="Q648" s="249">
        <v>0</v>
      </c>
      <c r="R648" s="407">
        <v>0</v>
      </c>
      <c r="S648" s="249">
        <v>0</v>
      </c>
      <c r="T648" s="407">
        <v>0</v>
      </c>
      <c r="U648" s="130">
        <v>0</v>
      </c>
      <c r="V648" s="407">
        <v>0</v>
      </c>
      <c r="W648" s="20">
        <v>290</v>
      </c>
      <c r="X648" s="407">
        <f t="shared" si="645"/>
        <v>895656.3</v>
      </c>
      <c r="Y648" s="410">
        <v>0</v>
      </c>
      <c r="Z648" s="410">
        <v>0</v>
      </c>
      <c r="AA648" s="410">
        <v>0</v>
      </c>
      <c r="AB648" s="410">
        <v>0</v>
      </c>
      <c r="AC648" s="410">
        <v>0</v>
      </c>
      <c r="AD648" s="410">
        <v>0</v>
      </c>
      <c r="AE648" s="410">
        <v>0</v>
      </c>
      <c r="AF648" s="410">
        <v>0</v>
      </c>
      <c r="AG648" s="410">
        <v>0</v>
      </c>
      <c r="AH648" s="410">
        <v>0</v>
      </c>
      <c r="AI648" s="410">
        <v>0</v>
      </c>
      <c r="AJ648" s="410">
        <f t="shared" si="646"/>
        <v>28135.8</v>
      </c>
      <c r="AK648" s="410">
        <f t="shared" si="647"/>
        <v>14067.9</v>
      </c>
      <c r="AL648" s="410">
        <v>0</v>
      </c>
      <c r="AM648" s="446"/>
      <c r="AN648" s="446"/>
      <c r="AP648" s="486" t="e">
        <f t="shared" si="568"/>
        <v>#DIV/0!</v>
      </c>
      <c r="AQ648" s="486" t="e">
        <f t="shared" si="571"/>
        <v>#DIV/0!</v>
      </c>
      <c r="AR648" s="486" t="e">
        <f t="shared" si="572"/>
        <v>#DIV/0!</v>
      </c>
      <c r="AS648" s="486" t="e">
        <f t="shared" si="573"/>
        <v>#DIV/0!</v>
      </c>
      <c r="AT648" s="486" t="e">
        <f t="shared" si="574"/>
        <v>#DIV/0!</v>
      </c>
      <c r="AU648" s="486" t="e">
        <f t="shared" si="575"/>
        <v>#DIV/0!</v>
      </c>
      <c r="AV648" s="486" t="e">
        <f t="shared" si="576"/>
        <v>#DIV/0!</v>
      </c>
      <c r="AW648" s="486">
        <f t="shared" si="577"/>
        <v>3088.4700000000003</v>
      </c>
      <c r="AX648" s="486" t="e">
        <f t="shared" si="578"/>
        <v>#DIV/0!</v>
      </c>
      <c r="AY648" s="486" t="e">
        <f t="shared" si="579"/>
        <v>#DIV/0!</v>
      </c>
      <c r="AZ648" s="486" t="e">
        <f t="shared" si="580"/>
        <v>#DIV/0!</v>
      </c>
      <c r="BA648" s="486">
        <f t="shared" si="569"/>
        <v>0</v>
      </c>
      <c r="BB648" s="494">
        <v>5155.41</v>
      </c>
      <c r="BC648" s="494">
        <v>2070.12</v>
      </c>
      <c r="BD648" s="494">
        <v>848.92</v>
      </c>
      <c r="BE648" s="494">
        <v>819.73</v>
      </c>
      <c r="BF648" s="494">
        <v>611.5</v>
      </c>
      <c r="BG648" s="494">
        <v>1080.04</v>
      </c>
      <c r="BH648" s="494">
        <v>2671800.0099999998</v>
      </c>
      <c r="BI648" s="494">
        <f t="shared" si="606"/>
        <v>4422.8500000000004</v>
      </c>
      <c r="BJ648" s="494">
        <v>14289.54</v>
      </c>
      <c r="BK648" s="494">
        <v>3389.61</v>
      </c>
      <c r="BL648" s="494">
        <v>5995.76</v>
      </c>
      <c r="BM648" s="494">
        <v>548.62</v>
      </c>
      <c r="BN648" s="495" t="e">
        <f t="shared" si="581"/>
        <v>#DIV/0!</v>
      </c>
      <c r="BO648" s="495" t="e">
        <f t="shared" si="582"/>
        <v>#DIV/0!</v>
      </c>
      <c r="BP648" s="495" t="e">
        <f t="shared" si="583"/>
        <v>#DIV/0!</v>
      </c>
      <c r="BQ648" s="495" t="e">
        <f t="shared" si="584"/>
        <v>#DIV/0!</v>
      </c>
      <c r="BR648" s="495" t="e">
        <f t="shared" si="585"/>
        <v>#DIV/0!</v>
      </c>
      <c r="BS648" s="495" t="e">
        <f t="shared" si="586"/>
        <v>#DIV/0!</v>
      </c>
      <c r="BT648" s="495" t="e">
        <f t="shared" si="587"/>
        <v>#DIV/0!</v>
      </c>
      <c r="BU648" s="495" t="str">
        <f t="shared" si="588"/>
        <v xml:space="preserve"> </v>
      </c>
      <c r="BV648" s="495" t="e">
        <f t="shared" si="589"/>
        <v>#DIV/0!</v>
      </c>
      <c r="BW648" s="495" t="e">
        <f t="shared" si="590"/>
        <v>#DIV/0!</v>
      </c>
      <c r="BX648" s="495" t="e">
        <f t="shared" si="591"/>
        <v>#DIV/0!</v>
      </c>
      <c r="BY648" s="495" t="str">
        <f t="shared" si="592"/>
        <v xml:space="preserve"> </v>
      </c>
    </row>
    <row r="649" spans="1:77" s="28" customFormat="1" ht="9" customHeight="1">
      <c r="A649" s="166">
        <v>231</v>
      </c>
      <c r="B649" s="170" t="s">
        <v>957</v>
      </c>
      <c r="C649" s="399">
        <v>312.5</v>
      </c>
      <c r="D649" s="376"/>
      <c r="E649" s="362" t="s">
        <v>1006</v>
      </c>
      <c r="F649" s="399"/>
      <c r="G649" s="399"/>
      <c r="H649" s="195">
        <v>892584</v>
      </c>
      <c r="I649" s="407">
        <f t="shared" si="644"/>
        <v>0</v>
      </c>
      <c r="J649" s="217">
        <v>0</v>
      </c>
      <c r="K649" s="469">
        <v>0</v>
      </c>
      <c r="L649" s="217">
        <v>0</v>
      </c>
      <c r="M649" s="469">
        <v>0</v>
      </c>
      <c r="N649" s="217">
        <v>0</v>
      </c>
      <c r="O649" s="249">
        <v>0</v>
      </c>
      <c r="P649" s="407">
        <v>0</v>
      </c>
      <c r="Q649" s="249">
        <v>0</v>
      </c>
      <c r="R649" s="407">
        <v>0</v>
      </c>
      <c r="S649" s="249">
        <v>0</v>
      </c>
      <c r="T649" s="407">
        <v>0</v>
      </c>
      <c r="U649" s="130">
        <v>0</v>
      </c>
      <c r="V649" s="407">
        <v>0</v>
      </c>
      <c r="W649" s="20">
        <v>276</v>
      </c>
      <c r="X649" s="407">
        <f t="shared" si="645"/>
        <v>852417.72</v>
      </c>
      <c r="Y649" s="410">
        <v>0</v>
      </c>
      <c r="Z649" s="410">
        <v>0</v>
      </c>
      <c r="AA649" s="410">
        <v>0</v>
      </c>
      <c r="AB649" s="410">
        <v>0</v>
      </c>
      <c r="AC649" s="410">
        <v>0</v>
      </c>
      <c r="AD649" s="410">
        <v>0</v>
      </c>
      <c r="AE649" s="410">
        <v>0</v>
      </c>
      <c r="AF649" s="410">
        <v>0</v>
      </c>
      <c r="AG649" s="410">
        <v>0</v>
      </c>
      <c r="AH649" s="410">
        <v>0</v>
      </c>
      <c r="AI649" s="410">
        <v>0</v>
      </c>
      <c r="AJ649" s="410">
        <f t="shared" si="646"/>
        <v>26777.52</v>
      </c>
      <c r="AK649" s="410">
        <f t="shared" si="647"/>
        <v>13388.76</v>
      </c>
      <c r="AL649" s="410">
        <v>0</v>
      </c>
      <c r="AM649" s="446"/>
      <c r="AN649" s="446"/>
      <c r="AP649" s="486" t="e">
        <f t="shared" si="568"/>
        <v>#DIV/0!</v>
      </c>
      <c r="AQ649" s="486" t="e">
        <f t="shared" si="571"/>
        <v>#DIV/0!</v>
      </c>
      <c r="AR649" s="486" t="e">
        <f t="shared" si="572"/>
        <v>#DIV/0!</v>
      </c>
      <c r="AS649" s="486" t="e">
        <f t="shared" si="573"/>
        <v>#DIV/0!</v>
      </c>
      <c r="AT649" s="486" t="e">
        <f t="shared" si="574"/>
        <v>#DIV/0!</v>
      </c>
      <c r="AU649" s="486" t="e">
        <f t="shared" si="575"/>
        <v>#DIV/0!</v>
      </c>
      <c r="AV649" s="486" t="e">
        <f t="shared" si="576"/>
        <v>#DIV/0!</v>
      </c>
      <c r="AW649" s="486">
        <f t="shared" si="577"/>
        <v>3088.47</v>
      </c>
      <c r="AX649" s="486" t="e">
        <f t="shared" si="578"/>
        <v>#DIV/0!</v>
      </c>
      <c r="AY649" s="486" t="e">
        <f t="shared" si="579"/>
        <v>#DIV/0!</v>
      </c>
      <c r="AZ649" s="486" t="e">
        <f t="shared" si="580"/>
        <v>#DIV/0!</v>
      </c>
      <c r="BA649" s="486">
        <f t="shared" si="569"/>
        <v>0</v>
      </c>
      <c r="BB649" s="494">
        <v>5155.41</v>
      </c>
      <c r="BC649" s="494">
        <v>2070.12</v>
      </c>
      <c r="BD649" s="494">
        <v>848.92</v>
      </c>
      <c r="BE649" s="494">
        <v>819.73</v>
      </c>
      <c r="BF649" s="494">
        <v>611.5</v>
      </c>
      <c r="BG649" s="494">
        <v>1080.04</v>
      </c>
      <c r="BH649" s="494">
        <v>2671800.0099999998</v>
      </c>
      <c r="BI649" s="494">
        <f t="shared" si="606"/>
        <v>4422.8500000000004</v>
      </c>
      <c r="BJ649" s="494">
        <v>14289.54</v>
      </c>
      <c r="BK649" s="494">
        <v>3389.61</v>
      </c>
      <c r="BL649" s="494">
        <v>5995.76</v>
      </c>
      <c r="BM649" s="494">
        <v>548.62</v>
      </c>
      <c r="BN649" s="495" t="e">
        <f t="shared" si="581"/>
        <v>#DIV/0!</v>
      </c>
      <c r="BO649" s="495" t="e">
        <f t="shared" si="582"/>
        <v>#DIV/0!</v>
      </c>
      <c r="BP649" s="495" t="e">
        <f t="shared" si="583"/>
        <v>#DIV/0!</v>
      </c>
      <c r="BQ649" s="495" t="e">
        <f t="shared" si="584"/>
        <v>#DIV/0!</v>
      </c>
      <c r="BR649" s="495" t="e">
        <f t="shared" si="585"/>
        <v>#DIV/0!</v>
      </c>
      <c r="BS649" s="495" t="e">
        <f t="shared" si="586"/>
        <v>#DIV/0!</v>
      </c>
      <c r="BT649" s="495" t="e">
        <f t="shared" si="587"/>
        <v>#DIV/0!</v>
      </c>
      <c r="BU649" s="495" t="str">
        <f t="shared" si="588"/>
        <v xml:space="preserve"> </v>
      </c>
      <c r="BV649" s="495" t="e">
        <f t="shared" si="589"/>
        <v>#DIV/0!</v>
      </c>
      <c r="BW649" s="495" t="e">
        <f t="shared" si="590"/>
        <v>#DIV/0!</v>
      </c>
      <c r="BX649" s="495" t="e">
        <f t="shared" si="591"/>
        <v>#DIV/0!</v>
      </c>
      <c r="BY649" s="495" t="str">
        <f t="shared" si="592"/>
        <v xml:space="preserve"> </v>
      </c>
    </row>
    <row r="650" spans="1:77" s="28" customFormat="1" ht="36.75" customHeight="1">
      <c r="A650" s="956" t="s">
        <v>12</v>
      </c>
      <c r="B650" s="956"/>
      <c r="C650" s="167">
        <f>SUM(C645:C649)</f>
        <v>1472.6</v>
      </c>
      <c r="D650" s="397"/>
      <c r="E650" s="362" t="s">
        <v>391</v>
      </c>
      <c r="F650" s="374"/>
      <c r="G650" s="374"/>
      <c r="H650" s="167">
        <f>SUM(H645:H649)</f>
        <v>4168626</v>
      </c>
      <c r="I650" s="167">
        <f t="shared" ref="I650:AN650" si="648">SUM(I645:I649)</f>
        <v>0</v>
      </c>
      <c r="J650" s="167">
        <f t="shared" si="648"/>
        <v>0</v>
      </c>
      <c r="K650" s="167">
        <f t="shared" si="648"/>
        <v>0</v>
      </c>
      <c r="L650" s="167">
        <f t="shared" si="648"/>
        <v>0</v>
      </c>
      <c r="M650" s="167">
        <f t="shared" si="648"/>
        <v>0</v>
      </c>
      <c r="N650" s="167">
        <f t="shared" si="648"/>
        <v>0</v>
      </c>
      <c r="O650" s="167">
        <f t="shared" si="648"/>
        <v>0</v>
      </c>
      <c r="P650" s="167">
        <f t="shared" si="648"/>
        <v>0</v>
      </c>
      <c r="Q650" s="167">
        <f t="shared" si="648"/>
        <v>0</v>
      </c>
      <c r="R650" s="167">
        <f t="shared" si="648"/>
        <v>0</v>
      </c>
      <c r="S650" s="167">
        <f t="shared" si="648"/>
        <v>0</v>
      </c>
      <c r="T650" s="167">
        <f t="shared" si="648"/>
        <v>0</v>
      </c>
      <c r="U650" s="190">
        <f t="shared" si="648"/>
        <v>0</v>
      </c>
      <c r="V650" s="167">
        <f t="shared" si="648"/>
        <v>0</v>
      </c>
      <c r="W650" s="167">
        <f t="shared" si="648"/>
        <v>1289</v>
      </c>
      <c r="X650" s="167">
        <f t="shared" si="648"/>
        <v>3981037.83</v>
      </c>
      <c r="Y650" s="167">
        <f t="shared" si="648"/>
        <v>0</v>
      </c>
      <c r="Z650" s="167">
        <f t="shared" si="648"/>
        <v>0</v>
      </c>
      <c r="AA650" s="167">
        <f t="shared" si="648"/>
        <v>0</v>
      </c>
      <c r="AB650" s="167">
        <f t="shared" si="648"/>
        <v>0</v>
      </c>
      <c r="AC650" s="167">
        <f t="shared" si="648"/>
        <v>0</v>
      </c>
      <c r="AD650" s="167">
        <f t="shared" si="648"/>
        <v>0</v>
      </c>
      <c r="AE650" s="167">
        <f t="shared" si="648"/>
        <v>0</v>
      </c>
      <c r="AF650" s="167">
        <f t="shared" si="648"/>
        <v>0</v>
      </c>
      <c r="AG650" s="167">
        <f t="shared" si="648"/>
        <v>0</v>
      </c>
      <c r="AH650" s="167">
        <f t="shared" si="648"/>
        <v>0</v>
      </c>
      <c r="AI650" s="167">
        <f t="shared" si="648"/>
        <v>0</v>
      </c>
      <c r="AJ650" s="167">
        <f t="shared" si="648"/>
        <v>125058.78</v>
      </c>
      <c r="AK650" s="167">
        <f t="shared" si="648"/>
        <v>62529.39</v>
      </c>
      <c r="AL650" s="167">
        <f t="shared" si="648"/>
        <v>0</v>
      </c>
      <c r="AM650" s="167">
        <f t="shared" si="648"/>
        <v>0</v>
      </c>
      <c r="AN650" s="167">
        <f t="shared" si="648"/>
        <v>0</v>
      </c>
      <c r="AP650" s="486" t="e">
        <f t="shared" si="568"/>
        <v>#DIV/0!</v>
      </c>
      <c r="AQ650" s="486" t="e">
        <f t="shared" si="571"/>
        <v>#DIV/0!</v>
      </c>
      <c r="AR650" s="497" t="e">
        <f t="shared" si="572"/>
        <v>#DIV/0!</v>
      </c>
      <c r="AS650" s="497" t="e">
        <f t="shared" si="573"/>
        <v>#DIV/0!</v>
      </c>
      <c r="AT650" s="497" t="e">
        <f t="shared" si="574"/>
        <v>#DIV/0!</v>
      </c>
      <c r="AU650" s="497" t="e">
        <f t="shared" si="575"/>
        <v>#DIV/0!</v>
      </c>
      <c r="AV650" s="497" t="e">
        <f t="shared" si="576"/>
        <v>#DIV/0!</v>
      </c>
      <c r="AW650" s="497">
        <f t="shared" si="577"/>
        <v>3088.4700000000003</v>
      </c>
      <c r="AX650" s="497" t="e">
        <f t="shared" si="578"/>
        <v>#DIV/0!</v>
      </c>
      <c r="AY650" s="486" t="e">
        <f t="shared" si="579"/>
        <v>#DIV/0!</v>
      </c>
      <c r="AZ650" s="497" t="e">
        <f t="shared" si="580"/>
        <v>#DIV/0!</v>
      </c>
      <c r="BA650" s="486">
        <f t="shared" si="569"/>
        <v>0</v>
      </c>
      <c r="BB650" s="494">
        <v>5155.41</v>
      </c>
      <c r="BC650" s="494">
        <v>2070.12</v>
      </c>
      <c r="BD650" s="494">
        <v>848.92</v>
      </c>
      <c r="BE650" s="494">
        <v>819.73</v>
      </c>
      <c r="BF650" s="494">
        <v>611.5</v>
      </c>
      <c r="BG650" s="494">
        <v>1080.04</v>
      </c>
      <c r="BH650" s="494">
        <v>2671800.0099999998</v>
      </c>
      <c r="BI650" s="494">
        <f t="shared" si="606"/>
        <v>4422.8500000000004</v>
      </c>
      <c r="BJ650" s="494">
        <v>14289.54</v>
      </c>
      <c r="BK650" s="494">
        <v>3389.61</v>
      </c>
      <c r="BL650" s="494">
        <v>5995.76</v>
      </c>
      <c r="BM650" s="494">
        <v>548.62</v>
      </c>
      <c r="BN650" s="493" t="e">
        <f t="shared" si="581"/>
        <v>#DIV/0!</v>
      </c>
      <c r="BO650" s="493" t="e">
        <f t="shared" si="582"/>
        <v>#DIV/0!</v>
      </c>
      <c r="BP650" s="493" t="e">
        <f t="shared" si="583"/>
        <v>#DIV/0!</v>
      </c>
      <c r="BQ650" s="493" t="e">
        <f t="shared" si="584"/>
        <v>#DIV/0!</v>
      </c>
      <c r="BR650" s="493" t="e">
        <f t="shared" si="585"/>
        <v>#DIV/0!</v>
      </c>
      <c r="BS650" s="493" t="e">
        <f t="shared" si="586"/>
        <v>#DIV/0!</v>
      </c>
      <c r="BT650" s="493" t="e">
        <f t="shared" si="587"/>
        <v>#DIV/0!</v>
      </c>
      <c r="BU650" s="493" t="str">
        <f t="shared" si="588"/>
        <v xml:space="preserve"> </v>
      </c>
      <c r="BV650" s="493" t="e">
        <f t="shared" si="589"/>
        <v>#DIV/0!</v>
      </c>
      <c r="BW650" s="493" t="e">
        <f t="shared" si="590"/>
        <v>#DIV/0!</v>
      </c>
      <c r="BX650" s="493" t="e">
        <f t="shared" si="591"/>
        <v>#DIV/0!</v>
      </c>
      <c r="BY650" s="493" t="str">
        <f t="shared" si="592"/>
        <v xml:space="preserve"> </v>
      </c>
    </row>
    <row r="651" spans="1:77" s="28" customFormat="1" ht="13.5" customHeight="1">
      <c r="A651" s="833" t="s">
        <v>392</v>
      </c>
      <c r="B651" s="834"/>
      <c r="C651" s="834"/>
      <c r="D651" s="834"/>
      <c r="E651" s="834"/>
      <c r="F651" s="834"/>
      <c r="G651" s="834"/>
      <c r="H651" s="834"/>
      <c r="I651" s="834"/>
      <c r="J651" s="834"/>
      <c r="K651" s="834"/>
      <c r="L651" s="834"/>
      <c r="M651" s="834"/>
      <c r="N651" s="834"/>
      <c r="O651" s="834"/>
      <c r="P651" s="834"/>
      <c r="Q651" s="834"/>
      <c r="R651" s="834"/>
      <c r="S651" s="834"/>
      <c r="T651" s="834"/>
      <c r="U651" s="834"/>
      <c r="V651" s="834"/>
      <c r="W651" s="834"/>
      <c r="X651" s="834"/>
      <c r="Y651" s="834"/>
      <c r="Z651" s="834"/>
      <c r="AA651" s="834"/>
      <c r="AB651" s="834"/>
      <c r="AC651" s="834"/>
      <c r="AD651" s="834"/>
      <c r="AE651" s="834"/>
      <c r="AF651" s="834"/>
      <c r="AG651" s="834"/>
      <c r="AH651" s="834"/>
      <c r="AI651" s="834"/>
      <c r="AJ651" s="834"/>
      <c r="AK651" s="834"/>
      <c r="AL651" s="835"/>
      <c r="AM651" s="280"/>
      <c r="AN651" s="280"/>
      <c r="AP651" s="486" t="e">
        <f t="shared" si="568"/>
        <v>#DIV/0!</v>
      </c>
      <c r="AQ651" s="486" t="e">
        <f t="shared" si="571"/>
        <v>#DIV/0!</v>
      </c>
      <c r="AR651" s="497" t="e">
        <f t="shared" si="572"/>
        <v>#DIV/0!</v>
      </c>
      <c r="AS651" s="497" t="e">
        <f t="shared" si="573"/>
        <v>#DIV/0!</v>
      </c>
      <c r="AT651" s="497" t="e">
        <f t="shared" si="574"/>
        <v>#DIV/0!</v>
      </c>
      <c r="AU651" s="497" t="e">
        <f t="shared" si="575"/>
        <v>#DIV/0!</v>
      </c>
      <c r="AV651" s="497" t="e">
        <f t="shared" si="576"/>
        <v>#DIV/0!</v>
      </c>
      <c r="AW651" s="497" t="e">
        <f t="shared" si="577"/>
        <v>#DIV/0!</v>
      </c>
      <c r="AX651" s="497" t="e">
        <f t="shared" si="578"/>
        <v>#DIV/0!</v>
      </c>
      <c r="AY651" s="486" t="e">
        <f t="shared" si="579"/>
        <v>#DIV/0!</v>
      </c>
      <c r="AZ651" s="497" t="e">
        <f t="shared" si="580"/>
        <v>#DIV/0!</v>
      </c>
      <c r="BA651" s="486" t="e">
        <f t="shared" si="569"/>
        <v>#DIV/0!</v>
      </c>
      <c r="BB651" s="494">
        <v>5155.41</v>
      </c>
      <c r="BC651" s="494">
        <v>2070.12</v>
      </c>
      <c r="BD651" s="494">
        <v>848.92</v>
      </c>
      <c r="BE651" s="494">
        <v>819.73</v>
      </c>
      <c r="BF651" s="494">
        <v>611.5</v>
      </c>
      <c r="BG651" s="494">
        <v>1080.04</v>
      </c>
      <c r="BH651" s="494">
        <v>2671800.0099999998</v>
      </c>
      <c r="BI651" s="494">
        <f t="shared" si="606"/>
        <v>4422.8500000000004</v>
      </c>
      <c r="BJ651" s="494">
        <v>14289.54</v>
      </c>
      <c r="BK651" s="494">
        <v>3389.61</v>
      </c>
      <c r="BL651" s="494">
        <v>5995.76</v>
      </c>
      <c r="BM651" s="494">
        <v>548.62</v>
      </c>
      <c r="BN651" s="493" t="e">
        <f t="shared" si="581"/>
        <v>#DIV/0!</v>
      </c>
      <c r="BO651" s="493" t="e">
        <f t="shared" si="582"/>
        <v>#DIV/0!</v>
      </c>
      <c r="BP651" s="493" t="e">
        <f t="shared" si="583"/>
        <v>#DIV/0!</v>
      </c>
      <c r="BQ651" s="493" t="e">
        <f t="shared" si="584"/>
        <v>#DIV/0!</v>
      </c>
      <c r="BR651" s="493" t="e">
        <f t="shared" si="585"/>
        <v>#DIV/0!</v>
      </c>
      <c r="BS651" s="493" t="e">
        <f t="shared" si="586"/>
        <v>#DIV/0!</v>
      </c>
      <c r="BT651" s="493" t="e">
        <f t="shared" si="587"/>
        <v>#DIV/0!</v>
      </c>
      <c r="BU651" s="493" t="e">
        <f t="shared" si="588"/>
        <v>#DIV/0!</v>
      </c>
      <c r="BV651" s="493" t="e">
        <f t="shared" si="589"/>
        <v>#DIV/0!</v>
      </c>
      <c r="BW651" s="493" t="e">
        <f t="shared" si="590"/>
        <v>#DIV/0!</v>
      </c>
      <c r="BX651" s="493" t="e">
        <f t="shared" si="591"/>
        <v>#DIV/0!</v>
      </c>
      <c r="BY651" s="493" t="e">
        <f t="shared" si="592"/>
        <v>#DIV/0!</v>
      </c>
    </row>
    <row r="652" spans="1:77" s="28" customFormat="1" ht="9" customHeight="1">
      <c r="A652" s="166">
        <v>232</v>
      </c>
      <c r="B652" s="170" t="s">
        <v>959</v>
      </c>
      <c r="C652" s="399">
        <v>164.9</v>
      </c>
      <c r="D652" s="376"/>
      <c r="E652" s="362" t="s">
        <v>1006</v>
      </c>
      <c r="F652" s="399"/>
      <c r="G652" s="399"/>
      <c r="H652" s="167">
        <v>581149.80000000005</v>
      </c>
      <c r="I652" s="407">
        <f t="shared" ref="I652" si="649">J652+L652+N652+P652+R652+T652</f>
        <v>0</v>
      </c>
      <c r="J652" s="217">
        <v>0</v>
      </c>
      <c r="K652" s="469">
        <v>0</v>
      </c>
      <c r="L652" s="217">
        <v>0</v>
      </c>
      <c r="M652" s="469">
        <v>0</v>
      </c>
      <c r="N652" s="217">
        <v>0</v>
      </c>
      <c r="O652" s="249">
        <v>0</v>
      </c>
      <c r="P652" s="407">
        <v>0</v>
      </c>
      <c r="Q652" s="249">
        <v>0</v>
      </c>
      <c r="R652" s="407">
        <v>0</v>
      </c>
      <c r="S652" s="249">
        <v>0</v>
      </c>
      <c r="T652" s="407">
        <v>0</v>
      </c>
      <c r="U652" s="130">
        <v>0</v>
      </c>
      <c r="V652" s="407">
        <v>0</v>
      </c>
      <c r="W652" s="23">
        <v>179.7</v>
      </c>
      <c r="X652" s="407">
        <f t="shared" ref="X652" si="650">ROUND(H652/100*95.5,2)</f>
        <v>554998.06000000006</v>
      </c>
      <c r="Y652" s="410">
        <v>0</v>
      </c>
      <c r="Z652" s="410">
        <v>0</v>
      </c>
      <c r="AA652" s="410">
        <v>0</v>
      </c>
      <c r="AB652" s="410">
        <v>0</v>
      </c>
      <c r="AC652" s="410">
        <v>0</v>
      </c>
      <c r="AD652" s="410">
        <v>0</v>
      </c>
      <c r="AE652" s="410">
        <v>0</v>
      </c>
      <c r="AF652" s="410">
        <v>0</v>
      </c>
      <c r="AG652" s="410">
        <v>0</v>
      </c>
      <c r="AH652" s="410">
        <v>0</v>
      </c>
      <c r="AI652" s="410">
        <v>0</v>
      </c>
      <c r="AJ652" s="410">
        <f t="shared" ref="AJ652" si="651">ROUND(H652/100*3,2)</f>
        <v>17434.490000000002</v>
      </c>
      <c r="AK652" s="410">
        <f t="shared" ref="AK652" si="652">ROUND(H652/100*1.5,2)</f>
        <v>8717.25</v>
      </c>
      <c r="AL652" s="410">
        <v>0</v>
      </c>
      <c r="AM652" s="446"/>
      <c r="AN652" s="446"/>
      <c r="AP652" s="486" t="e">
        <f t="shared" si="568"/>
        <v>#DIV/0!</v>
      </c>
      <c r="AQ652" s="486" t="e">
        <f t="shared" si="571"/>
        <v>#DIV/0!</v>
      </c>
      <c r="AR652" s="486" t="e">
        <f t="shared" si="572"/>
        <v>#DIV/0!</v>
      </c>
      <c r="AS652" s="486" t="e">
        <f t="shared" si="573"/>
        <v>#DIV/0!</v>
      </c>
      <c r="AT652" s="486" t="e">
        <f t="shared" si="574"/>
        <v>#DIV/0!</v>
      </c>
      <c r="AU652" s="486" t="e">
        <f t="shared" si="575"/>
        <v>#DIV/0!</v>
      </c>
      <c r="AV652" s="486" t="e">
        <f t="shared" si="576"/>
        <v>#DIV/0!</v>
      </c>
      <c r="AW652" s="486">
        <f t="shared" si="577"/>
        <v>3088.4700055648309</v>
      </c>
      <c r="AX652" s="486" t="e">
        <f t="shared" si="578"/>
        <v>#DIV/0!</v>
      </c>
      <c r="AY652" s="486" t="e">
        <f t="shared" si="579"/>
        <v>#DIV/0!</v>
      </c>
      <c r="AZ652" s="486" t="e">
        <f t="shared" si="580"/>
        <v>#DIV/0!</v>
      </c>
      <c r="BA652" s="486">
        <f t="shared" si="569"/>
        <v>0</v>
      </c>
      <c r="BB652" s="494">
        <v>5155.41</v>
      </c>
      <c r="BC652" s="494">
        <v>2070.12</v>
      </c>
      <c r="BD652" s="494">
        <v>848.92</v>
      </c>
      <c r="BE652" s="494">
        <v>819.73</v>
      </c>
      <c r="BF652" s="494">
        <v>611.5</v>
      </c>
      <c r="BG652" s="494">
        <v>1080.04</v>
      </c>
      <c r="BH652" s="494">
        <v>2671800.0099999998</v>
      </c>
      <c r="BI652" s="494">
        <f t="shared" si="606"/>
        <v>4422.8500000000004</v>
      </c>
      <c r="BJ652" s="494">
        <v>14289.54</v>
      </c>
      <c r="BK652" s="494">
        <v>3389.61</v>
      </c>
      <c r="BL652" s="494">
        <v>5995.76</v>
      </c>
      <c r="BM652" s="494">
        <v>548.62</v>
      </c>
      <c r="BN652" s="495" t="e">
        <f t="shared" si="581"/>
        <v>#DIV/0!</v>
      </c>
      <c r="BO652" s="495" t="e">
        <f t="shared" si="582"/>
        <v>#DIV/0!</v>
      </c>
      <c r="BP652" s="495" t="e">
        <f t="shared" si="583"/>
        <v>#DIV/0!</v>
      </c>
      <c r="BQ652" s="495" t="e">
        <f t="shared" si="584"/>
        <v>#DIV/0!</v>
      </c>
      <c r="BR652" s="495" t="e">
        <f t="shared" si="585"/>
        <v>#DIV/0!</v>
      </c>
      <c r="BS652" s="495" t="e">
        <f t="shared" si="586"/>
        <v>#DIV/0!</v>
      </c>
      <c r="BT652" s="495" t="e">
        <f t="shared" si="587"/>
        <v>#DIV/0!</v>
      </c>
      <c r="BU652" s="495" t="str">
        <f t="shared" si="588"/>
        <v xml:space="preserve"> </v>
      </c>
      <c r="BV652" s="495" t="e">
        <f t="shared" si="589"/>
        <v>#DIV/0!</v>
      </c>
      <c r="BW652" s="495" t="e">
        <f t="shared" si="590"/>
        <v>#DIV/0!</v>
      </c>
      <c r="BX652" s="495" t="e">
        <f t="shared" si="591"/>
        <v>#DIV/0!</v>
      </c>
      <c r="BY652" s="495" t="str">
        <f t="shared" si="592"/>
        <v xml:space="preserve"> </v>
      </c>
    </row>
    <row r="653" spans="1:77" s="28" customFormat="1" ht="36" customHeight="1">
      <c r="A653" s="956" t="s">
        <v>21</v>
      </c>
      <c r="B653" s="956"/>
      <c r="C653" s="167">
        <f>SUM(C652)</f>
        <v>164.9</v>
      </c>
      <c r="D653" s="397"/>
      <c r="E653" s="362" t="s">
        <v>391</v>
      </c>
      <c r="F653" s="374"/>
      <c r="G653" s="374"/>
      <c r="H653" s="167">
        <f>SUM(H652)</f>
        <v>581149.80000000005</v>
      </c>
      <c r="I653" s="167">
        <f t="shared" ref="I653:AL653" si="653">SUM(I652)</f>
        <v>0</v>
      </c>
      <c r="J653" s="167">
        <f t="shared" si="653"/>
        <v>0</v>
      </c>
      <c r="K653" s="167">
        <f t="shared" si="653"/>
        <v>0</v>
      </c>
      <c r="L653" s="167">
        <f t="shared" si="653"/>
        <v>0</v>
      </c>
      <c r="M653" s="167">
        <f t="shared" si="653"/>
        <v>0</v>
      </c>
      <c r="N653" s="167">
        <f t="shared" si="653"/>
        <v>0</v>
      </c>
      <c r="O653" s="167">
        <f t="shared" si="653"/>
        <v>0</v>
      </c>
      <c r="P653" s="167">
        <f t="shared" si="653"/>
        <v>0</v>
      </c>
      <c r="Q653" s="167">
        <f t="shared" si="653"/>
        <v>0</v>
      </c>
      <c r="R653" s="167">
        <f t="shared" si="653"/>
        <v>0</v>
      </c>
      <c r="S653" s="167">
        <f t="shared" si="653"/>
        <v>0</v>
      </c>
      <c r="T653" s="167">
        <f t="shared" si="653"/>
        <v>0</v>
      </c>
      <c r="U653" s="190">
        <f t="shared" si="653"/>
        <v>0</v>
      </c>
      <c r="V653" s="167">
        <f t="shared" si="653"/>
        <v>0</v>
      </c>
      <c r="W653" s="167">
        <f t="shared" si="653"/>
        <v>179.7</v>
      </c>
      <c r="X653" s="167">
        <f t="shared" si="653"/>
        <v>554998.06000000006</v>
      </c>
      <c r="Y653" s="167">
        <f t="shared" si="653"/>
        <v>0</v>
      </c>
      <c r="Z653" s="167">
        <f t="shared" si="653"/>
        <v>0</v>
      </c>
      <c r="AA653" s="167">
        <f t="shared" si="653"/>
        <v>0</v>
      </c>
      <c r="AB653" s="167">
        <f t="shared" si="653"/>
        <v>0</v>
      </c>
      <c r="AC653" s="167">
        <f t="shared" si="653"/>
        <v>0</v>
      </c>
      <c r="AD653" s="167">
        <f t="shared" si="653"/>
        <v>0</v>
      </c>
      <c r="AE653" s="167">
        <f t="shared" si="653"/>
        <v>0</v>
      </c>
      <c r="AF653" s="167">
        <f t="shared" si="653"/>
        <v>0</v>
      </c>
      <c r="AG653" s="167">
        <f t="shared" si="653"/>
        <v>0</v>
      </c>
      <c r="AH653" s="167">
        <f t="shared" si="653"/>
        <v>0</v>
      </c>
      <c r="AI653" s="167">
        <f t="shared" si="653"/>
        <v>0</v>
      </c>
      <c r="AJ653" s="167">
        <f t="shared" si="653"/>
        <v>17434.490000000002</v>
      </c>
      <c r="AK653" s="167">
        <f t="shared" si="653"/>
        <v>8717.25</v>
      </c>
      <c r="AL653" s="167">
        <f t="shared" si="653"/>
        <v>0</v>
      </c>
      <c r="AM653" s="280"/>
      <c r="AN653" s="280"/>
      <c r="AP653" s="486" t="e">
        <f t="shared" si="568"/>
        <v>#DIV/0!</v>
      </c>
      <c r="AQ653" s="486" t="e">
        <f t="shared" si="571"/>
        <v>#DIV/0!</v>
      </c>
      <c r="AR653" s="497" t="e">
        <f t="shared" si="572"/>
        <v>#DIV/0!</v>
      </c>
      <c r="AS653" s="497" t="e">
        <f t="shared" si="573"/>
        <v>#DIV/0!</v>
      </c>
      <c r="AT653" s="497" t="e">
        <f t="shared" si="574"/>
        <v>#DIV/0!</v>
      </c>
      <c r="AU653" s="497" t="e">
        <f t="shared" si="575"/>
        <v>#DIV/0!</v>
      </c>
      <c r="AV653" s="497" t="e">
        <f t="shared" si="576"/>
        <v>#DIV/0!</v>
      </c>
      <c r="AW653" s="497">
        <f t="shared" si="577"/>
        <v>3088.4700055648309</v>
      </c>
      <c r="AX653" s="497" t="e">
        <f t="shared" si="578"/>
        <v>#DIV/0!</v>
      </c>
      <c r="AY653" s="486" t="e">
        <f t="shared" si="579"/>
        <v>#DIV/0!</v>
      </c>
      <c r="AZ653" s="497" t="e">
        <f t="shared" si="580"/>
        <v>#DIV/0!</v>
      </c>
      <c r="BA653" s="486">
        <f t="shared" si="569"/>
        <v>0</v>
      </c>
      <c r="BB653" s="494">
        <v>5155.41</v>
      </c>
      <c r="BC653" s="494">
        <v>2070.12</v>
      </c>
      <c r="BD653" s="494">
        <v>848.92</v>
      </c>
      <c r="BE653" s="494">
        <v>819.73</v>
      </c>
      <c r="BF653" s="494">
        <v>611.5</v>
      </c>
      <c r="BG653" s="494">
        <v>1080.04</v>
      </c>
      <c r="BH653" s="494">
        <v>2671800.0099999998</v>
      </c>
      <c r="BI653" s="494">
        <f t="shared" si="606"/>
        <v>4422.8500000000004</v>
      </c>
      <c r="BJ653" s="494">
        <v>14289.54</v>
      </c>
      <c r="BK653" s="494">
        <v>3389.61</v>
      </c>
      <c r="BL653" s="494">
        <v>5995.76</v>
      </c>
      <c r="BM653" s="494">
        <v>548.62</v>
      </c>
      <c r="BN653" s="493" t="e">
        <f t="shared" si="581"/>
        <v>#DIV/0!</v>
      </c>
      <c r="BO653" s="493" t="e">
        <f t="shared" si="582"/>
        <v>#DIV/0!</v>
      </c>
      <c r="BP653" s="493" t="e">
        <f t="shared" si="583"/>
        <v>#DIV/0!</v>
      </c>
      <c r="BQ653" s="493" t="e">
        <f t="shared" si="584"/>
        <v>#DIV/0!</v>
      </c>
      <c r="BR653" s="493" t="e">
        <f t="shared" si="585"/>
        <v>#DIV/0!</v>
      </c>
      <c r="BS653" s="493" t="e">
        <f t="shared" si="586"/>
        <v>#DIV/0!</v>
      </c>
      <c r="BT653" s="493" t="e">
        <f t="shared" si="587"/>
        <v>#DIV/0!</v>
      </c>
      <c r="BU653" s="493" t="str">
        <f t="shared" si="588"/>
        <v xml:space="preserve"> </v>
      </c>
      <c r="BV653" s="493" t="e">
        <f t="shared" si="589"/>
        <v>#DIV/0!</v>
      </c>
      <c r="BW653" s="493" t="e">
        <f t="shared" si="590"/>
        <v>#DIV/0!</v>
      </c>
      <c r="BX653" s="493" t="e">
        <f t="shared" si="591"/>
        <v>#DIV/0!</v>
      </c>
      <c r="BY653" s="493" t="str">
        <f t="shared" si="592"/>
        <v xml:space="preserve"> </v>
      </c>
    </row>
    <row r="654" spans="1:77" s="28" customFormat="1" ht="11.25" customHeight="1">
      <c r="A654" s="833" t="s">
        <v>437</v>
      </c>
      <c r="B654" s="834"/>
      <c r="C654" s="834"/>
      <c r="D654" s="834"/>
      <c r="E654" s="834"/>
      <c r="F654" s="834"/>
      <c r="G654" s="834"/>
      <c r="H654" s="834"/>
      <c r="I654" s="834"/>
      <c r="J654" s="834"/>
      <c r="K654" s="834"/>
      <c r="L654" s="834"/>
      <c r="M654" s="834"/>
      <c r="N654" s="834"/>
      <c r="O654" s="834"/>
      <c r="P654" s="834"/>
      <c r="Q654" s="834"/>
      <c r="R654" s="834"/>
      <c r="S654" s="834"/>
      <c r="T654" s="834"/>
      <c r="U654" s="834"/>
      <c r="V654" s="834"/>
      <c r="W654" s="834"/>
      <c r="X654" s="834"/>
      <c r="Y654" s="834"/>
      <c r="Z654" s="834"/>
      <c r="AA654" s="834"/>
      <c r="AB654" s="834"/>
      <c r="AC654" s="834"/>
      <c r="AD654" s="834"/>
      <c r="AE654" s="834"/>
      <c r="AF654" s="834"/>
      <c r="AG654" s="834"/>
      <c r="AH654" s="834"/>
      <c r="AI654" s="834"/>
      <c r="AJ654" s="834"/>
      <c r="AK654" s="834"/>
      <c r="AL654" s="835"/>
      <c r="AM654" s="280"/>
      <c r="AN654" s="280"/>
      <c r="AP654" s="486" t="e">
        <f t="shared" si="568"/>
        <v>#DIV/0!</v>
      </c>
      <c r="AQ654" s="486" t="e">
        <f t="shared" si="571"/>
        <v>#DIV/0!</v>
      </c>
      <c r="AR654" s="497" t="e">
        <f t="shared" si="572"/>
        <v>#DIV/0!</v>
      </c>
      <c r="AS654" s="497" t="e">
        <f t="shared" si="573"/>
        <v>#DIV/0!</v>
      </c>
      <c r="AT654" s="497" t="e">
        <f t="shared" si="574"/>
        <v>#DIV/0!</v>
      </c>
      <c r="AU654" s="497" t="e">
        <f t="shared" si="575"/>
        <v>#DIV/0!</v>
      </c>
      <c r="AV654" s="497" t="e">
        <f t="shared" si="576"/>
        <v>#DIV/0!</v>
      </c>
      <c r="AW654" s="497" t="e">
        <f t="shared" si="577"/>
        <v>#DIV/0!</v>
      </c>
      <c r="AX654" s="497" t="e">
        <f t="shared" si="578"/>
        <v>#DIV/0!</v>
      </c>
      <c r="AY654" s="486" t="e">
        <f t="shared" si="579"/>
        <v>#DIV/0!</v>
      </c>
      <c r="AZ654" s="497" t="e">
        <f t="shared" si="580"/>
        <v>#DIV/0!</v>
      </c>
      <c r="BA654" s="486" t="e">
        <f t="shared" si="569"/>
        <v>#DIV/0!</v>
      </c>
      <c r="BB654" s="494">
        <v>5155.41</v>
      </c>
      <c r="BC654" s="494">
        <v>2070.12</v>
      </c>
      <c r="BD654" s="494">
        <v>848.92</v>
      </c>
      <c r="BE654" s="494">
        <v>819.73</v>
      </c>
      <c r="BF654" s="494">
        <v>611.5</v>
      </c>
      <c r="BG654" s="494">
        <v>1080.04</v>
      </c>
      <c r="BH654" s="494">
        <v>2671800.0099999998</v>
      </c>
      <c r="BI654" s="494">
        <f t="shared" si="606"/>
        <v>4422.8500000000004</v>
      </c>
      <c r="BJ654" s="494">
        <v>14289.54</v>
      </c>
      <c r="BK654" s="494">
        <v>3389.61</v>
      </c>
      <c r="BL654" s="494">
        <v>5995.76</v>
      </c>
      <c r="BM654" s="494">
        <v>548.62</v>
      </c>
      <c r="BN654" s="493" t="e">
        <f t="shared" si="581"/>
        <v>#DIV/0!</v>
      </c>
      <c r="BO654" s="493" t="e">
        <f t="shared" si="582"/>
        <v>#DIV/0!</v>
      </c>
      <c r="BP654" s="493" t="e">
        <f t="shared" si="583"/>
        <v>#DIV/0!</v>
      </c>
      <c r="BQ654" s="493" t="e">
        <f t="shared" si="584"/>
        <v>#DIV/0!</v>
      </c>
      <c r="BR654" s="493" t="e">
        <f t="shared" si="585"/>
        <v>#DIV/0!</v>
      </c>
      <c r="BS654" s="493" t="e">
        <f t="shared" si="586"/>
        <v>#DIV/0!</v>
      </c>
      <c r="BT654" s="493" t="e">
        <f t="shared" si="587"/>
        <v>#DIV/0!</v>
      </c>
      <c r="BU654" s="493" t="e">
        <f t="shared" si="588"/>
        <v>#DIV/0!</v>
      </c>
      <c r="BV654" s="493" t="e">
        <f t="shared" si="589"/>
        <v>#DIV/0!</v>
      </c>
      <c r="BW654" s="493" t="e">
        <f t="shared" si="590"/>
        <v>#DIV/0!</v>
      </c>
      <c r="BX654" s="493" t="e">
        <f t="shared" si="591"/>
        <v>#DIV/0!</v>
      </c>
      <c r="BY654" s="493" t="e">
        <f t="shared" si="592"/>
        <v>#DIV/0!</v>
      </c>
    </row>
    <row r="655" spans="1:77" s="28" customFormat="1" ht="9" customHeight="1">
      <c r="A655" s="278">
        <v>233</v>
      </c>
      <c r="B655" s="156" t="s">
        <v>1070</v>
      </c>
      <c r="C655" s="249">
        <v>875.6</v>
      </c>
      <c r="D655" s="376"/>
      <c r="E655" s="362" t="s">
        <v>1005</v>
      </c>
      <c r="F655" s="249"/>
      <c r="G655" s="249"/>
      <c r="H655" s="407">
        <v>2133026.52</v>
      </c>
      <c r="I655" s="407">
        <f t="shared" ref="I655" si="654">J655+L655+N655+P655+R655+T655</f>
        <v>0</v>
      </c>
      <c r="J655" s="217">
        <v>0</v>
      </c>
      <c r="K655" s="469">
        <v>0</v>
      </c>
      <c r="L655" s="217">
        <v>0</v>
      </c>
      <c r="M655" s="469">
        <v>0</v>
      </c>
      <c r="N655" s="217">
        <v>0</v>
      </c>
      <c r="O655" s="249">
        <v>0</v>
      </c>
      <c r="P655" s="407">
        <v>0</v>
      </c>
      <c r="Q655" s="249">
        <v>0</v>
      </c>
      <c r="R655" s="407">
        <v>0</v>
      </c>
      <c r="S655" s="249">
        <v>0</v>
      </c>
      <c r="T655" s="407">
        <v>0</v>
      </c>
      <c r="U655" s="130">
        <v>0</v>
      </c>
      <c r="V655" s="407">
        <v>0</v>
      </c>
      <c r="W655" s="410">
        <v>639.78</v>
      </c>
      <c r="X655" s="407">
        <f t="shared" ref="X655" si="655">ROUND(H655/100*95.5,2)</f>
        <v>2037040.33</v>
      </c>
      <c r="Y655" s="410">
        <v>0</v>
      </c>
      <c r="Z655" s="410">
        <v>0</v>
      </c>
      <c r="AA655" s="410">
        <v>0</v>
      </c>
      <c r="AB655" s="410">
        <v>0</v>
      </c>
      <c r="AC655" s="410">
        <v>0</v>
      </c>
      <c r="AD655" s="410">
        <v>0</v>
      </c>
      <c r="AE655" s="410">
        <v>0</v>
      </c>
      <c r="AF655" s="410">
        <v>0</v>
      </c>
      <c r="AG655" s="410">
        <v>0</v>
      </c>
      <c r="AH655" s="410">
        <v>0</v>
      </c>
      <c r="AI655" s="410">
        <v>0</v>
      </c>
      <c r="AJ655" s="410">
        <f t="shared" ref="AJ655" si="656">ROUND(H655/100*3,2)</f>
        <v>63990.8</v>
      </c>
      <c r="AK655" s="410">
        <f t="shared" ref="AK655" si="657">ROUND(H655/100*1.5,2)</f>
        <v>31995.4</v>
      </c>
      <c r="AL655" s="410">
        <v>0</v>
      </c>
      <c r="AM655" s="446"/>
      <c r="AN655" s="446"/>
      <c r="AP655" s="486" t="e">
        <f t="shared" si="568"/>
        <v>#DIV/0!</v>
      </c>
      <c r="AQ655" s="486" t="e">
        <f t="shared" si="571"/>
        <v>#DIV/0!</v>
      </c>
      <c r="AR655" s="486" t="e">
        <f t="shared" si="572"/>
        <v>#DIV/0!</v>
      </c>
      <c r="AS655" s="486" t="e">
        <f t="shared" si="573"/>
        <v>#DIV/0!</v>
      </c>
      <c r="AT655" s="486" t="e">
        <f t="shared" si="574"/>
        <v>#DIV/0!</v>
      </c>
      <c r="AU655" s="486" t="e">
        <f t="shared" si="575"/>
        <v>#DIV/0!</v>
      </c>
      <c r="AV655" s="486" t="e">
        <f t="shared" si="576"/>
        <v>#DIV/0!</v>
      </c>
      <c r="AW655" s="486">
        <f t="shared" si="577"/>
        <v>3183.970005314327</v>
      </c>
      <c r="AX655" s="486" t="e">
        <f t="shared" si="578"/>
        <v>#DIV/0!</v>
      </c>
      <c r="AY655" s="486" t="e">
        <f t="shared" si="579"/>
        <v>#DIV/0!</v>
      </c>
      <c r="AZ655" s="486" t="e">
        <f t="shared" si="580"/>
        <v>#DIV/0!</v>
      </c>
      <c r="BA655" s="486">
        <f t="shared" si="569"/>
        <v>0</v>
      </c>
      <c r="BB655" s="494">
        <v>5155.41</v>
      </c>
      <c r="BC655" s="494">
        <v>2070.12</v>
      </c>
      <c r="BD655" s="494">
        <v>848.92</v>
      </c>
      <c r="BE655" s="494">
        <v>819.73</v>
      </c>
      <c r="BF655" s="494">
        <v>611.5</v>
      </c>
      <c r="BG655" s="494">
        <v>1080.04</v>
      </c>
      <c r="BH655" s="494">
        <v>2671800.0099999998</v>
      </c>
      <c r="BI655" s="494">
        <f t="shared" si="606"/>
        <v>4607.6000000000004</v>
      </c>
      <c r="BJ655" s="494">
        <v>14289.54</v>
      </c>
      <c r="BK655" s="494">
        <v>3389.61</v>
      </c>
      <c r="BL655" s="494">
        <v>5995.76</v>
      </c>
      <c r="BM655" s="494">
        <v>548.62</v>
      </c>
      <c r="BN655" s="495" t="e">
        <f t="shared" si="581"/>
        <v>#DIV/0!</v>
      </c>
      <c r="BO655" s="495" t="e">
        <f t="shared" si="582"/>
        <v>#DIV/0!</v>
      </c>
      <c r="BP655" s="495" t="e">
        <f t="shared" si="583"/>
        <v>#DIV/0!</v>
      </c>
      <c r="BQ655" s="495" t="e">
        <f t="shared" si="584"/>
        <v>#DIV/0!</v>
      </c>
      <c r="BR655" s="495" t="e">
        <f t="shared" si="585"/>
        <v>#DIV/0!</v>
      </c>
      <c r="BS655" s="495" t="e">
        <f t="shared" si="586"/>
        <v>#DIV/0!</v>
      </c>
      <c r="BT655" s="495" t="e">
        <f t="shared" si="587"/>
        <v>#DIV/0!</v>
      </c>
      <c r="BU655" s="495" t="str">
        <f t="shared" si="588"/>
        <v xml:space="preserve"> </v>
      </c>
      <c r="BV655" s="495" t="e">
        <f t="shared" si="589"/>
        <v>#DIV/0!</v>
      </c>
      <c r="BW655" s="495" t="e">
        <f t="shared" si="590"/>
        <v>#DIV/0!</v>
      </c>
      <c r="BX655" s="495" t="e">
        <f t="shared" si="591"/>
        <v>#DIV/0!</v>
      </c>
      <c r="BY655" s="495" t="str">
        <f t="shared" si="592"/>
        <v xml:space="preserve"> </v>
      </c>
    </row>
    <row r="656" spans="1:77" s="28" customFormat="1" ht="35.25" customHeight="1">
      <c r="A656" s="954" t="s">
        <v>438</v>
      </c>
      <c r="B656" s="954"/>
      <c r="C656" s="407">
        <f>SUM(C655)</f>
        <v>875.6</v>
      </c>
      <c r="D656" s="396"/>
      <c r="E656" s="362" t="s">
        <v>391</v>
      </c>
      <c r="F656" s="374"/>
      <c r="G656" s="374"/>
      <c r="H656" s="407">
        <f>SUM(H655)</f>
        <v>2133026.52</v>
      </c>
      <c r="I656" s="407">
        <f t="shared" ref="I656:AN656" si="658">SUM(I655)</f>
        <v>0</v>
      </c>
      <c r="J656" s="407">
        <f t="shared" si="658"/>
        <v>0</v>
      </c>
      <c r="K656" s="407">
        <f t="shared" si="658"/>
        <v>0</v>
      </c>
      <c r="L656" s="407">
        <f t="shared" si="658"/>
        <v>0</v>
      </c>
      <c r="M656" s="407">
        <f t="shared" si="658"/>
        <v>0</v>
      </c>
      <c r="N656" s="407">
        <f t="shared" si="658"/>
        <v>0</v>
      </c>
      <c r="O656" s="407">
        <f t="shared" si="658"/>
        <v>0</v>
      </c>
      <c r="P656" s="407">
        <f t="shared" si="658"/>
        <v>0</v>
      </c>
      <c r="Q656" s="407">
        <f t="shared" si="658"/>
        <v>0</v>
      </c>
      <c r="R656" s="407">
        <f t="shared" si="658"/>
        <v>0</v>
      </c>
      <c r="S656" s="407">
        <f t="shared" si="658"/>
        <v>0</v>
      </c>
      <c r="T656" s="407">
        <f t="shared" si="658"/>
        <v>0</v>
      </c>
      <c r="U656" s="130">
        <f t="shared" si="658"/>
        <v>0</v>
      </c>
      <c r="V656" s="407">
        <f t="shared" si="658"/>
        <v>0</v>
      </c>
      <c r="W656" s="407">
        <f t="shared" si="658"/>
        <v>639.78</v>
      </c>
      <c r="X656" s="407">
        <f t="shared" si="658"/>
        <v>2037040.33</v>
      </c>
      <c r="Y656" s="407">
        <f t="shared" si="658"/>
        <v>0</v>
      </c>
      <c r="Z656" s="407">
        <f t="shared" si="658"/>
        <v>0</v>
      </c>
      <c r="AA656" s="407">
        <f t="shared" si="658"/>
        <v>0</v>
      </c>
      <c r="AB656" s="407">
        <f t="shared" si="658"/>
        <v>0</v>
      </c>
      <c r="AC656" s="407">
        <f t="shared" si="658"/>
        <v>0</v>
      </c>
      <c r="AD656" s="407">
        <f t="shared" si="658"/>
        <v>0</v>
      </c>
      <c r="AE656" s="407">
        <f t="shared" si="658"/>
        <v>0</v>
      </c>
      <c r="AF656" s="407">
        <f t="shared" si="658"/>
        <v>0</v>
      </c>
      <c r="AG656" s="407">
        <f t="shared" si="658"/>
        <v>0</v>
      </c>
      <c r="AH656" s="407">
        <f t="shared" si="658"/>
        <v>0</v>
      </c>
      <c r="AI656" s="407">
        <f t="shared" si="658"/>
        <v>0</v>
      </c>
      <c r="AJ656" s="407">
        <f t="shared" si="658"/>
        <v>63990.8</v>
      </c>
      <c r="AK656" s="407">
        <f t="shared" si="658"/>
        <v>31995.4</v>
      </c>
      <c r="AL656" s="407">
        <f t="shared" si="658"/>
        <v>0</v>
      </c>
      <c r="AM656" s="407">
        <f t="shared" si="658"/>
        <v>0</v>
      </c>
      <c r="AN656" s="407">
        <f t="shared" si="658"/>
        <v>0</v>
      </c>
      <c r="AP656" s="486" t="e">
        <f t="shared" si="568"/>
        <v>#DIV/0!</v>
      </c>
      <c r="AQ656" s="486" t="e">
        <f t="shared" si="571"/>
        <v>#DIV/0!</v>
      </c>
      <c r="AR656" s="497" t="e">
        <f t="shared" si="572"/>
        <v>#DIV/0!</v>
      </c>
      <c r="AS656" s="497" t="e">
        <f t="shared" si="573"/>
        <v>#DIV/0!</v>
      </c>
      <c r="AT656" s="497" t="e">
        <f t="shared" si="574"/>
        <v>#DIV/0!</v>
      </c>
      <c r="AU656" s="497" t="e">
        <f t="shared" si="575"/>
        <v>#DIV/0!</v>
      </c>
      <c r="AV656" s="497" t="e">
        <f t="shared" si="576"/>
        <v>#DIV/0!</v>
      </c>
      <c r="AW656" s="497">
        <f t="shared" si="577"/>
        <v>3183.970005314327</v>
      </c>
      <c r="AX656" s="497" t="e">
        <f t="shared" si="578"/>
        <v>#DIV/0!</v>
      </c>
      <c r="AY656" s="486" t="e">
        <f t="shared" si="579"/>
        <v>#DIV/0!</v>
      </c>
      <c r="AZ656" s="497" t="e">
        <f t="shared" si="580"/>
        <v>#DIV/0!</v>
      </c>
      <c r="BA656" s="486">
        <f t="shared" si="569"/>
        <v>0</v>
      </c>
      <c r="BB656" s="494">
        <v>5155.41</v>
      </c>
      <c r="BC656" s="494">
        <v>2070.12</v>
      </c>
      <c r="BD656" s="494">
        <v>848.92</v>
      </c>
      <c r="BE656" s="494">
        <v>819.73</v>
      </c>
      <c r="BF656" s="494">
        <v>611.5</v>
      </c>
      <c r="BG656" s="494">
        <v>1080.04</v>
      </c>
      <c r="BH656" s="494">
        <v>2671800.0099999998</v>
      </c>
      <c r="BI656" s="494">
        <f t="shared" si="606"/>
        <v>4422.8500000000004</v>
      </c>
      <c r="BJ656" s="494">
        <v>14289.54</v>
      </c>
      <c r="BK656" s="494">
        <v>3389.61</v>
      </c>
      <c r="BL656" s="494">
        <v>5995.76</v>
      </c>
      <c r="BM656" s="494">
        <v>548.62</v>
      </c>
      <c r="BN656" s="493" t="e">
        <f t="shared" si="581"/>
        <v>#DIV/0!</v>
      </c>
      <c r="BO656" s="493" t="e">
        <f t="shared" si="582"/>
        <v>#DIV/0!</v>
      </c>
      <c r="BP656" s="493" t="e">
        <f t="shared" si="583"/>
        <v>#DIV/0!</v>
      </c>
      <c r="BQ656" s="493" t="e">
        <f t="shared" si="584"/>
        <v>#DIV/0!</v>
      </c>
      <c r="BR656" s="493" t="e">
        <f t="shared" si="585"/>
        <v>#DIV/0!</v>
      </c>
      <c r="BS656" s="493" t="e">
        <f t="shared" si="586"/>
        <v>#DIV/0!</v>
      </c>
      <c r="BT656" s="493" t="e">
        <f t="shared" si="587"/>
        <v>#DIV/0!</v>
      </c>
      <c r="BU656" s="493" t="str">
        <f t="shared" si="588"/>
        <v xml:space="preserve"> </v>
      </c>
      <c r="BV656" s="493" t="e">
        <f t="shared" si="589"/>
        <v>#DIV/0!</v>
      </c>
      <c r="BW656" s="493" t="e">
        <f t="shared" si="590"/>
        <v>#DIV/0!</v>
      </c>
      <c r="BX656" s="493" t="e">
        <f t="shared" si="591"/>
        <v>#DIV/0!</v>
      </c>
      <c r="BY656" s="493" t="str">
        <f t="shared" si="592"/>
        <v xml:space="preserve"> </v>
      </c>
    </row>
    <row r="657" spans="1:77" s="28" customFormat="1" ht="13.5" customHeight="1">
      <c r="A657" s="833" t="s">
        <v>429</v>
      </c>
      <c r="B657" s="834"/>
      <c r="C657" s="834"/>
      <c r="D657" s="834"/>
      <c r="E657" s="834"/>
      <c r="F657" s="834"/>
      <c r="G657" s="834"/>
      <c r="H657" s="834"/>
      <c r="I657" s="834"/>
      <c r="J657" s="834"/>
      <c r="K657" s="834"/>
      <c r="L657" s="834"/>
      <c r="M657" s="834"/>
      <c r="N657" s="834"/>
      <c r="O657" s="834"/>
      <c r="P657" s="834"/>
      <c r="Q657" s="834"/>
      <c r="R657" s="834"/>
      <c r="S657" s="834"/>
      <c r="T657" s="834"/>
      <c r="U657" s="834"/>
      <c r="V657" s="834"/>
      <c r="W657" s="834"/>
      <c r="X657" s="834"/>
      <c r="Y657" s="834"/>
      <c r="Z657" s="834"/>
      <c r="AA657" s="834"/>
      <c r="AB657" s="834"/>
      <c r="AC657" s="834"/>
      <c r="AD657" s="834"/>
      <c r="AE657" s="834"/>
      <c r="AF657" s="834"/>
      <c r="AG657" s="834"/>
      <c r="AH657" s="834"/>
      <c r="AI657" s="834"/>
      <c r="AJ657" s="834"/>
      <c r="AK657" s="834"/>
      <c r="AL657" s="835"/>
      <c r="AM657" s="280"/>
      <c r="AN657" s="280"/>
      <c r="AP657" s="486" t="e">
        <f t="shared" ref="AP657:AP691" si="659">J657/D657</f>
        <v>#DIV/0!</v>
      </c>
      <c r="AQ657" s="486" t="e">
        <f t="shared" si="571"/>
        <v>#DIV/0!</v>
      </c>
      <c r="AR657" s="497" t="e">
        <f t="shared" si="572"/>
        <v>#DIV/0!</v>
      </c>
      <c r="AS657" s="497" t="e">
        <f t="shared" si="573"/>
        <v>#DIV/0!</v>
      </c>
      <c r="AT657" s="497" t="e">
        <f t="shared" si="574"/>
        <v>#DIV/0!</v>
      </c>
      <c r="AU657" s="497" t="e">
        <f t="shared" si="575"/>
        <v>#DIV/0!</v>
      </c>
      <c r="AV657" s="497" t="e">
        <f t="shared" si="576"/>
        <v>#DIV/0!</v>
      </c>
      <c r="AW657" s="497" t="e">
        <f t="shared" si="577"/>
        <v>#DIV/0!</v>
      </c>
      <c r="AX657" s="497" t="e">
        <f t="shared" si="578"/>
        <v>#DIV/0!</v>
      </c>
      <c r="AY657" s="486" t="e">
        <f t="shared" si="579"/>
        <v>#DIV/0!</v>
      </c>
      <c r="AZ657" s="497" t="e">
        <f t="shared" si="580"/>
        <v>#DIV/0!</v>
      </c>
      <c r="BA657" s="486" t="e">
        <f t="shared" ref="BA657:BA691" si="660">AI657/C657</f>
        <v>#DIV/0!</v>
      </c>
      <c r="BB657" s="494">
        <v>5155.41</v>
      </c>
      <c r="BC657" s="494">
        <v>2070.12</v>
      </c>
      <c r="BD657" s="494">
        <v>848.92</v>
      </c>
      <c r="BE657" s="494">
        <v>819.73</v>
      </c>
      <c r="BF657" s="494">
        <v>611.5</v>
      </c>
      <c r="BG657" s="494">
        <v>1080.04</v>
      </c>
      <c r="BH657" s="494">
        <v>2671800.0099999998</v>
      </c>
      <c r="BI657" s="494">
        <f t="shared" si="606"/>
        <v>4422.8500000000004</v>
      </c>
      <c r="BJ657" s="494">
        <v>14289.54</v>
      </c>
      <c r="BK657" s="494">
        <v>3389.61</v>
      </c>
      <c r="BL657" s="494">
        <v>5995.76</v>
      </c>
      <c r="BM657" s="494">
        <v>548.62</v>
      </c>
      <c r="BN657" s="493" t="e">
        <f t="shared" si="581"/>
        <v>#DIV/0!</v>
      </c>
      <c r="BO657" s="493" t="e">
        <f t="shared" si="582"/>
        <v>#DIV/0!</v>
      </c>
      <c r="BP657" s="493" t="e">
        <f t="shared" si="583"/>
        <v>#DIV/0!</v>
      </c>
      <c r="BQ657" s="493" t="e">
        <f t="shared" si="584"/>
        <v>#DIV/0!</v>
      </c>
      <c r="BR657" s="493" t="e">
        <f t="shared" si="585"/>
        <v>#DIV/0!</v>
      </c>
      <c r="BS657" s="493" t="e">
        <f t="shared" si="586"/>
        <v>#DIV/0!</v>
      </c>
      <c r="BT657" s="493" t="e">
        <f t="shared" si="587"/>
        <v>#DIV/0!</v>
      </c>
      <c r="BU657" s="493" t="e">
        <f t="shared" si="588"/>
        <v>#DIV/0!</v>
      </c>
      <c r="BV657" s="493" t="e">
        <f t="shared" si="589"/>
        <v>#DIV/0!</v>
      </c>
      <c r="BW657" s="493" t="e">
        <f t="shared" si="590"/>
        <v>#DIV/0!</v>
      </c>
      <c r="BX657" s="493" t="e">
        <f t="shared" si="591"/>
        <v>#DIV/0!</v>
      </c>
      <c r="BY657" s="493" t="e">
        <f t="shared" si="592"/>
        <v>#DIV/0!</v>
      </c>
    </row>
    <row r="658" spans="1:77" s="28" customFormat="1" ht="9" customHeight="1">
      <c r="A658" s="278">
        <v>234</v>
      </c>
      <c r="B658" s="156" t="s">
        <v>961</v>
      </c>
      <c r="C658" s="249">
        <v>1477.42</v>
      </c>
      <c r="D658" s="376"/>
      <c r="E658" s="362" t="s">
        <v>1006</v>
      </c>
      <c r="F658" s="249"/>
      <c r="G658" s="249"/>
      <c r="H658" s="407">
        <v>2988216</v>
      </c>
      <c r="I658" s="407">
        <f t="shared" ref="I658" si="661">J658+L658+N658+P658+R658+T658</f>
        <v>0</v>
      </c>
      <c r="J658" s="217">
        <v>0</v>
      </c>
      <c r="K658" s="469">
        <v>0</v>
      </c>
      <c r="L658" s="217">
        <v>0</v>
      </c>
      <c r="M658" s="469">
        <v>0</v>
      </c>
      <c r="N658" s="217">
        <v>0</v>
      </c>
      <c r="O658" s="249">
        <v>0</v>
      </c>
      <c r="P658" s="407">
        <v>0</v>
      </c>
      <c r="Q658" s="249">
        <v>0</v>
      </c>
      <c r="R658" s="407">
        <v>0</v>
      </c>
      <c r="S658" s="249">
        <v>0</v>
      </c>
      <c r="T658" s="407">
        <v>0</v>
      </c>
      <c r="U658" s="130">
        <v>0</v>
      </c>
      <c r="V658" s="407">
        <v>0</v>
      </c>
      <c r="W658" s="19">
        <v>924</v>
      </c>
      <c r="X658" s="407">
        <f t="shared" ref="X658" si="662">ROUND(H658/100*95.5,2)</f>
        <v>2853746.28</v>
      </c>
      <c r="Y658" s="410">
        <v>0</v>
      </c>
      <c r="Z658" s="410">
        <v>0</v>
      </c>
      <c r="AA658" s="410">
        <v>0</v>
      </c>
      <c r="AB658" s="410">
        <v>0</v>
      </c>
      <c r="AC658" s="410">
        <v>0</v>
      </c>
      <c r="AD658" s="410">
        <v>0</v>
      </c>
      <c r="AE658" s="410">
        <v>0</v>
      </c>
      <c r="AF658" s="410">
        <v>0</v>
      </c>
      <c r="AG658" s="410">
        <v>0</v>
      </c>
      <c r="AH658" s="410">
        <v>0</v>
      </c>
      <c r="AI658" s="410">
        <v>0</v>
      </c>
      <c r="AJ658" s="410">
        <f t="shared" ref="AJ658" si="663">ROUND(H658/100*3,2)</f>
        <v>89646.48</v>
      </c>
      <c r="AK658" s="410">
        <f t="shared" ref="AK658" si="664">ROUND(H658/100*1.5,2)</f>
        <v>44823.24</v>
      </c>
      <c r="AL658" s="410">
        <v>0</v>
      </c>
      <c r="AM658" s="446"/>
      <c r="AN658" s="446"/>
      <c r="AP658" s="486" t="e">
        <f t="shared" si="659"/>
        <v>#DIV/0!</v>
      </c>
      <c r="AQ658" s="486" t="e">
        <f t="shared" ref="AQ658:AQ691" si="665">L658/K658</f>
        <v>#DIV/0!</v>
      </c>
      <c r="AR658" s="486" t="e">
        <f t="shared" ref="AR658:AR691" si="666">N658/M658</f>
        <v>#DIV/0!</v>
      </c>
      <c r="AS658" s="486" t="e">
        <f t="shared" ref="AS658:AS691" si="667">P658/O658</f>
        <v>#DIV/0!</v>
      </c>
      <c r="AT658" s="486" t="e">
        <f t="shared" ref="AT658:AT691" si="668">R658/Q658</f>
        <v>#DIV/0!</v>
      </c>
      <c r="AU658" s="486" t="e">
        <f t="shared" ref="AU658:AU691" si="669">T658/S658</f>
        <v>#DIV/0!</v>
      </c>
      <c r="AV658" s="486" t="e">
        <f t="shared" ref="AV658:AV691" si="670">V658/U658</f>
        <v>#DIV/0!</v>
      </c>
      <c r="AW658" s="486">
        <f t="shared" ref="AW658:AW691" si="671">X658/W658</f>
        <v>3088.47</v>
      </c>
      <c r="AX658" s="486" t="e">
        <f t="shared" ref="AX658:AX691" si="672">Z658/Y658</f>
        <v>#DIV/0!</v>
      </c>
      <c r="AY658" s="486" t="e">
        <f t="shared" ref="AY658:AY691" si="673">AB658/AA658</f>
        <v>#DIV/0!</v>
      </c>
      <c r="AZ658" s="486" t="e">
        <f t="shared" ref="AZ658:AZ691" si="674">AH658/AG658</f>
        <v>#DIV/0!</v>
      </c>
      <c r="BA658" s="486">
        <f t="shared" si="660"/>
        <v>0</v>
      </c>
      <c r="BB658" s="494">
        <v>5155.41</v>
      </c>
      <c r="BC658" s="494">
        <v>2070.12</v>
      </c>
      <c r="BD658" s="494">
        <v>848.92</v>
      </c>
      <c r="BE658" s="494">
        <v>819.73</v>
      </c>
      <c r="BF658" s="494">
        <v>611.5</v>
      </c>
      <c r="BG658" s="494">
        <v>1080.04</v>
      </c>
      <c r="BH658" s="494">
        <v>2671800.0099999998</v>
      </c>
      <c r="BI658" s="494">
        <f t="shared" si="606"/>
        <v>4422.8500000000004</v>
      </c>
      <c r="BJ658" s="494">
        <v>14289.54</v>
      </c>
      <c r="BK658" s="494">
        <v>3389.61</v>
      </c>
      <c r="BL658" s="494">
        <v>5995.76</v>
      </c>
      <c r="BM658" s="494">
        <v>548.62</v>
      </c>
      <c r="BN658" s="495" t="e">
        <f t="shared" ref="BN658:BN691" si="675">IF(AP658&gt;BB658, "+", " ")</f>
        <v>#DIV/0!</v>
      </c>
      <c r="BO658" s="495" t="e">
        <f t="shared" ref="BO658:BO691" si="676">IF(AQ658&gt;BC658, "+", " ")</f>
        <v>#DIV/0!</v>
      </c>
      <c r="BP658" s="495" t="e">
        <f t="shared" ref="BP658:BP691" si="677">IF(AR658&gt;BD658, "+", " ")</f>
        <v>#DIV/0!</v>
      </c>
      <c r="BQ658" s="495" t="e">
        <f t="shared" ref="BQ658:BQ691" si="678">IF(AS658&gt;BE658, "+", " ")</f>
        <v>#DIV/0!</v>
      </c>
      <c r="BR658" s="495" t="e">
        <f t="shared" ref="BR658:BR691" si="679">IF(AT658&gt;BF658, "+", " ")</f>
        <v>#DIV/0!</v>
      </c>
      <c r="BS658" s="495" t="e">
        <f t="shared" ref="BS658:BS691" si="680">IF(AU658&gt;BG658, "+", " ")</f>
        <v>#DIV/0!</v>
      </c>
      <c r="BT658" s="495" t="e">
        <f t="shared" ref="BT658:BT691" si="681">IF(AV658&gt;BH658, "+", " ")</f>
        <v>#DIV/0!</v>
      </c>
      <c r="BU658" s="495" t="str">
        <f t="shared" ref="BU658:BU691" si="682">IF(AW658&gt;BI658, "+", " ")</f>
        <v xml:space="preserve"> </v>
      </c>
      <c r="BV658" s="495" t="e">
        <f t="shared" ref="BV658:BV691" si="683">IF(AX658&gt;BJ658, "+", " ")</f>
        <v>#DIV/0!</v>
      </c>
      <c r="BW658" s="495" t="e">
        <f t="shared" ref="BW658:BW691" si="684">IF(AY658&gt;BK658, "+", " ")</f>
        <v>#DIV/0!</v>
      </c>
      <c r="BX658" s="495" t="e">
        <f t="shared" ref="BX658:BX691" si="685">IF(AZ658&gt;BL658, "+", " ")</f>
        <v>#DIV/0!</v>
      </c>
      <c r="BY658" s="495" t="str">
        <f t="shared" ref="BY658:BY691" si="686">IF(BA658&gt;BM658, "+", " ")</f>
        <v xml:space="preserve"> </v>
      </c>
    </row>
    <row r="659" spans="1:77" s="28" customFormat="1" ht="38.25" customHeight="1">
      <c r="A659" s="954" t="s">
        <v>430</v>
      </c>
      <c r="B659" s="954"/>
      <c r="C659" s="407">
        <f>SUM(C658)</f>
        <v>1477.42</v>
      </c>
      <c r="D659" s="396"/>
      <c r="E659" s="362" t="s">
        <v>391</v>
      </c>
      <c r="F659" s="374"/>
      <c r="G659" s="374"/>
      <c r="H659" s="407">
        <f>SUM(H658)</f>
        <v>2988216</v>
      </c>
      <c r="I659" s="407">
        <f t="shared" ref="I659:AL659" si="687">SUM(I658)</f>
        <v>0</v>
      </c>
      <c r="J659" s="407">
        <f t="shared" si="687"/>
        <v>0</v>
      </c>
      <c r="K659" s="407">
        <f t="shared" si="687"/>
        <v>0</v>
      </c>
      <c r="L659" s="407">
        <f t="shared" si="687"/>
        <v>0</v>
      </c>
      <c r="M659" s="407">
        <f t="shared" si="687"/>
        <v>0</v>
      </c>
      <c r="N659" s="407">
        <f t="shared" si="687"/>
        <v>0</v>
      </c>
      <c r="O659" s="407">
        <f t="shared" si="687"/>
        <v>0</v>
      </c>
      <c r="P659" s="407">
        <f t="shared" si="687"/>
        <v>0</v>
      </c>
      <c r="Q659" s="407">
        <f t="shared" si="687"/>
        <v>0</v>
      </c>
      <c r="R659" s="407">
        <f t="shared" si="687"/>
        <v>0</v>
      </c>
      <c r="S659" s="407">
        <f t="shared" si="687"/>
        <v>0</v>
      </c>
      <c r="T659" s="407">
        <f t="shared" si="687"/>
        <v>0</v>
      </c>
      <c r="U659" s="130">
        <f t="shared" si="687"/>
        <v>0</v>
      </c>
      <c r="V659" s="407">
        <f t="shared" si="687"/>
        <v>0</v>
      </c>
      <c r="W659" s="407">
        <f t="shared" si="687"/>
        <v>924</v>
      </c>
      <c r="X659" s="407">
        <f t="shared" si="687"/>
        <v>2853746.28</v>
      </c>
      <c r="Y659" s="407">
        <f t="shared" si="687"/>
        <v>0</v>
      </c>
      <c r="Z659" s="407">
        <f t="shared" si="687"/>
        <v>0</v>
      </c>
      <c r="AA659" s="407">
        <f t="shared" si="687"/>
        <v>0</v>
      </c>
      <c r="AB659" s="407">
        <f t="shared" si="687"/>
        <v>0</v>
      </c>
      <c r="AC659" s="407">
        <f t="shared" si="687"/>
        <v>0</v>
      </c>
      <c r="AD659" s="407">
        <f t="shared" si="687"/>
        <v>0</v>
      </c>
      <c r="AE659" s="407">
        <f t="shared" si="687"/>
        <v>0</v>
      </c>
      <c r="AF659" s="407">
        <f t="shared" si="687"/>
        <v>0</v>
      </c>
      <c r="AG659" s="407">
        <f t="shared" si="687"/>
        <v>0</v>
      </c>
      <c r="AH659" s="407">
        <f t="shared" si="687"/>
        <v>0</v>
      </c>
      <c r="AI659" s="407">
        <f t="shared" si="687"/>
        <v>0</v>
      </c>
      <c r="AJ659" s="407">
        <f t="shared" si="687"/>
        <v>89646.48</v>
      </c>
      <c r="AK659" s="407">
        <f t="shared" si="687"/>
        <v>44823.24</v>
      </c>
      <c r="AL659" s="407">
        <f t="shared" si="687"/>
        <v>0</v>
      </c>
      <c r="AM659" s="280"/>
      <c r="AN659" s="280"/>
      <c r="AP659" s="486" t="e">
        <f t="shared" si="659"/>
        <v>#DIV/0!</v>
      </c>
      <c r="AQ659" s="486" t="e">
        <f t="shared" si="665"/>
        <v>#DIV/0!</v>
      </c>
      <c r="AR659" s="497" t="e">
        <f t="shared" si="666"/>
        <v>#DIV/0!</v>
      </c>
      <c r="AS659" s="497" t="e">
        <f t="shared" si="667"/>
        <v>#DIV/0!</v>
      </c>
      <c r="AT659" s="497" t="e">
        <f t="shared" si="668"/>
        <v>#DIV/0!</v>
      </c>
      <c r="AU659" s="497" t="e">
        <f t="shared" si="669"/>
        <v>#DIV/0!</v>
      </c>
      <c r="AV659" s="497" t="e">
        <f t="shared" si="670"/>
        <v>#DIV/0!</v>
      </c>
      <c r="AW659" s="497">
        <f t="shared" si="671"/>
        <v>3088.47</v>
      </c>
      <c r="AX659" s="497" t="e">
        <f t="shared" si="672"/>
        <v>#DIV/0!</v>
      </c>
      <c r="AY659" s="486" t="e">
        <f t="shared" si="673"/>
        <v>#DIV/0!</v>
      </c>
      <c r="AZ659" s="497" t="e">
        <f t="shared" si="674"/>
        <v>#DIV/0!</v>
      </c>
      <c r="BA659" s="486">
        <f t="shared" si="660"/>
        <v>0</v>
      </c>
      <c r="BB659" s="494">
        <v>5155.41</v>
      </c>
      <c r="BC659" s="494">
        <v>2070.12</v>
      </c>
      <c r="BD659" s="494">
        <v>848.92</v>
      </c>
      <c r="BE659" s="494">
        <v>819.73</v>
      </c>
      <c r="BF659" s="494">
        <v>611.5</v>
      </c>
      <c r="BG659" s="494">
        <v>1080.04</v>
      </c>
      <c r="BH659" s="494">
        <v>2671800.0099999998</v>
      </c>
      <c r="BI659" s="494">
        <f t="shared" si="606"/>
        <v>4422.8500000000004</v>
      </c>
      <c r="BJ659" s="494">
        <v>14289.54</v>
      </c>
      <c r="BK659" s="494">
        <v>3389.61</v>
      </c>
      <c r="BL659" s="494">
        <v>5995.76</v>
      </c>
      <c r="BM659" s="494">
        <v>548.62</v>
      </c>
      <c r="BN659" s="493" t="e">
        <f t="shared" si="675"/>
        <v>#DIV/0!</v>
      </c>
      <c r="BO659" s="493" t="e">
        <f t="shared" si="676"/>
        <v>#DIV/0!</v>
      </c>
      <c r="BP659" s="493" t="e">
        <f t="shared" si="677"/>
        <v>#DIV/0!</v>
      </c>
      <c r="BQ659" s="493" t="e">
        <f t="shared" si="678"/>
        <v>#DIV/0!</v>
      </c>
      <c r="BR659" s="493" t="e">
        <f t="shared" si="679"/>
        <v>#DIV/0!</v>
      </c>
      <c r="BS659" s="493" t="e">
        <f t="shared" si="680"/>
        <v>#DIV/0!</v>
      </c>
      <c r="BT659" s="493" t="e">
        <f t="shared" si="681"/>
        <v>#DIV/0!</v>
      </c>
      <c r="BU659" s="493" t="str">
        <f t="shared" si="682"/>
        <v xml:space="preserve"> </v>
      </c>
      <c r="BV659" s="493" t="e">
        <f t="shared" si="683"/>
        <v>#DIV/0!</v>
      </c>
      <c r="BW659" s="493" t="e">
        <f t="shared" si="684"/>
        <v>#DIV/0!</v>
      </c>
      <c r="BX659" s="493" t="e">
        <f t="shared" si="685"/>
        <v>#DIV/0!</v>
      </c>
      <c r="BY659" s="493" t="str">
        <f t="shared" si="686"/>
        <v xml:space="preserve"> </v>
      </c>
    </row>
    <row r="660" spans="1:77" s="28" customFormat="1" ht="12.75" customHeight="1">
      <c r="A660" s="837" t="s">
        <v>29</v>
      </c>
      <c r="B660" s="838"/>
      <c r="C660" s="838"/>
      <c r="D660" s="838"/>
      <c r="E660" s="838"/>
      <c r="F660" s="838"/>
      <c r="G660" s="838"/>
      <c r="H660" s="838"/>
      <c r="I660" s="838"/>
      <c r="J660" s="838"/>
      <c r="K660" s="838"/>
      <c r="L660" s="838"/>
      <c r="M660" s="838"/>
      <c r="N660" s="838"/>
      <c r="O660" s="838"/>
      <c r="P660" s="838"/>
      <c r="Q660" s="838"/>
      <c r="R660" s="838"/>
      <c r="S660" s="838"/>
      <c r="T660" s="838"/>
      <c r="U660" s="838"/>
      <c r="V660" s="838"/>
      <c r="W660" s="838"/>
      <c r="X660" s="838"/>
      <c r="Y660" s="838"/>
      <c r="Z660" s="838"/>
      <c r="AA660" s="838"/>
      <c r="AB660" s="838"/>
      <c r="AC660" s="838"/>
      <c r="AD660" s="838"/>
      <c r="AE660" s="838"/>
      <c r="AF660" s="838"/>
      <c r="AG660" s="838"/>
      <c r="AH660" s="838"/>
      <c r="AI660" s="838"/>
      <c r="AJ660" s="838"/>
      <c r="AK660" s="838"/>
      <c r="AL660" s="839"/>
      <c r="AM660" s="280"/>
      <c r="AN660" s="280"/>
      <c r="AP660" s="486" t="e">
        <f t="shared" si="659"/>
        <v>#DIV/0!</v>
      </c>
      <c r="AQ660" s="486" t="e">
        <f t="shared" si="665"/>
        <v>#DIV/0!</v>
      </c>
      <c r="AR660" s="497" t="e">
        <f t="shared" si="666"/>
        <v>#DIV/0!</v>
      </c>
      <c r="AS660" s="497" t="e">
        <f t="shared" si="667"/>
        <v>#DIV/0!</v>
      </c>
      <c r="AT660" s="497" t="e">
        <f t="shared" si="668"/>
        <v>#DIV/0!</v>
      </c>
      <c r="AU660" s="497" t="e">
        <f t="shared" si="669"/>
        <v>#DIV/0!</v>
      </c>
      <c r="AV660" s="497" t="e">
        <f t="shared" si="670"/>
        <v>#DIV/0!</v>
      </c>
      <c r="AW660" s="497" t="e">
        <f t="shared" si="671"/>
        <v>#DIV/0!</v>
      </c>
      <c r="AX660" s="497" t="e">
        <f t="shared" si="672"/>
        <v>#DIV/0!</v>
      </c>
      <c r="AY660" s="486" t="e">
        <f t="shared" si="673"/>
        <v>#DIV/0!</v>
      </c>
      <c r="AZ660" s="497" t="e">
        <f t="shared" si="674"/>
        <v>#DIV/0!</v>
      </c>
      <c r="BA660" s="486" t="e">
        <f t="shared" si="660"/>
        <v>#DIV/0!</v>
      </c>
      <c r="BB660" s="494">
        <v>5155.41</v>
      </c>
      <c r="BC660" s="494">
        <v>2070.12</v>
      </c>
      <c r="BD660" s="494">
        <v>848.92</v>
      </c>
      <c r="BE660" s="494">
        <v>819.73</v>
      </c>
      <c r="BF660" s="494">
        <v>611.5</v>
      </c>
      <c r="BG660" s="494">
        <v>1080.04</v>
      </c>
      <c r="BH660" s="494">
        <v>2671800.0099999998</v>
      </c>
      <c r="BI660" s="494">
        <f t="shared" si="606"/>
        <v>4422.8500000000004</v>
      </c>
      <c r="BJ660" s="494">
        <v>14289.54</v>
      </c>
      <c r="BK660" s="494">
        <v>3389.61</v>
      </c>
      <c r="BL660" s="494">
        <v>5995.76</v>
      </c>
      <c r="BM660" s="494">
        <v>548.62</v>
      </c>
      <c r="BN660" s="493" t="e">
        <f t="shared" si="675"/>
        <v>#DIV/0!</v>
      </c>
      <c r="BO660" s="493" t="e">
        <f t="shared" si="676"/>
        <v>#DIV/0!</v>
      </c>
      <c r="BP660" s="493" t="e">
        <f t="shared" si="677"/>
        <v>#DIV/0!</v>
      </c>
      <c r="BQ660" s="493" t="e">
        <f t="shared" si="678"/>
        <v>#DIV/0!</v>
      </c>
      <c r="BR660" s="493" t="e">
        <f t="shared" si="679"/>
        <v>#DIV/0!</v>
      </c>
      <c r="BS660" s="493" t="e">
        <f t="shared" si="680"/>
        <v>#DIV/0!</v>
      </c>
      <c r="BT660" s="493" t="e">
        <f t="shared" si="681"/>
        <v>#DIV/0!</v>
      </c>
      <c r="BU660" s="493" t="e">
        <f t="shared" si="682"/>
        <v>#DIV/0!</v>
      </c>
      <c r="BV660" s="493" t="e">
        <f t="shared" si="683"/>
        <v>#DIV/0!</v>
      </c>
      <c r="BW660" s="493" t="e">
        <f t="shared" si="684"/>
        <v>#DIV/0!</v>
      </c>
      <c r="BX660" s="493" t="e">
        <f t="shared" si="685"/>
        <v>#DIV/0!</v>
      </c>
      <c r="BY660" s="493" t="e">
        <f t="shared" si="686"/>
        <v>#DIV/0!</v>
      </c>
    </row>
    <row r="661" spans="1:77" s="28" customFormat="1" ht="9" customHeight="1">
      <c r="A661" s="278">
        <v>235</v>
      </c>
      <c r="B661" s="156" t="s">
        <v>966</v>
      </c>
      <c r="C661" s="249">
        <v>901.2</v>
      </c>
      <c r="D661" s="376"/>
      <c r="E661" s="362" t="s">
        <v>1006</v>
      </c>
      <c r="F661" s="249"/>
      <c r="G661" s="249"/>
      <c r="H661" s="407">
        <v>2606604</v>
      </c>
      <c r="I661" s="407">
        <f t="shared" ref="I661:I662" si="688">J661+L661+N661+P661+R661+T661</f>
        <v>0</v>
      </c>
      <c r="J661" s="217">
        <v>0</v>
      </c>
      <c r="K661" s="469">
        <v>0</v>
      </c>
      <c r="L661" s="217">
        <v>0</v>
      </c>
      <c r="M661" s="469">
        <v>0</v>
      </c>
      <c r="N661" s="217">
        <v>0</v>
      </c>
      <c r="O661" s="249">
        <v>0</v>
      </c>
      <c r="P661" s="407">
        <v>0</v>
      </c>
      <c r="Q661" s="249">
        <v>0</v>
      </c>
      <c r="R661" s="407">
        <v>0</v>
      </c>
      <c r="S661" s="249">
        <v>0</v>
      </c>
      <c r="T661" s="407">
        <v>0</v>
      </c>
      <c r="U661" s="130">
        <v>0</v>
      </c>
      <c r="V661" s="407">
        <v>0</v>
      </c>
      <c r="W661" s="410">
        <v>806</v>
      </c>
      <c r="X661" s="407">
        <f t="shared" ref="X661:X662" si="689">ROUND(H661/100*95.5,2)</f>
        <v>2489306.8199999998</v>
      </c>
      <c r="Y661" s="410">
        <v>0</v>
      </c>
      <c r="Z661" s="410">
        <v>0</v>
      </c>
      <c r="AA661" s="410">
        <v>0</v>
      </c>
      <c r="AB661" s="410">
        <v>0</v>
      </c>
      <c r="AC661" s="410">
        <v>0</v>
      </c>
      <c r="AD661" s="410">
        <v>0</v>
      </c>
      <c r="AE661" s="410">
        <v>0</v>
      </c>
      <c r="AF661" s="410">
        <v>0</v>
      </c>
      <c r="AG661" s="410">
        <v>0</v>
      </c>
      <c r="AH661" s="410">
        <v>0</v>
      </c>
      <c r="AI661" s="410">
        <v>0</v>
      </c>
      <c r="AJ661" s="410">
        <f t="shared" ref="AJ661:AJ662" si="690">ROUND(H661/100*3,2)</f>
        <v>78198.12</v>
      </c>
      <c r="AK661" s="410">
        <f t="shared" ref="AK661:AK662" si="691">ROUND(H661/100*1.5,2)</f>
        <v>39099.06</v>
      </c>
      <c r="AL661" s="410">
        <v>0</v>
      </c>
      <c r="AM661" s="446"/>
      <c r="AN661" s="446"/>
      <c r="AP661" s="486" t="e">
        <f t="shared" si="659"/>
        <v>#DIV/0!</v>
      </c>
      <c r="AQ661" s="486" t="e">
        <f t="shared" si="665"/>
        <v>#DIV/0!</v>
      </c>
      <c r="AR661" s="486" t="e">
        <f t="shared" si="666"/>
        <v>#DIV/0!</v>
      </c>
      <c r="AS661" s="486" t="e">
        <f t="shared" si="667"/>
        <v>#DIV/0!</v>
      </c>
      <c r="AT661" s="486" t="e">
        <f t="shared" si="668"/>
        <v>#DIV/0!</v>
      </c>
      <c r="AU661" s="486" t="e">
        <f t="shared" si="669"/>
        <v>#DIV/0!</v>
      </c>
      <c r="AV661" s="486" t="e">
        <f t="shared" si="670"/>
        <v>#DIV/0!</v>
      </c>
      <c r="AW661" s="486">
        <f t="shared" si="671"/>
        <v>3088.47</v>
      </c>
      <c r="AX661" s="486" t="e">
        <f t="shared" si="672"/>
        <v>#DIV/0!</v>
      </c>
      <c r="AY661" s="486" t="e">
        <f t="shared" si="673"/>
        <v>#DIV/0!</v>
      </c>
      <c r="AZ661" s="486" t="e">
        <f t="shared" si="674"/>
        <v>#DIV/0!</v>
      </c>
      <c r="BA661" s="486">
        <f t="shared" si="660"/>
        <v>0</v>
      </c>
      <c r="BB661" s="494">
        <v>5155.41</v>
      </c>
      <c r="BC661" s="494">
        <v>2070.12</v>
      </c>
      <c r="BD661" s="494">
        <v>848.92</v>
      </c>
      <c r="BE661" s="494">
        <v>819.73</v>
      </c>
      <c r="BF661" s="494">
        <v>611.5</v>
      </c>
      <c r="BG661" s="494">
        <v>1080.04</v>
      </c>
      <c r="BH661" s="494">
        <v>2671800.0099999998</v>
      </c>
      <c r="BI661" s="494">
        <f t="shared" si="606"/>
        <v>4422.8500000000004</v>
      </c>
      <c r="BJ661" s="494">
        <v>14289.54</v>
      </c>
      <c r="BK661" s="494">
        <v>3389.61</v>
      </c>
      <c r="BL661" s="494">
        <v>5995.76</v>
      </c>
      <c r="BM661" s="494">
        <v>548.62</v>
      </c>
      <c r="BN661" s="495" t="e">
        <f t="shared" si="675"/>
        <v>#DIV/0!</v>
      </c>
      <c r="BO661" s="495" t="e">
        <f t="shared" si="676"/>
        <v>#DIV/0!</v>
      </c>
      <c r="BP661" s="495" t="e">
        <f t="shared" si="677"/>
        <v>#DIV/0!</v>
      </c>
      <c r="BQ661" s="495" t="e">
        <f t="shared" si="678"/>
        <v>#DIV/0!</v>
      </c>
      <c r="BR661" s="495" t="e">
        <f t="shared" si="679"/>
        <v>#DIV/0!</v>
      </c>
      <c r="BS661" s="495" t="e">
        <f t="shared" si="680"/>
        <v>#DIV/0!</v>
      </c>
      <c r="BT661" s="495" t="e">
        <f t="shared" si="681"/>
        <v>#DIV/0!</v>
      </c>
      <c r="BU661" s="495" t="str">
        <f t="shared" si="682"/>
        <v xml:space="preserve"> </v>
      </c>
      <c r="BV661" s="495" t="e">
        <f t="shared" si="683"/>
        <v>#DIV/0!</v>
      </c>
      <c r="BW661" s="495" t="e">
        <f t="shared" si="684"/>
        <v>#DIV/0!</v>
      </c>
      <c r="BX661" s="495" t="e">
        <f t="shared" si="685"/>
        <v>#DIV/0!</v>
      </c>
      <c r="BY661" s="495" t="str">
        <f t="shared" si="686"/>
        <v xml:space="preserve"> </v>
      </c>
    </row>
    <row r="662" spans="1:77" s="28" customFormat="1" ht="9" customHeight="1">
      <c r="A662" s="278">
        <v>236</v>
      </c>
      <c r="B662" s="156" t="s">
        <v>967</v>
      </c>
      <c r="C662" s="249">
        <v>502.1</v>
      </c>
      <c r="D662" s="376"/>
      <c r="E662" s="362" t="s">
        <v>1006</v>
      </c>
      <c r="F662" s="249"/>
      <c r="G662" s="249"/>
      <c r="H662" s="407">
        <v>1529682</v>
      </c>
      <c r="I662" s="407">
        <f t="shared" si="688"/>
        <v>0</v>
      </c>
      <c r="J662" s="217">
        <v>0</v>
      </c>
      <c r="K662" s="469">
        <v>0</v>
      </c>
      <c r="L662" s="217">
        <v>0</v>
      </c>
      <c r="M662" s="469">
        <v>0</v>
      </c>
      <c r="N662" s="217">
        <v>0</v>
      </c>
      <c r="O662" s="249">
        <v>0</v>
      </c>
      <c r="P662" s="407">
        <v>0</v>
      </c>
      <c r="Q662" s="249">
        <v>0</v>
      </c>
      <c r="R662" s="407">
        <v>0</v>
      </c>
      <c r="S662" s="249">
        <v>0</v>
      </c>
      <c r="T662" s="407">
        <v>0</v>
      </c>
      <c r="U662" s="130">
        <v>0</v>
      </c>
      <c r="V662" s="407">
        <v>0</v>
      </c>
      <c r="W662" s="410">
        <v>473</v>
      </c>
      <c r="X662" s="407">
        <f t="shared" si="689"/>
        <v>1460846.31</v>
      </c>
      <c r="Y662" s="410">
        <v>0</v>
      </c>
      <c r="Z662" s="410">
        <v>0</v>
      </c>
      <c r="AA662" s="410">
        <v>0</v>
      </c>
      <c r="AB662" s="410">
        <v>0</v>
      </c>
      <c r="AC662" s="410">
        <v>0</v>
      </c>
      <c r="AD662" s="410">
        <v>0</v>
      </c>
      <c r="AE662" s="410">
        <v>0</v>
      </c>
      <c r="AF662" s="410">
        <v>0</v>
      </c>
      <c r="AG662" s="410">
        <v>0</v>
      </c>
      <c r="AH662" s="410">
        <v>0</v>
      </c>
      <c r="AI662" s="410">
        <v>0</v>
      </c>
      <c r="AJ662" s="410">
        <f t="shared" si="690"/>
        <v>45890.46</v>
      </c>
      <c r="AK662" s="410">
        <f t="shared" si="691"/>
        <v>22945.23</v>
      </c>
      <c r="AL662" s="410">
        <v>0</v>
      </c>
      <c r="AM662" s="446"/>
      <c r="AN662" s="446"/>
      <c r="AP662" s="486" t="e">
        <f t="shared" si="659"/>
        <v>#DIV/0!</v>
      </c>
      <c r="AQ662" s="486" t="e">
        <f t="shared" si="665"/>
        <v>#DIV/0!</v>
      </c>
      <c r="AR662" s="486" t="e">
        <f t="shared" si="666"/>
        <v>#DIV/0!</v>
      </c>
      <c r="AS662" s="486" t="e">
        <f t="shared" si="667"/>
        <v>#DIV/0!</v>
      </c>
      <c r="AT662" s="486" t="e">
        <f t="shared" si="668"/>
        <v>#DIV/0!</v>
      </c>
      <c r="AU662" s="486" t="e">
        <f t="shared" si="669"/>
        <v>#DIV/0!</v>
      </c>
      <c r="AV662" s="486" t="e">
        <f t="shared" si="670"/>
        <v>#DIV/0!</v>
      </c>
      <c r="AW662" s="486">
        <f t="shared" si="671"/>
        <v>3088.4700000000003</v>
      </c>
      <c r="AX662" s="486" t="e">
        <f t="shared" si="672"/>
        <v>#DIV/0!</v>
      </c>
      <c r="AY662" s="486" t="e">
        <f t="shared" si="673"/>
        <v>#DIV/0!</v>
      </c>
      <c r="AZ662" s="486" t="e">
        <f t="shared" si="674"/>
        <v>#DIV/0!</v>
      </c>
      <c r="BA662" s="486">
        <f t="shared" si="660"/>
        <v>0</v>
      </c>
      <c r="BB662" s="494">
        <v>5155.41</v>
      </c>
      <c r="BC662" s="494">
        <v>2070.12</v>
      </c>
      <c r="BD662" s="494">
        <v>848.92</v>
      </c>
      <c r="BE662" s="494">
        <v>819.73</v>
      </c>
      <c r="BF662" s="494">
        <v>611.5</v>
      </c>
      <c r="BG662" s="494">
        <v>1080.04</v>
      </c>
      <c r="BH662" s="494">
        <v>2671800.0099999998</v>
      </c>
      <c r="BI662" s="494">
        <f t="shared" si="606"/>
        <v>4422.8500000000004</v>
      </c>
      <c r="BJ662" s="494">
        <v>14289.54</v>
      </c>
      <c r="BK662" s="494">
        <v>3389.61</v>
      </c>
      <c r="BL662" s="494">
        <v>5995.76</v>
      </c>
      <c r="BM662" s="494">
        <v>548.62</v>
      </c>
      <c r="BN662" s="495" t="e">
        <f t="shared" si="675"/>
        <v>#DIV/0!</v>
      </c>
      <c r="BO662" s="495" t="e">
        <f t="shared" si="676"/>
        <v>#DIV/0!</v>
      </c>
      <c r="BP662" s="495" t="e">
        <f t="shared" si="677"/>
        <v>#DIV/0!</v>
      </c>
      <c r="BQ662" s="495" t="e">
        <f t="shared" si="678"/>
        <v>#DIV/0!</v>
      </c>
      <c r="BR662" s="495" t="e">
        <f t="shared" si="679"/>
        <v>#DIV/0!</v>
      </c>
      <c r="BS662" s="495" t="e">
        <f t="shared" si="680"/>
        <v>#DIV/0!</v>
      </c>
      <c r="BT662" s="495" t="e">
        <f t="shared" si="681"/>
        <v>#DIV/0!</v>
      </c>
      <c r="BU662" s="495" t="str">
        <f t="shared" si="682"/>
        <v xml:space="preserve"> </v>
      </c>
      <c r="BV662" s="495" t="e">
        <f t="shared" si="683"/>
        <v>#DIV/0!</v>
      </c>
      <c r="BW662" s="495" t="e">
        <f t="shared" si="684"/>
        <v>#DIV/0!</v>
      </c>
      <c r="BX662" s="495" t="e">
        <f t="shared" si="685"/>
        <v>#DIV/0!</v>
      </c>
      <c r="BY662" s="495" t="str">
        <f t="shared" si="686"/>
        <v xml:space="preserve"> </v>
      </c>
    </row>
    <row r="663" spans="1:77" s="28" customFormat="1" ht="36" customHeight="1">
      <c r="A663" s="954" t="s">
        <v>30</v>
      </c>
      <c r="B663" s="954"/>
      <c r="C663" s="407">
        <f>SUM(C661:C662)</f>
        <v>1403.3000000000002</v>
      </c>
      <c r="D663" s="396"/>
      <c r="E663" s="362" t="s">
        <v>391</v>
      </c>
      <c r="F663" s="374"/>
      <c r="G663" s="374"/>
      <c r="H663" s="407">
        <f>SUM(H661:H662)</f>
        <v>4136286</v>
      </c>
      <c r="I663" s="407">
        <f t="shared" ref="I663:AN663" si="692">SUM(I661:I662)</f>
        <v>0</v>
      </c>
      <c r="J663" s="407">
        <f t="shared" si="692"/>
        <v>0</v>
      </c>
      <c r="K663" s="407">
        <f t="shared" si="692"/>
        <v>0</v>
      </c>
      <c r="L663" s="407">
        <f t="shared" si="692"/>
        <v>0</v>
      </c>
      <c r="M663" s="407">
        <f t="shared" si="692"/>
        <v>0</v>
      </c>
      <c r="N663" s="407">
        <f t="shared" si="692"/>
        <v>0</v>
      </c>
      <c r="O663" s="407">
        <f t="shared" si="692"/>
        <v>0</v>
      </c>
      <c r="P663" s="407">
        <f t="shared" si="692"/>
        <v>0</v>
      </c>
      <c r="Q663" s="407">
        <f t="shared" si="692"/>
        <v>0</v>
      </c>
      <c r="R663" s="407">
        <f t="shared" si="692"/>
        <v>0</v>
      </c>
      <c r="S663" s="407">
        <f t="shared" si="692"/>
        <v>0</v>
      </c>
      <c r="T663" s="407">
        <f t="shared" si="692"/>
        <v>0</v>
      </c>
      <c r="U663" s="130">
        <f t="shared" si="692"/>
        <v>0</v>
      </c>
      <c r="V663" s="407">
        <f t="shared" si="692"/>
        <v>0</v>
      </c>
      <c r="W663" s="407">
        <f t="shared" si="692"/>
        <v>1279</v>
      </c>
      <c r="X663" s="407">
        <f t="shared" si="692"/>
        <v>3950153.13</v>
      </c>
      <c r="Y663" s="407">
        <f t="shared" si="692"/>
        <v>0</v>
      </c>
      <c r="Z663" s="407">
        <f t="shared" si="692"/>
        <v>0</v>
      </c>
      <c r="AA663" s="407">
        <f t="shared" si="692"/>
        <v>0</v>
      </c>
      <c r="AB663" s="407">
        <f t="shared" si="692"/>
        <v>0</v>
      </c>
      <c r="AC663" s="407">
        <f t="shared" si="692"/>
        <v>0</v>
      </c>
      <c r="AD663" s="407">
        <f t="shared" si="692"/>
        <v>0</v>
      </c>
      <c r="AE663" s="407">
        <f t="shared" si="692"/>
        <v>0</v>
      </c>
      <c r="AF663" s="407">
        <f t="shared" si="692"/>
        <v>0</v>
      </c>
      <c r="AG663" s="407">
        <f t="shared" si="692"/>
        <v>0</v>
      </c>
      <c r="AH663" s="407">
        <f t="shared" si="692"/>
        <v>0</v>
      </c>
      <c r="AI663" s="407">
        <f t="shared" si="692"/>
        <v>0</v>
      </c>
      <c r="AJ663" s="407">
        <f t="shared" si="692"/>
        <v>124088.57999999999</v>
      </c>
      <c r="AK663" s="407">
        <f t="shared" si="692"/>
        <v>62044.289999999994</v>
      </c>
      <c r="AL663" s="407">
        <f t="shared" si="692"/>
        <v>0</v>
      </c>
      <c r="AM663" s="407">
        <f t="shared" si="692"/>
        <v>0</v>
      </c>
      <c r="AN663" s="407">
        <f t="shared" si="692"/>
        <v>0</v>
      </c>
      <c r="AP663" s="486" t="e">
        <f t="shared" si="659"/>
        <v>#DIV/0!</v>
      </c>
      <c r="AQ663" s="486" t="e">
        <f t="shared" si="665"/>
        <v>#DIV/0!</v>
      </c>
      <c r="AR663" s="497" t="e">
        <f t="shared" si="666"/>
        <v>#DIV/0!</v>
      </c>
      <c r="AS663" s="497" t="e">
        <f t="shared" si="667"/>
        <v>#DIV/0!</v>
      </c>
      <c r="AT663" s="497" t="e">
        <f t="shared" si="668"/>
        <v>#DIV/0!</v>
      </c>
      <c r="AU663" s="497" t="e">
        <f t="shared" si="669"/>
        <v>#DIV/0!</v>
      </c>
      <c r="AV663" s="497" t="e">
        <f t="shared" si="670"/>
        <v>#DIV/0!</v>
      </c>
      <c r="AW663" s="497">
        <f t="shared" si="671"/>
        <v>3088.47</v>
      </c>
      <c r="AX663" s="497" t="e">
        <f t="shared" si="672"/>
        <v>#DIV/0!</v>
      </c>
      <c r="AY663" s="486" t="e">
        <f t="shared" si="673"/>
        <v>#DIV/0!</v>
      </c>
      <c r="AZ663" s="497" t="e">
        <f t="shared" si="674"/>
        <v>#DIV/0!</v>
      </c>
      <c r="BA663" s="486">
        <f t="shared" si="660"/>
        <v>0</v>
      </c>
      <c r="BB663" s="494">
        <v>5155.41</v>
      </c>
      <c r="BC663" s="494">
        <v>2070.12</v>
      </c>
      <c r="BD663" s="494">
        <v>848.92</v>
      </c>
      <c r="BE663" s="494">
        <v>819.73</v>
      </c>
      <c r="BF663" s="494">
        <v>611.5</v>
      </c>
      <c r="BG663" s="494">
        <v>1080.04</v>
      </c>
      <c r="BH663" s="494">
        <v>2671800.0099999998</v>
      </c>
      <c r="BI663" s="494">
        <f t="shared" si="606"/>
        <v>4422.8500000000004</v>
      </c>
      <c r="BJ663" s="494">
        <v>14289.54</v>
      </c>
      <c r="BK663" s="494">
        <v>3389.61</v>
      </c>
      <c r="BL663" s="494">
        <v>5995.76</v>
      </c>
      <c r="BM663" s="494">
        <v>548.62</v>
      </c>
      <c r="BN663" s="493" t="e">
        <f t="shared" si="675"/>
        <v>#DIV/0!</v>
      </c>
      <c r="BO663" s="493" t="e">
        <f t="shared" si="676"/>
        <v>#DIV/0!</v>
      </c>
      <c r="BP663" s="493" t="e">
        <f t="shared" si="677"/>
        <v>#DIV/0!</v>
      </c>
      <c r="BQ663" s="493" t="e">
        <f t="shared" si="678"/>
        <v>#DIV/0!</v>
      </c>
      <c r="BR663" s="493" t="e">
        <f t="shared" si="679"/>
        <v>#DIV/0!</v>
      </c>
      <c r="BS663" s="493" t="e">
        <f t="shared" si="680"/>
        <v>#DIV/0!</v>
      </c>
      <c r="BT663" s="493" t="e">
        <f t="shared" si="681"/>
        <v>#DIV/0!</v>
      </c>
      <c r="BU663" s="493" t="str">
        <f t="shared" si="682"/>
        <v xml:space="preserve"> </v>
      </c>
      <c r="BV663" s="493" t="e">
        <f t="shared" si="683"/>
        <v>#DIV/0!</v>
      </c>
      <c r="BW663" s="493" t="e">
        <f t="shared" si="684"/>
        <v>#DIV/0!</v>
      </c>
      <c r="BX663" s="493" t="e">
        <f t="shared" si="685"/>
        <v>#DIV/0!</v>
      </c>
      <c r="BY663" s="493" t="str">
        <f t="shared" si="686"/>
        <v xml:space="preserve"> </v>
      </c>
    </row>
    <row r="664" spans="1:77" s="28" customFormat="1" ht="11.25" customHeight="1">
      <c r="A664" s="837" t="s">
        <v>35</v>
      </c>
      <c r="B664" s="838"/>
      <c r="C664" s="838"/>
      <c r="D664" s="838"/>
      <c r="E664" s="838"/>
      <c r="F664" s="838"/>
      <c r="G664" s="838"/>
      <c r="H664" s="838"/>
      <c r="I664" s="838"/>
      <c r="J664" s="838"/>
      <c r="K664" s="838"/>
      <c r="L664" s="838"/>
      <c r="M664" s="838"/>
      <c r="N664" s="838"/>
      <c r="O664" s="838"/>
      <c r="P664" s="838"/>
      <c r="Q664" s="838"/>
      <c r="R664" s="838"/>
      <c r="S664" s="838"/>
      <c r="T664" s="838"/>
      <c r="U664" s="838"/>
      <c r="V664" s="838"/>
      <c r="W664" s="838"/>
      <c r="X664" s="838"/>
      <c r="Y664" s="838"/>
      <c r="Z664" s="838"/>
      <c r="AA664" s="838"/>
      <c r="AB664" s="838"/>
      <c r="AC664" s="838"/>
      <c r="AD664" s="838"/>
      <c r="AE664" s="838"/>
      <c r="AF664" s="838"/>
      <c r="AG664" s="838"/>
      <c r="AH664" s="838"/>
      <c r="AI664" s="838"/>
      <c r="AJ664" s="838"/>
      <c r="AK664" s="838"/>
      <c r="AL664" s="839"/>
      <c r="AM664" s="280"/>
      <c r="AN664" s="280"/>
      <c r="AP664" s="486" t="e">
        <f t="shared" si="659"/>
        <v>#DIV/0!</v>
      </c>
      <c r="AQ664" s="486" t="e">
        <f t="shared" si="665"/>
        <v>#DIV/0!</v>
      </c>
      <c r="AR664" s="497" t="e">
        <f t="shared" si="666"/>
        <v>#DIV/0!</v>
      </c>
      <c r="AS664" s="497" t="e">
        <f t="shared" si="667"/>
        <v>#DIV/0!</v>
      </c>
      <c r="AT664" s="497" t="e">
        <f t="shared" si="668"/>
        <v>#DIV/0!</v>
      </c>
      <c r="AU664" s="497" t="e">
        <f t="shared" si="669"/>
        <v>#DIV/0!</v>
      </c>
      <c r="AV664" s="497" t="e">
        <f t="shared" si="670"/>
        <v>#DIV/0!</v>
      </c>
      <c r="AW664" s="497" t="e">
        <f t="shared" si="671"/>
        <v>#DIV/0!</v>
      </c>
      <c r="AX664" s="497" t="e">
        <f t="shared" si="672"/>
        <v>#DIV/0!</v>
      </c>
      <c r="AY664" s="486" t="e">
        <f t="shared" si="673"/>
        <v>#DIV/0!</v>
      </c>
      <c r="AZ664" s="497" t="e">
        <f t="shared" si="674"/>
        <v>#DIV/0!</v>
      </c>
      <c r="BA664" s="486" t="e">
        <f t="shared" si="660"/>
        <v>#DIV/0!</v>
      </c>
      <c r="BB664" s="494">
        <v>5155.41</v>
      </c>
      <c r="BC664" s="494">
        <v>2070.12</v>
      </c>
      <c r="BD664" s="494">
        <v>848.92</v>
      </c>
      <c r="BE664" s="494">
        <v>819.73</v>
      </c>
      <c r="BF664" s="494">
        <v>611.5</v>
      </c>
      <c r="BG664" s="494">
        <v>1080.04</v>
      </c>
      <c r="BH664" s="494">
        <v>2671800.0099999998</v>
      </c>
      <c r="BI664" s="494">
        <f t="shared" si="606"/>
        <v>4422.8500000000004</v>
      </c>
      <c r="BJ664" s="494">
        <v>14289.54</v>
      </c>
      <c r="BK664" s="494">
        <v>3389.61</v>
      </c>
      <c r="BL664" s="494">
        <v>5995.76</v>
      </c>
      <c r="BM664" s="494">
        <v>548.62</v>
      </c>
      <c r="BN664" s="493" t="e">
        <f t="shared" si="675"/>
        <v>#DIV/0!</v>
      </c>
      <c r="BO664" s="493" t="e">
        <f t="shared" si="676"/>
        <v>#DIV/0!</v>
      </c>
      <c r="BP664" s="493" t="e">
        <f t="shared" si="677"/>
        <v>#DIV/0!</v>
      </c>
      <c r="BQ664" s="493" t="e">
        <f t="shared" si="678"/>
        <v>#DIV/0!</v>
      </c>
      <c r="BR664" s="493" t="e">
        <f t="shared" si="679"/>
        <v>#DIV/0!</v>
      </c>
      <c r="BS664" s="493" t="e">
        <f t="shared" si="680"/>
        <v>#DIV/0!</v>
      </c>
      <c r="BT664" s="493" t="e">
        <f t="shared" si="681"/>
        <v>#DIV/0!</v>
      </c>
      <c r="BU664" s="493" t="e">
        <f t="shared" si="682"/>
        <v>#DIV/0!</v>
      </c>
      <c r="BV664" s="493" t="e">
        <f t="shared" si="683"/>
        <v>#DIV/0!</v>
      </c>
      <c r="BW664" s="493" t="e">
        <f t="shared" si="684"/>
        <v>#DIV/0!</v>
      </c>
      <c r="BX664" s="493" t="e">
        <f t="shared" si="685"/>
        <v>#DIV/0!</v>
      </c>
      <c r="BY664" s="493" t="e">
        <f t="shared" si="686"/>
        <v>#DIV/0!</v>
      </c>
    </row>
    <row r="665" spans="1:77" s="28" customFormat="1" ht="9" customHeight="1">
      <c r="A665" s="278">
        <v>237</v>
      </c>
      <c r="B665" s="156" t="s">
        <v>975</v>
      </c>
      <c r="C665" s="249">
        <v>295.3</v>
      </c>
      <c r="D665" s="376"/>
      <c r="E665" s="362" t="s">
        <v>1006</v>
      </c>
      <c r="F665" s="249"/>
      <c r="G665" s="249"/>
      <c r="H665" s="407">
        <v>834372</v>
      </c>
      <c r="I665" s="407">
        <f t="shared" ref="I665" si="693">J665+L665+N665+P665+R665+T665</f>
        <v>0</v>
      </c>
      <c r="J665" s="217">
        <v>0</v>
      </c>
      <c r="K665" s="469">
        <v>0</v>
      </c>
      <c r="L665" s="217">
        <v>0</v>
      </c>
      <c r="M665" s="469">
        <v>0</v>
      </c>
      <c r="N665" s="217">
        <v>0</v>
      </c>
      <c r="O665" s="249">
        <v>0</v>
      </c>
      <c r="P665" s="407">
        <v>0</v>
      </c>
      <c r="Q665" s="249">
        <v>0</v>
      </c>
      <c r="R665" s="407">
        <v>0</v>
      </c>
      <c r="S665" s="249">
        <v>0</v>
      </c>
      <c r="T665" s="407">
        <v>0</v>
      </c>
      <c r="U665" s="130">
        <v>0</v>
      </c>
      <c r="V665" s="407">
        <v>0</v>
      </c>
      <c r="W665" s="410">
        <v>258</v>
      </c>
      <c r="X665" s="407">
        <f t="shared" ref="X665" si="694">ROUND(H665/100*95.5,2)</f>
        <v>796825.26</v>
      </c>
      <c r="Y665" s="410">
        <v>0</v>
      </c>
      <c r="Z665" s="410">
        <v>0</v>
      </c>
      <c r="AA665" s="410">
        <v>0</v>
      </c>
      <c r="AB665" s="410">
        <v>0</v>
      </c>
      <c r="AC665" s="410">
        <v>0</v>
      </c>
      <c r="AD665" s="410">
        <v>0</v>
      </c>
      <c r="AE665" s="410">
        <v>0</v>
      </c>
      <c r="AF665" s="410">
        <v>0</v>
      </c>
      <c r="AG665" s="410">
        <v>0</v>
      </c>
      <c r="AH665" s="410">
        <v>0</v>
      </c>
      <c r="AI665" s="410">
        <v>0</v>
      </c>
      <c r="AJ665" s="410">
        <f t="shared" ref="AJ665" si="695">ROUND(H665/100*3,2)</f>
        <v>25031.16</v>
      </c>
      <c r="AK665" s="410">
        <f t="shared" ref="AK665" si="696">ROUND(H665/100*1.5,2)</f>
        <v>12515.58</v>
      </c>
      <c r="AL665" s="410">
        <v>0</v>
      </c>
      <c r="AM665" s="446"/>
      <c r="AN665" s="446"/>
      <c r="AP665" s="486" t="e">
        <f t="shared" si="659"/>
        <v>#DIV/0!</v>
      </c>
      <c r="AQ665" s="486" t="e">
        <f t="shared" si="665"/>
        <v>#DIV/0!</v>
      </c>
      <c r="AR665" s="486" t="e">
        <f t="shared" si="666"/>
        <v>#DIV/0!</v>
      </c>
      <c r="AS665" s="486" t="e">
        <f t="shared" si="667"/>
        <v>#DIV/0!</v>
      </c>
      <c r="AT665" s="486" t="e">
        <f t="shared" si="668"/>
        <v>#DIV/0!</v>
      </c>
      <c r="AU665" s="486" t="e">
        <f t="shared" si="669"/>
        <v>#DIV/0!</v>
      </c>
      <c r="AV665" s="486" t="e">
        <f t="shared" si="670"/>
        <v>#DIV/0!</v>
      </c>
      <c r="AW665" s="486">
        <f t="shared" si="671"/>
        <v>3088.4700000000003</v>
      </c>
      <c r="AX665" s="486" t="e">
        <f t="shared" si="672"/>
        <v>#DIV/0!</v>
      </c>
      <c r="AY665" s="486" t="e">
        <f t="shared" si="673"/>
        <v>#DIV/0!</v>
      </c>
      <c r="AZ665" s="486" t="e">
        <f t="shared" si="674"/>
        <v>#DIV/0!</v>
      </c>
      <c r="BA665" s="486">
        <f t="shared" si="660"/>
        <v>0</v>
      </c>
      <c r="BB665" s="494">
        <v>5155.41</v>
      </c>
      <c r="BC665" s="494">
        <v>2070.12</v>
      </c>
      <c r="BD665" s="494">
        <v>848.92</v>
      </c>
      <c r="BE665" s="494">
        <v>819.73</v>
      </c>
      <c r="BF665" s="494">
        <v>611.5</v>
      </c>
      <c r="BG665" s="494">
        <v>1080.04</v>
      </c>
      <c r="BH665" s="494">
        <v>2671800.0099999998</v>
      </c>
      <c r="BI665" s="494">
        <f t="shared" si="606"/>
        <v>4422.8500000000004</v>
      </c>
      <c r="BJ665" s="494">
        <v>14289.54</v>
      </c>
      <c r="BK665" s="494">
        <v>3389.61</v>
      </c>
      <c r="BL665" s="494">
        <v>5995.76</v>
      </c>
      <c r="BM665" s="494">
        <v>548.62</v>
      </c>
      <c r="BN665" s="495" t="e">
        <f t="shared" si="675"/>
        <v>#DIV/0!</v>
      </c>
      <c r="BO665" s="495" t="e">
        <f t="shared" si="676"/>
        <v>#DIV/0!</v>
      </c>
      <c r="BP665" s="495" t="e">
        <f t="shared" si="677"/>
        <v>#DIV/0!</v>
      </c>
      <c r="BQ665" s="495" t="e">
        <f t="shared" si="678"/>
        <v>#DIV/0!</v>
      </c>
      <c r="BR665" s="495" t="e">
        <f t="shared" si="679"/>
        <v>#DIV/0!</v>
      </c>
      <c r="BS665" s="495" t="e">
        <f t="shared" si="680"/>
        <v>#DIV/0!</v>
      </c>
      <c r="BT665" s="495" t="e">
        <f t="shared" si="681"/>
        <v>#DIV/0!</v>
      </c>
      <c r="BU665" s="495" t="str">
        <f t="shared" si="682"/>
        <v xml:space="preserve"> </v>
      </c>
      <c r="BV665" s="495" t="e">
        <f t="shared" si="683"/>
        <v>#DIV/0!</v>
      </c>
      <c r="BW665" s="495" t="e">
        <f t="shared" si="684"/>
        <v>#DIV/0!</v>
      </c>
      <c r="BX665" s="495" t="e">
        <f t="shared" si="685"/>
        <v>#DIV/0!</v>
      </c>
      <c r="BY665" s="495" t="str">
        <f t="shared" si="686"/>
        <v xml:space="preserve"> </v>
      </c>
    </row>
    <row r="666" spans="1:77" s="28" customFormat="1" ht="9" customHeight="1">
      <c r="A666" s="278">
        <v>238</v>
      </c>
      <c r="B666" s="156" t="s">
        <v>976</v>
      </c>
      <c r="C666" s="249">
        <v>1489.1</v>
      </c>
      <c r="D666" s="376"/>
      <c r="E666" s="362" t="s">
        <v>1006</v>
      </c>
      <c r="F666" s="249"/>
      <c r="G666" s="249"/>
      <c r="H666" s="407">
        <v>3253404</v>
      </c>
      <c r="I666" s="407">
        <f t="shared" ref="I666:I669" si="697">J666+L666+N666+P666+R666+T666</f>
        <v>0</v>
      </c>
      <c r="J666" s="217">
        <v>0</v>
      </c>
      <c r="K666" s="469">
        <v>0</v>
      </c>
      <c r="L666" s="217">
        <v>0</v>
      </c>
      <c r="M666" s="469">
        <v>0</v>
      </c>
      <c r="N666" s="217">
        <v>0</v>
      </c>
      <c r="O666" s="249">
        <v>0</v>
      </c>
      <c r="P666" s="407">
        <v>0</v>
      </c>
      <c r="Q666" s="249">
        <v>0</v>
      </c>
      <c r="R666" s="407">
        <v>0</v>
      </c>
      <c r="S666" s="249">
        <v>0</v>
      </c>
      <c r="T666" s="407">
        <v>0</v>
      </c>
      <c r="U666" s="130">
        <v>0</v>
      </c>
      <c r="V666" s="407">
        <v>0</v>
      </c>
      <c r="W666" s="410">
        <v>1006</v>
      </c>
      <c r="X666" s="407">
        <f t="shared" ref="X666:X669" si="698">ROUND(H666/100*95.5,2)</f>
        <v>3107000.82</v>
      </c>
      <c r="Y666" s="410">
        <v>0</v>
      </c>
      <c r="Z666" s="410">
        <v>0</v>
      </c>
      <c r="AA666" s="410">
        <v>0</v>
      </c>
      <c r="AB666" s="410">
        <v>0</v>
      </c>
      <c r="AC666" s="410">
        <v>0</v>
      </c>
      <c r="AD666" s="410">
        <v>0</v>
      </c>
      <c r="AE666" s="410">
        <v>0</v>
      </c>
      <c r="AF666" s="410">
        <v>0</v>
      </c>
      <c r="AG666" s="410">
        <v>0</v>
      </c>
      <c r="AH666" s="410">
        <v>0</v>
      </c>
      <c r="AI666" s="410">
        <v>0</v>
      </c>
      <c r="AJ666" s="410">
        <f t="shared" ref="AJ666:AJ669" si="699">ROUND(H666/100*3,2)</f>
        <v>97602.12</v>
      </c>
      <c r="AK666" s="410">
        <f t="shared" ref="AK666:AK669" si="700">ROUND(H666/100*1.5,2)</f>
        <v>48801.06</v>
      </c>
      <c r="AL666" s="410">
        <v>0</v>
      </c>
      <c r="AM666" s="446"/>
      <c r="AN666" s="446"/>
      <c r="AP666" s="486" t="e">
        <f t="shared" si="659"/>
        <v>#DIV/0!</v>
      </c>
      <c r="AQ666" s="486" t="e">
        <f t="shared" si="665"/>
        <v>#DIV/0!</v>
      </c>
      <c r="AR666" s="486" t="e">
        <f t="shared" si="666"/>
        <v>#DIV/0!</v>
      </c>
      <c r="AS666" s="486" t="e">
        <f t="shared" si="667"/>
        <v>#DIV/0!</v>
      </c>
      <c r="AT666" s="486" t="e">
        <f t="shared" si="668"/>
        <v>#DIV/0!</v>
      </c>
      <c r="AU666" s="486" t="e">
        <f t="shared" si="669"/>
        <v>#DIV/0!</v>
      </c>
      <c r="AV666" s="486" t="e">
        <f t="shared" si="670"/>
        <v>#DIV/0!</v>
      </c>
      <c r="AW666" s="486">
        <f t="shared" si="671"/>
        <v>3088.47</v>
      </c>
      <c r="AX666" s="486" t="e">
        <f t="shared" si="672"/>
        <v>#DIV/0!</v>
      </c>
      <c r="AY666" s="486" t="e">
        <f t="shared" si="673"/>
        <v>#DIV/0!</v>
      </c>
      <c r="AZ666" s="486" t="e">
        <f t="shared" si="674"/>
        <v>#DIV/0!</v>
      </c>
      <c r="BA666" s="486">
        <f t="shared" si="660"/>
        <v>0</v>
      </c>
      <c r="BB666" s="494">
        <v>5155.41</v>
      </c>
      <c r="BC666" s="494">
        <v>2070.12</v>
      </c>
      <c r="BD666" s="494">
        <v>848.92</v>
      </c>
      <c r="BE666" s="494">
        <v>819.73</v>
      </c>
      <c r="BF666" s="494">
        <v>611.5</v>
      </c>
      <c r="BG666" s="494">
        <v>1080.04</v>
      </c>
      <c r="BH666" s="494">
        <v>2671800.0099999998</v>
      </c>
      <c r="BI666" s="494">
        <f t="shared" si="606"/>
        <v>4422.8500000000004</v>
      </c>
      <c r="BJ666" s="494">
        <v>14289.54</v>
      </c>
      <c r="BK666" s="494">
        <v>3389.61</v>
      </c>
      <c r="BL666" s="494">
        <v>5995.76</v>
      </c>
      <c r="BM666" s="494">
        <v>548.62</v>
      </c>
      <c r="BN666" s="495" t="e">
        <f t="shared" si="675"/>
        <v>#DIV/0!</v>
      </c>
      <c r="BO666" s="495" t="e">
        <f t="shared" si="676"/>
        <v>#DIV/0!</v>
      </c>
      <c r="BP666" s="495" t="e">
        <f t="shared" si="677"/>
        <v>#DIV/0!</v>
      </c>
      <c r="BQ666" s="495" t="e">
        <f t="shared" si="678"/>
        <v>#DIV/0!</v>
      </c>
      <c r="BR666" s="495" t="e">
        <f t="shared" si="679"/>
        <v>#DIV/0!</v>
      </c>
      <c r="BS666" s="495" t="e">
        <f t="shared" si="680"/>
        <v>#DIV/0!</v>
      </c>
      <c r="BT666" s="495" t="e">
        <f t="shared" si="681"/>
        <v>#DIV/0!</v>
      </c>
      <c r="BU666" s="495" t="str">
        <f t="shared" si="682"/>
        <v xml:space="preserve"> </v>
      </c>
      <c r="BV666" s="495" t="e">
        <f t="shared" si="683"/>
        <v>#DIV/0!</v>
      </c>
      <c r="BW666" s="495" t="e">
        <f t="shared" si="684"/>
        <v>#DIV/0!</v>
      </c>
      <c r="BX666" s="495" t="e">
        <f t="shared" si="685"/>
        <v>#DIV/0!</v>
      </c>
      <c r="BY666" s="495" t="str">
        <f t="shared" si="686"/>
        <v xml:space="preserve"> </v>
      </c>
    </row>
    <row r="667" spans="1:77" s="28" customFormat="1" ht="9" customHeight="1">
      <c r="A667" s="406">
        <v>239</v>
      </c>
      <c r="B667" s="156" t="s">
        <v>977</v>
      </c>
      <c r="C667" s="249">
        <v>476.5</v>
      </c>
      <c r="D667" s="376"/>
      <c r="E667" s="362" t="s">
        <v>1005</v>
      </c>
      <c r="F667" s="249"/>
      <c r="G667" s="249"/>
      <c r="H667" s="407">
        <v>1663666</v>
      </c>
      <c r="I667" s="407">
        <f t="shared" si="697"/>
        <v>0</v>
      </c>
      <c r="J667" s="217">
        <v>0</v>
      </c>
      <c r="K667" s="469">
        <v>0</v>
      </c>
      <c r="L667" s="217">
        <v>0</v>
      </c>
      <c r="M667" s="469">
        <v>0</v>
      </c>
      <c r="N667" s="217">
        <v>0</v>
      </c>
      <c r="O667" s="249">
        <v>0</v>
      </c>
      <c r="P667" s="407">
        <v>0</v>
      </c>
      <c r="Q667" s="249">
        <v>0</v>
      </c>
      <c r="R667" s="407">
        <v>0</v>
      </c>
      <c r="S667" s="249">
        <v>0</v>
      </c>
      <c r="T667" s="407">
        <v>0</v>
      </c>
      <c r="U667" s="130">
        <v>0</v>
      </c>
      <c r="V667" s="407">
        <v>0</v>
      </c>
      <c r="W667" s="410">
        <v>499</v>
      </c>
      <c r="X667" s="407">
        <f t="shared" si="698"/>
        <v>1588801.03</v>
      </c>
      <c r="Y667" s="410">
        <v>0</v>
      </c>
      <c r="Z667" s="410">
        <v>0</v>
      </c>
      <c r="AA667" s="410">
        <v>0</v>
      </c>
      <c r="AB667" s="410">
        <v>0</v>
      </c>
      <c r="AC667" s="410">
        <v>0</v>
      </c>
      <c r="AD667" s="410">
        <v>0</v>
      </c>
      <c r="AE667" s="410">
        <v>0</v>
      </c>
      <c r="AF667" s="410">
        <v>0</v>
      </c>
      <c r="AG667" s="410">
        <v>0</v>
      </c>
      <c r="AH667" s="410">
        <v>0</v>
      </c>
      <c r="AI667" s="410">
        <v>0</v>
      </c>
      <c r="AJ667" s="410">
        <f t="shared" si="699"/>
        <v>49909.98</v>
      </c>
      <c r="AK667" s="410">
        <f t="shared" si="700"/>
        <v>24954.99</v>
      </c>
      <c r="AL667" s="410">
        <v>0</v>
      </c>
      <c r="AM667" s="446"/>
      <c r="AN667" s="446"/>
      <c r="AP667" s="486" t="e">
        <f t="shared" si="659"/>
        <v>#DIV/0!</v>
      </c>
      <c r="AQ667" s="486" t="e">
        <f t="shared" si="665"/>
        <v>#DIV/0!</v>
      </c>
      <c r="AR667" s="486" t="e">
        <f t="shared" si="666"/>
        <v>#DIV/0!</v>
      </c>
      <c r="AS667" s="486" t="e">
        <f t="shared" si="667"/>
        <v>#DIV/0!</v>
      </c>
      <c r="AT667" s="486" t="e">
        <f t="shared" si="668"/>
        <v>#DIV/0!</v>
      </c>
      <c r="AU667" s="486" t="e">
        <f t="shared" si="669"/>
        <v>#DIV/0!</v>
      </c>
      <c r="AV667" s="486" t="e">
        <f t="shared" si="670"/>
        <v>#DIV/0!</v>
      </c>
      <c r="AW667" s="486">
        <f t="shared" si="671"/>
        <v>3183.9700000000003</v>
      </c>
      <c r="AX667" s="486" t="e">
        <f t="shared" si="672"/>
        <v>#DIV/0!</v>
      </c>
      <c r="AY667" s="486" t="e">
        <f t="shared" si="673"/>
        <v>#DIV/0!</v>
      </c>
      <c r="AZ667" s="486" t="e">
        <f t="shared" si="674"/>
        <v>#DIV/0!</v>
      </c>
      <c r="BA667" s="486">
        <f t="shared" si="660"/>
        <v>0</v>
      </c>
      <c r="BB667" s="494">
        <v>5155.41</v>
      </c>
      <c r="BC667" s="494">
        <v>2070.12</v>
      </c>
      <c r="BD667" s="494">
        <v>848.92</v>
      </c>
      <c r="BE667" s="494">
        <v>819.73</v>
      </c>
      <c r="BF667" s="494">
        <v>611.5</v>
      </c>
      <c r="BG667" s="494">
        <v>1080.04</v>
      </c>
      <c r="BH667" s="494">
        <v>2671800.0099999998</v>
      </c>
      <c r="BI667" s="494">
        <f t="shared" si="606"/>
        <v>4607.6000000000004</v>
      </c>
      <c r="BJ667" s="494">
        <v>14289.54</v>
      </c>
      <c r="BK667" s="494">
        <v>3389.61</v>
      </c>
      <c r="BL667" s="494">
        <v>5995.76</v>
      </c>
      <c r="BM667" s="494">
        <v>548.62</v>
      </c>
      <c r="BN667" s="495" t="e">
        <f t="shared" si="675"/>
        <v>#DIV/0!</v>
      </c>
      <c r="BO667" s="495" t="e">
        <f t="shared" si="676"/>
        <v>#DIV/0!</v>
      </c>
      <c r="BP667" s="495" t="e">
        <f t="shared" si="677"/>
        <v>#DIV/0!</v>
      </c>
      <c r="BQ667" s="495" t="e">
        <f t="shared" si="678"/>
        <v>#DIV/0!</v>
      </c>
      <c r="BR667" s="495" t="e">
        <f t="shared" si="679"/>
        <v>#DIV/0!</v>
      </c>
      <c r="BS667" s="495" t="e">
        <f t="shared" si="680"/>
        <v>#DIV/0!</v>
      </c>
      <c r="BT667" s="495" t="e">
        <f t="shared" si="681"/>
        <v>#DIV/0!</v>
      </c>
      <c r="BU667" s="495" t="str">
        <f t="shared" si="682"/>
        <v xml:space="preserve"> </v>
      </c>
      <c r="BV667" s="495" t="e">
        <f t="shared" si="683"/>
        <v>#DIV/0!</v>
      </c>
      <c r="BW667" s="495" t="e">
        <f t="shared" si="684"/>
        <v>#DIV/0!</v>
      </c>
      <c r="BX667" s="495" t="e">
        <f t="shared" si="685"/>
        <v>#DIV/0!</v>
      </c>
      <c r="BY667" s="495" t="str">
        <f t="shared" si="686"/>
        <v xml:space="preserve"> </v>
      </c>
    </row>
    <row r="668" spans="1:77" s="28" customFormat="1" ht="9" customHeight="1">
      <c r="A668" s="406">
        <v>240</v>
      </c>
      <c r="B668" s="156" t="s">
        <v>978</v>
      </c>
      <c r="C668" s="249">
        <v>975.4</v>
      </c>
      <c r="D668" s="376"/>
      <c r="E668" s="362" t="s">
        <v>1006</v>
      </c>
      <c r="F668" s="249"/>
      <c r="G668" s="249"/>
      <c r="H668" s="407">
        <v>2441670</v>
      </c>
      <c r="I668" s="407">
        <f t="shared" si="697"/>
        <v>0</v>
      </c>
      <c r="J668" s="217">
        <v>0</v>
      </c>
      <c r="K668" s="469">
        <v>0</v>
      </c>
      <c r="L668" s="217">
        <v>0</v>
      </c>
      <c r="M668" s="469">
        <v>0</v>
      </c>
      <c r="N668" s="217">
        <v>0</v>
      </c>
      <c r="O668" s="249">
        <v>0</v>
      </c>
      <c r="P668" s="407">
        <v>0</v>
      </c>
      <c r="Q668" s="249">
        <v>0</v>
      </c>
      <c r="R668" s="407">
        <v>0</v>
      </c>
      <c r="S668" s="249">
        <v>0</v>
      </c>
      <c r="T668" s="407">
        <v>0</v>
      </c>
      <c r="U668" s="130">
        <v>0</v>
      </c>
      <c r="V668" s="407">
        <v>0</v>
      </c>
      <c r="W668" s="410">
        <v>755</v>
      </c>
      <c r="X668" s="407">
        <f t="shared" si="698"/>
        <v>2331794.85</v>
      </c>
      <c r="Y668" s="410">
        <v>0</v>
      </c>
      <c r="Z668" s="410">
        <v>0</v>
      </c>
      <c r="AA668" s="410">
        <v>0</v>
      </c>
      <c r="AB668" s="410">
        <v>0</v>
      </c>
      <c r="AC668" s="410">
        <v>0</v>
      </c>
      <c r="AD668" s="410">
        <v>0</v>
      </c>
      <c r="AE668" s="410">
        <v>0</v>
      </c>
      <c r="AF668" s="410">
        <v>0</v>
      </c>
      <c r="AG668" s="410">
        <v>0</v>
      </c>
      <c r="AH668" s="410">
        <v>0</v>
      </c>
      <c r="AI668" s="410">
        <v>0</v>
      </c>
      <c r="AJ668" s="410">
        <f t="shared" si="699"/>
        <v>73250.100000000006</v>
      </c>
      <c r="AK668" s="410">
        <f t="shared" si="700"/>
        <v>36625.050000000003</v>
      </c>
      <c r="AL668" s="410">
        <v>0</v>
      </c>
      <c r="AM668" s="446"/>
      <c r="AN668" s="446"/>
      <c r="AP668" s="486" t="e">
        <f t="shared" si="659"/>
        <v>#DIV/0!</v>
      </c>
      <c r="AQ668" s="486" t="e">
        <f t="shared" si="665"/>
        <v>#DIV/0!</v>
      </c>
      <c r="AR668" s="486" t="e">
        <f t="shared" si="666"/>
        <v>#DIV/0!</v>
      </c>
      <c r="AS668" s="486" t="e">
        <f t="shared" si="667"/>
        <v>#DIV/0!</v>
      </c>
      <c r="AT668" s="486" t="e">
        <f t="shared" si="668"/>
        <v>#DIV/0!</v>
      </c>
      <c r="AU668" s="486" t="e">
        <f t="shared" si="669"/>
        <v>#DIV/0!</v>
      </c>
      <c r="AV668" s="486" t="e">
        <f t="shared" si="670"/>
        <v>#DIV/0!</v>
      </c>
      <c r="AW668" s="486">
        <f t="shared" si="671"/>
        <v>3088.4700000000003</v>
      </c>
      <c r="AX668" s="486" t="e">
        <f t="shared" si="672"/>
        <v>#DIV/0!</v>
      </c>
      <c r="AY668" s="486" t="e">
        <f t="shared" si="673"/>
        <v>#DIV/0!</v>
      </c>
      <c r="AZ668" s="486" t="e">
        <f t="shared" si="674"/>
        <v>#DIV/0!</v>
      </c>
      <c r="BA668" s="486">
        <f t="shared" si="660"/>
        <v>0</v>
      </c>
      <c r="BB668" s="494">
        <v>5155.41</v>
      </c>
      <c r="BC668" s="494">
        <v>2070.12</v>
      </c>
      <c r="BD668" s="494">
        <v>848.92</v>
      </c>
      <c r="BE668" s="494">
        <v>819.73</v>
      </c>
      <c r="BF668" s="494">
        <v>611.5</v>
      </c>
      <c r="BG668" s="494">
        <v>1080.04</v>
      </c>
      <c r="BH668" s="494">
        <v>2671800.0099999998</v>
      </c>
      <c r="BI668" s="494">
        <f t="shared" si="606"/>
        <v>4422.8500000000004</v>
      </c>
      <c r="BJ668" s="494">
        <v>14289.54</v>
      </c>
      <c r="BK668" s="494">
        <v>3389.61</v>
      </c>
      <c r="BL668" s="494">
        <v>5995.76</v>
      </c>
      <c r="BM668" s="494">
        <v>548.62</v>
      </c>
      <c r="BN668" s="495" t="e">
        <f t="shared" si="675"/>
        <v>#DIV/0!</v>
      </c>
      <c r="BO668" s="495" t="e">
        <f t="shared" si="676"/>
        <v>#DIV/0!</v>
      </c>
      <c r="BP668" s="495" t="e">
        <f t="shared" si="677"/>
        <v>#DIV/0!</v>
      </c>
      <c r="BQ668" s="495" t="e">
        <f t="shared" si="678"/>
        <v>#DIV/0!</v>
      </c>
      <c r="BR668" s="495" t="e">
        <f t="shared" si="679"/>
        <v>#DIV/0!</v>
      </c>
      <c r="BS668" s="495" t="e">
        <f t="shared" si="680"/>
        <v>#DIV/0!</v>
      </c>
      <c r="BT668" s="495" t="e">
        <f t="shared" si="681"/>
        <v>#DIV/0!</v>
      </c>
      <c r="BU668" s="495" t="str">
        <f t="shared" si="682"/>
        <v xml:space="preserve"> </v>
      </c>
      <c r="BV668" s="495" t="e">
        <f t="shared" si="683"/>
        <v>#DIV/0!</v>
      </c>
      <c r="BW668" s="495" t="e">
        <f t="shared" si="684"/>
        <v>#DIV/0!</v>
      </c>
      <c r="BX668" s="495" t="e">
        <f t="shared" si="685"/>
        <v>#DIV/0!</v>
      </c>
      <c r="BY668" s="495" t="str">
        <f t="shared" si="686"/>
        <v xml:space="preserve"> </v>
      </c>
    </row>
    <row r="669" spans="1:77" s="28" customFormat="1" ht="9" customHeight="1">
      <c r="A669" s="406">
        <v>241</v>
      </c>
      <c r="B669" s="156" t="s">
        <v>979</v>
      </c>
      <c r="C669" s="249">
        <v>297.60000000000002</v>
      </c>
      <c r="D669" s="376"/>
      <c r="E669" s="362" t="s">
        <v>1006</v>
      </c>
      <c r="F669" s="249"/>
      <c r="G669" s="249"/>
      <c r="H669" s="407">
        <v>630630</v>
      </c>
      <c r="I669" s="407">
        <f t="shared" si="697"/>
        <v>0</v>
      </c>
      <c r="J669" s="217">
        <v>0</v>
      </c>
      <c r="K669" s="469">
        <v>0</v>
      </c>
      <c r="L669" s="217">
        <v>0</v>
      </c>
      <c r="M669" s="469">
        <v>0</v>
      </c>
      <c r="N669" s="217">
        <v>0</v>
      </c>
      <c r="O669" s="249">
        <v>0</v>
      </c>
      <c r="P669" s="407">
        <v>0</v>
      </c>
      <c r="Q669" s="249">
        <v>0</v>
      </c>
      <c r="R669" s="407">
        <v>0</v>
      </c>
      <c r="S669" s="249">
        <v>0</v>
      </c>
      <c r="T669" s="407">
        <v>0</v>
      </c>
      <c r="U669" s="130">
        <v>0</v>
      </c>
      <c r="V669" s="407">
        <v>0</v>
      </c>
      <c r="W669" s="410">
        <v>195</v>
      </c>
      <c r="X669" s="407">
        <f t="shared" si="698"/>
        <v>602251.65</v>
      </c>
      <c r="Y669" s="410">
        <v>0</v>
      </c>
      <c r="Z669" s="410">
        <v>0</v>
      </c>
      <c r="AA669" s="410">
        <v>0</v>
      </c>
      <c r="AB669" s="410">
        <v>0</v>
      </c>
      <c r="AC669" s="410">
        <v>0</v>
      </c>
      <c r="AD669" s="410">
        <v>0</v>
      </c>
      <c r="AE669" s="410">
        <v>0</v>
      </c>
      <c r="AF669" s="410">
        <v>0</v>
      </c>
      <c r="AG669" s="410">
        <v>0</v>
      </c>
      <c r="AH669" s="410">
        <v>0</v>
      </c>
      <c r="AI669" s="410">
        <v>0</v>
      </c>
      <c r="AJ669" s="410">
        <f t="shared" si="699"/>
        <v>18918.900000000001</v>
      </c>
      <c r="AK669" s="410">
        <f t="shared" si="700"/>
        <v>9459.4500000000007</v>
      </c>
      <c r="AL669" s="410">
        <v>0</v>
      </c>
      <c r="AM669" s="446"/>
      <c r="AN669" s="446"/>
      <c r="AP669" s="486" t="e">
        <f t="shared" si="659"/>
        <v>#DIV/0!</v>
      </c>
      <c r="AQ669" s="486" t="e">
        <f t="shared" si="665"/>
        <v>#DIV/0!</v>
      </c>
      <c r="AR669" s="486" t="e">
        <f t="shared" si="666"/>
        <v>#DIV/0!</v>
      </c>
      <c r="AS669" s="486" t="e">
        <f t="shared" si="667"/>
        <v>#DIV/0!</v>
      </c>
      <c r="AT669" s="486" t="e">
        <f t="shared" si="668"/>
        <v>#DIV/0!</v>
      </c>
      <c r="AU669" s="486" t="e">
        <f t="shared" si="669"/>
        <v>#DIV/0!</v>
      </c>
      <c r="AV669" s="486" t="e">
        <f t="shared" si="670"/>
        <v>#DIV/0!</v>
      </c>
      <c r="AW669" s="486">
        <f t="shared" si="671"/>
        <v>3088.4700000000003</v>
      </c>
      <c r="AX669" s="486" t="e">
        <f t="shared" si="672"/>
        <v>#DIV/0!</v>
      </c>
      <c r="AY669" s="486" t="e">
        <f t="shared" si="673"/>
        <v>#DIV/0!</v>
      </c>
      <c r="AZ669" s="486" t="e">
        <f t="shared" si="674"/>
        <v>#DIV/0!</v>
      </c>
      <c r="BA669" s="486">
        <f t="shared" si="660"/>
        <v>0</v>
      </c>
      <c r="BB669" s="494">
        <v>5155.41</v>
      </c>
      <c r="BC669" s="494">
        <v>2070.12</v>
      </c>
      <c r="BD669" s="494">
        <v>848.92</v>
      </c>
      <c r="BE669" s="494">
        <v>819.73</v>
      </c>
      <c r="BF669" s="494">
        <v>611.5</v>
      </c>
      <c r="BG669" s="494">
        <v>1080.04</v>
      </c>
      <c r="BH669" s="494">
        <v>2671800.0099999998</v>
      </c>
      <c r="BI669" s="494">
        <f t="shared" si="606"/>
        <v>4422.8500000000004</v>
      </c>
      <c r="BJ669" s="494">
        <v>14289.54</v>
      </c>
      <c r="BK669" s="494">
        <v>3389.61</v>
      </c>
      <c r="BL669" s="494">
        <v>5995.76</v>
      </c>
      <c r="BM669" s="494">
        <v>548.62</v>
      </c>
      <c r="BN669" s="495" t="e">
        <f t="shared" si="675"/>
        <v>#DIV/0!</v>
      </c>
      <c r="BO669" s="495" t="e">
        <f t="shared" si="676"/>
        <v>#DIV/0!</v>
      </c>
      <c r="BP669" s="495" t="e">
        <f t="shared" si="677"/>
        <v>#DIV/0!</v>
      </c>
      <c r="BQ669" s="495" t="e">
        <f t="shared" si="678"/>
        <v>#DIV/0!</v>
      </c>
      <c r="BR669" s="495" t="e">
        <f t="shared" si="679"/>
        <v>#DIV/0!</v>
      </c>
      <c r="BS669" s="495" t="e">
        <f t="shared" si="680"/>
        <v>#DIV/0!</v>
      </c>
      <c r="BT669" s="495" t="e">
        <f t="shared" si="681"/>
        <v>#DIV/0!</v>
      </c>
      <c r="BU669" s="495" t="str">
        <f t="shared" si="682"/>
        <v xml:space="preserve"> </v>
      </c>
      <c r="BV669" s="495" t="e">
        <f t="shared" si="683"/>
        <v>#DIV/0!</v>
      </c>
      <c r="BW669" s="495" t="e">
        <f t="shared" si="684"/>
        <v>#DIV/0!</v>
      </c>
      <c r="BX669" s="495" t="e">
        <f t="shared" si="685"/>
        <v>#DIV/0!</v>
      </c>
      <c r="BY669" s="495" t="str">
        <f t="shared" si="686"/>
        <v xml:space="preserve"> </v>
      </c>
    </row>
    <row r="670" spans="1:77" s="28" customFormat="1" ht="36.75" customHeight="1">
      <c r="A670" s="954" t="s">
        <v>36</v>
      </c>
      <c r="B670" s="954"/>
      <c r="C670" s="407">
        <f>SUM(C665:C669)</f>
        <v>3533.8999999999996</v>
      </c>
      <c r="D670" s="396"/>
      <c r="E670" s="362" t="s">
        <v>391</v>
      </c>
      <c r="F670" s="374"/>
      <c r="G670" s="374"/>
      <c r="H670" s="407">
        <f>SUM(H665:H669)</f>
        <v>8823742</v>
      </c>
      <c r="I670" s="407">
        <f t="shared" ref="I670:AL670" si="701">SUM(I665:I669)</f>
        <v>0</v>
      </c>
      <c r="J670" s="407">
        <f t="shared" si="701"/>
        <v>0</v>
      </c>
      <c r="K670" s="407">
        <f t="shared" si="701"/>
        <v>0</v>
      </c>
      <c r="L670" s="407">
        <f t="shared" si="701"/>
        <v>0</v>
      </c>
      <c r="M670" s="407">
        <f t="shared" si="701"/>
        <v>0</v>
      </c>
      <c r="N670" s="407">
        <f t="shared" si="701"/>
        <v>0</v>
      </c>
      <c r="O670" s="407">
        <f t="shared" si="701"/>
        <v>0</v>
      </c>
      <c r="P670" s="407">
        <f t="shared" si="701"/>
        <v>0</v>
      </c>
      <c r="Q670" s="407">
        <f t="shared" si="701"/>
        <v>0</v>
      </c>
      <c r="R670" s="407">
        <f t="shared" si="701"/>
        <v>0</v>
      </c>
      <c r="S670" s="407">
        <f t="shared" si="701"/>
        <v>0</v>
      </c>
      <c r="T670" s="407">
        <f t="shared" si="701"/>
        <v>0</v>
      </c>
      <c r="U670" s="130">
        <f t="shared" si="701"/>
        <v>0</v>
      </c>
      <c r="V670" s="407">
        <f t="shared" si="701"/>
        <v>0</v>
      </c>
      <c r="W670" s="407">
        <f t="shared" si="701"/>
        <v>2713</v>
      </c>
      <c r="X670" s="407">
        <f t="shared" si="701"/>
        <v>8426673.6100000013</v>
      </c>
      <c r="Y670" s="407">
        <f t="shared" si="701"/>
        <v>0</v>
      </c>
      <c r="Z670" s="407">
        <f t="shared" si="701"/>
        <v>0</v>
      </c>
      <c r="AA670" s="407">
        <f t="shared" si="701"/>
        <v>0</v>
      </c>
      <c r="AB670" s="407">
        <f t="shared" si="701"/>
        <v>0</v>
      </c>
      <c r="AC670" s="407">
        <f t="shared" si="701"/>
        <v>0</v>
      </c>
      <c r="AD670" s="407">
        <f t="shared" si="701"/>
        <v>0</v>
      </c>
      <c r="AE670" s="407">
        <f t="shared" si="701"/>
        <v>0</v>
      </c>
      <c r="AF670" s="407">
        <f t="shared" si="701"/>
        <v>0</v>
      </c>
      <c r="AG670" s="407">
        <f t="shared" si="701"/>
        <v>0</v>
      </c>
      <c r="AH670" s="407">
        <f t="shared" si="701"/>
        <v>0</v>
      </c>
      <c r="AI670" s="407">
        <f t="shared" si="701"/>
        <v>0</v>
      </c>
      <c r="AJ670" s="407">
        <f t="shared" si="701"/>
        <v>264712.26</v>
      </c>
      <c r="AK670" s="407">
        <f t="shared" si="701"/>
        <v>132356.13</v>
      </c>
      <c r="AL670" s="407">
        <f t="shared" si="701"/>
        <v>0</v>
      </c>
      <c r="AM670" s="280"/>
      <c r="AN670" s="280"/>
      <c r="AP670" s="486" t="e">
        <f t="shared" si="659"/>
        <v>#DIV/0!</v>
      </c>
      <c r="AQ670" s="486" t="e">
        <f t="shared" si="665"/>
        <v>#DIV/0!</v>
      </c>
      <c r="AR670" s="497" t="e">
        <f t="shared" si="666"/>
        <v>#DIV/0!</v>
      </c>
      <c r="AS670" s="497" t="e">
        <f t="shared" si="667"/>
        <v>#DIV/0!</v>
      </c>
      <c r="AT670" s="497" t="e">
        <f t="shared" si="668"/>
        <v>#DIV/0!</v>
      </c>
      <c r="AU670" s="497" t="e">
        <f t="shared" si="669"/>
        <v>#DIV/0!</v>
      </c>
      <c r="AV670" s="497" t="e">
        <f t="shared" si="670"/>
        <v>#DIV/0!</v>
      </c>
      <c r="AW670" s="497">
        <f t="shared" si="671"/>
        <v>3106.0352414301515</v>
      </c>
      <c r="AX670" s="497" t="e">
        <f t="shared" si="672"/>
        <v>#DIV/0!</v>
      </c>
      <c r="AY670" s="486" t="e">
        <f t="shared" si="673"/>
        <v>#DIV/0!</v>
      </c>
      <c r="AZ670" s="497" t="e">
        <f t="shared" si="674"/>
        <v>#DIV/0!</v>
      </c>
      <c r="BA670" s="486">
        <f t="shared" si="660"/>
        <v>0</v>
      </c>
      <c r="BB670" s="494">
        <v>5155.41</v>
      </c>
      <c r="BC670" s="494">
        <v>2070.12</v>
      </c>
      <c r="BD670" s="494">
        <v>848.92</v>
      </c>
      <c r="BE670" s="494">
        <v>819.73</v>
      </c>
      <c r="BF670" s="494">
        <v>611.5</v>
      </c>
      <c r="BG670" s="494">
        <v>1080.04</v>
      </c>
      <c r="BH670" s="494">
        <v>2671800.0099999998</v>
      </c>
      <c r="BI670" s="494">
        <f t="shared" si="606"/>
        <v>4422.8500000000004</v>
      </c>
      <c r="BJ670" s="494">
        <v>14289.54</v>
      </c>
      <c r="BK670" s="494">
        <v>3389.61</v>
      </c>
      <c r="BL670" s="494">
        <v>5995.76</v>
      </c>
      <c r="BM670" s="494">
        <v>548.62</v>
      </c>
      <c r="BN670" s="493" t="e">
        <f t="shared" si="675"/>
        <v>#DIV/0!</v>
      </c>
      <c r="BO670" s="493" t="e">
        <f t="shared" si="676"/>
        <v>#DIV/0!</v>
      </c>
      <c r="BP670" s="493" t="e">
        <f t="shared" si="677"/>
        <v>#DIV/0!</v>
      </c>
      <c r="BQ670" s="493" t="e">
        <f t="shared" si="678"/>
        <v>#DIV/0!</v>
      </c>
      <c r="BR670" s="493" t="e">
        <f t="shared" si="679"/>
        <v>#DIV/0!</v>
      </c>
      <c r="BS670" s="493" t="e">
        <f t="shared" si="680"/>
        <v>#DIV/0!</v>
      </c>
      <c r="BT670" s="493" t="e">
        <f t="shared" si="681"/>
        <v>#DIV/0!</v>
      </c>
      <c r="BU670" s="493" t="str">
        <f t="shared" si="682"/>
        <v xml:space="preserve"> </v>
      </c>
      <c r="BV670" s="493" t="e">
        <f t="shared" si="683"/>
        <v>#DIV/0!</v>
      </c>
      <c r="BW670" s="493" t="e">
        <f t="shared" si="684"/>
        <v>#DIV/0!</v>
      </c>
      <c r="BX670" s="493" t="e">
        <f t="shared" si="685"/>
        <v>#DIV/0!</v>
      </c>
      <c r="BY670" s="493" t="str">
        <f t="shared" si="686"/>
        <v xml:space="preserve"> </v>
      </c>
    </row>
    <row r="671" spans="1:77" s="28" customFormat="1" ht="12.75" customHeight="1">
      <c r="A671" s="837" t="s">
        <v>40</v>
      </c>
      <c r="B671" s="838"/>
      <c r="C671" s="838"/>
      <c r="D671" s="838"/>
      <c r="E671" s="838"/>
      <c r="F671" s="838"/>
      <c r="G671" s="838"/>
      <c r="H671" s="838"/>
      <c r="I671" s="838"/>
      <c r="J671" s="838"/>
      <c r="K671" s="838"/>
      <c r="L671" s="838"/>
      <c r="M671" s="838"/>
      <c r="N671" s="838"/>
      <c r="O671" s="838"/>
      <c r="P671" s="838"/>
      <c r="Q671" s="838"/>
      <c r="R671" s="838"/>
      <c r="S671" s="838"/>
      <c r="T671" s="838"/>
      <c r="U671" s="838"/>
      <c r="V671" s="838"/>
      <c r="W671" s="838"/>
      <c r="X671" s="838"/>
      <c r="Y671" s="838"/>
      <c r="Z671" s="838"/>
      <c r="AA671" s="838"/>
      <c r="AB671" s="838"/>
      <c r="AC671" s="838"/>
      <c r="AD671" s="838"/>
      <c r="AE671" s="838"/>
      <c r="AF671" s="838"/>
      <c r="AG671" s="838"/>
      <c r="AH671" s="838"/>
      <c r="AI671" s="838"/>
      <c r="AJ671" s="838"/>
      <c r="AK671" s="838"/>
      <c r="AL671" s="839"/>
      <c r="AM671" s="280"/>
      <c r="AN671" s="280"/>
      <c r="AP671" s="486" t="e">
        <f t="shared" si="659"/>
        <v>#DIV/0!</v>
      </c>
      <c r="AQ671" s="486" t="e">
        <f t="shared" si="665"/>
        <v>#DIV/0!</v>
      </c>
      <c r="AR671" s="497" t="e">
        <f t="shared" si="666"/>
        <v>#DIV/0!</v>
      </c>
      <c r="AS671" s="497" t="e">
        <f t="shared" si="667"/>
        <v>#DIV/0!</v>
      </c>
      <c r="AT671" s="497" t="e">
        <f t="shared" si="668"/>
        <v>#DIV/0!</v>
      </c>
      <c r="AU671" s="497" t="e">
        <f t="shared" si="669"/>
        <v>#DIV/0!</v>
      </c>
      <c r="AV671" s="497" t="e">
        <f t="shared" si="670"/>
        <v>#DIV/0!</v>
      </c>
      <c r="AW671" s="497" t="e">
        <f t="shared" si="671"/>
        <v>#DIV/0!</v>
      </c>
      <c r="AX671" s="497" t="e">
        <f t="shared" si="672"/>
        <v>#DIV/0!</v>
      </c>
      <c r="AY671" s="486" t="e">
        <f t="shared" si="673"/>
        <v>#DIV/0!</v>
      </c>
      <c r="AZ671" s="497" t="e">
        <f t="shared" si="674"/>
        <v>#DIV/0!</v>
      </c>
      <c r="BA671" s="486" t="e">
        <f t="shared" si="660"/>
        <v>#DIV/0!</v>
      </c>
      <c r="BB671" s="494">
        <v>5155.41</v>
      </c>
      <c r="BC671" s="494">
        <v>2070.12</v>
      </c>
      <c r="BD671" s="494">
        <v>848.92</v>
      </c>
      <c r="BE671" s="494">
        <v>819.73</v>
      </c>
      <c r="BF671" s="494">
        <v>611.5</v>
      </c>
      <c r="BG671" s="494">
        <v>1080.04</v>
      </c>
      <c r="BH671" s="494">
        <v>2671800.0099999998</v>
      </c>
      <c r="BI671" s="494">
        <f t="shared" si="606"/>
        <v>4422.8500000000004</v>
      </c>
      <c r="BJ671" s="494">
        <v>14289.54</v>
      </c>
      <c r="BK671" s="494">
        <v>3389.61</v>
      </c>
      <c r="BL671" s="494">
        <v>5995.76</v>
      </c>
      <c r="BM671" s="494">
        <v>548.62</v>
      </c>
      <c r="BN671" s="493" t="e">
        <f t="shared" si="675"/>
        <v>#DIV/0!</v>
      </c>
      <c r="BO671" s="493" t="e">
        <f t="shared" si="676"/>
        <v>#DIV/0!</v>
      </c>
      <c r="BP671" s="493" t="e">
        <f t="shared" si="677"/>
        <v>#DIV/0!</v>
      </c>
      <c r="BQ671" s="493" t="e">
        <f t="shared" si="678"/>
        <v>#DIV/0!</v>
      </c>
      <c r="BR671" s="493" t="e">
        <f t="shared" si="679"/>
        <v>#DIV/0!</v>
      </c>
      <c r="BS671" s="493" t="e">
        <f t="shared" si="680"/>
        <v>#DIV/0!</v>
      </c>
      <c r="BT671" s="493" t="e">
        <f t="shared" si="681"/>
        <v>#DIV/0!</v>
      </c>
      <c r="BU671" s="493" t="e">
        <f t="shared" si="682"/>
        <v>#DIV/0!</v>
      </c>
      <c r="BV671" s="493" t="e">
        <f t="shared" si="683"/>
        <v>#DIV/0!</v>
      </c>
      <c r="BW671" s="493" t="e">
        <f t="shared" si="684"/>
        <v>#DIV/0!</v>
      </c>
      <c r="BX671" s="493" t="e">
        <f t="shared" si="685"/>
        <v>#DIV/0!</v>
      </c>
      <c r="BY671" s="493" t="e">
        <f t="shared" si="686"/>
        <v>#DIV/0!</v>
      </c>
    </row>
    <row r="672" spans="1:77" s="28" customFormat="1" ht="9" customHeight="1">
      <c r="A672" s="278">
        <v>242</v>
      </c>
      <c r="B672" s="156" t="s">
        <v>999</v>
      </c>
      <c r="C672" s="249">
        <v>373.12</v>
      </c>
      <c r="D672" s="376"/>
      <c r="E672" s="362" t="s">
        <v>1006</v>
      </c>
      <c r="F672" s="249"/>
      <c r="G672" s="249"/>
      <c r="H672" s="407">
        <v>1106028</v>
      </c>
      <c r="I672" s="407">
        <f t="shared" ref="I672:I674" si="702">J672+L672+N672+P672+R672+T672</f>
        <v>0</v>
      </c>
      <c r="J672" s="217">
        <v>0</v>
      </c>
      <c r="K672" s="469">
        <v>0</v>
      </c>
      <c r="L672" s="217">
        <v>0</v>
      </c>
      <c r="M672" s="469">
        <v>0</v>
      </c>
      <c r="N672" s="217">
        <v>0</v>
      </c>
      <c r="O672" s="249">
        <v>0</v>
      </c>
      <c r="P672" s="407">
        <v>0</v>
      </c>
      <c r="Q672" s="249">
        <v>0</v>
      </c>
      <c r="R672" s="407">
        <v>0</v>
      </c>
      <c r="S672" s="249">
        <v>0</v>
      </c>
      <c r="T672" s="407">
        <v>0</v>
      </c>
      <c r="U672" s="130">
        <v>0</v>
      </c>
      <c r="V672" s="407">
        <v>0</v>
      </c>
      <c r="W672" s="410">
        <v>342</v>
      </c>
      <c r="X672" s="407">
        <f t="shared" ref="X672:X674" si="703">ROUND(H672/100*95.5,2)</f>
        <v>1056256.74</v>
      </c>
      <c r="Y672" s="410">
        <v>0</v>
      </c>
      <c r="Z672" s="410">
        <v>0</v>
      </c>
      <c r="AA672" s="410">
        <v>0</v>
      </c>
      <c r="AB672" s="410">
        <v>0</v>
      </c>
      <c r="AC672" s="410">
        <v>0</v>
      </c>
      <c r="AD672" s="410">
        <v>0</v>
      </c>
      <c r="AE672" s="410">
        <v>0</v>
      </c>
      <c r="AF672" s="410">
        <v>0</v>
      </c>
      <c r="AG672" s="410">
        <v>0</v>
      </c>
      <c r="AH672" s="410">
        <v>0</v>
      </c>
      <c r="AI672" s="410">
        <v>0</v>
      </c>
      <c r="AJ672" s="410">
        <f t="shared" ref="AJ672:AJ674" si="704">ROUND(H672/100*3,2)</f>
        <v>33180.839999999997</v>
      </c>
      <c r="AK672" s="410">
        <f t="shared" ref="AK672:AK674" si="705">ROUND(H672/100*1.5,2)</f>
        <v>16590.419999999998</v>
      </c>
      <c r="AL672" s="410">
        <v>0</v>
      </c>
      <c r="AM672" s="446"/>
      <c r="AN672" s="446"/>
      <c r="AP672" s="486" t="e">
        <f t="shared" si="659"/>
        <v>#DIV/0!</v>
      </c>
      <c r="AQ672" s="486" t="e">
        <f t="shared" si="665"/>
        <v>#DIV/0!</v>
      </c>
      <c r="AR672" s="486" t="e">
        <f t="shared" si="666"/>
        <v>#DIV/0!</v>
      </c>
      <c r="AS672" s="486" t="e">
        <f t="shared" si="667"/>
        <v>#DIV/0!</v>
      </c>
      <c r="AT672" s="486" t="e">
        <f t="shared" si="668"/>
        <v>#DIV/0!</v>
      </c>
      <c r="AU672" s="486" t="e">
        <f t="shared" si="669"/>
        <v>#DIV/0!</v>
      </c>
      <c r="AV672" s="486" t="e">
        <f t="shared" si="670"/>
        <v>#DIV/0!</v>
      </c>
      <c r="AW672" s="486">
        <f t="shared" si="671"/>
        <v>3088.47</v>
      </c>
      <c r="AX672" s="486" t="e">
        <f t="shared" si="672"/>
        <v>#DIV/0!</v>
      </c>
      <c r="AY672" s="486" t="e">
        <f t="shared" si="673"/>
        <v>#DIV/0!</v>
      </c>
      <c r="AZ672" s="486" t="e">
        <f t="shared" si="674"/>
        <v>#DIV/0!</v>
      </c>
      <c r="BA672" s="486">
        <f t="shared" si="660"/>
        <v>0</v>
      </c>
      <c r="BB672" s="494">
        <v>5155.41</v>
      </c>
      <c r="BC672" s="494">
        <v>2070.12</v>
      </c>
      <c r="BD672" s="494">
        <v>848.92</v>
      </c>
      <c r="BE672" s="494">
        <v>819.73</v>
      </c>
      <c r="BF672" s="494">
        <v>611.5</v>
      </c>
      <c r="BG672" s="494">
        <v>1080.04</v>
      </c>
      <c r="BH672" s="494">
        <v>2671800.0099999998</v>
      </c>
      <c r="BI672" s="494">
        <f t="shared" si="606"/>
        <v>4422.8500000000004</v>
      </c>
      <c r="BJ672" s="494">
        <v>14289.54</v>
      </c>
      <c r="BK672" s="494">
        <v>3389.61</v>
      </c>
      <c r="BL672" s="494">
        <v>5995.76</v>
      </c>
      <c r="BM672" s="494">
        <v>548.62</v>
      </c>
      <c r="BN672" s="495" t="e">
        <f t="shared" si="675"/>
        <v>#DIV/0!</v>
      </c>
      <c r="BO672" s="495" t="e">
        <f t="shared" si="676"/>
        <v>#DIV/0!</v>
      </c>
      <c r="BP672" s="495" t="e">
        <f t="shared" si="677"/>
        <v>#DIV/0!</v>
      </c>
      <c r="BQ672" s="495" t="e">
        <f t="shared" si="678"/>
        <v>#DIV/0!</v>
      </c>
      <c r="BR672" s="495" t="e">
        <f t="shared" si="679"/>
        <v>#DIV/0!</v>
      </c>
      <c r="BS672" s="495" t="e">
        <f t="shared" si="680"/>
        <v>#DIV/0!</v>
      </c>
      <c r="BT672" s="495" t="e">
        <f t="shared" si="681"/>
        <v>#DIV/0!</v>
      </c>
      <c r="BU672" s="495" t="str">
        <f t="shared" si="682"/>
        <v xml:space="preserve"> </v>
      </c>
      <c r="BV672" s="495" t="e">
        <f t="shared" si="683"/>
        <v>#DIV/0!</v>
      </c>
      <c r="BW672" s="495" t="e">
        <f t="shared" si="684"/>
        <v>#DIV/0!</v>
      </c>
      <c r="BX672" s="495" t="e">
        <f t="shared" si="685"/>
        <v>#DIV/0!</v>
      </c>
      <c r="BY672" s="495" t="str">
        <f t="shared" si="686"/>
        <v xml:space="preserve"> </v>
      </c>
    </row>
    <row r="673" spans="1:77" s="28" customFormat="1" ht="9" customHeight="1">
      <c r="A673" s="278">
        <v>243</v>
      </c>
      <c r="B673" s="156" t="s">
        <v>1000</v>
      </c>
      <c r="C673" s="249">
        <v>370.82</v>
      </c>
      <c r="D673" s="376"/>
      <c r="E673" s="362" t="s">
        <v>1006</v>
      </c>
      <c r="F673" s="249"/>
      <c r="G673" s="249"/>
      <c r="H673" s="407">
        <v>1106028</v>
      </c>
      <c r="I673" s="407">
        <f t="shared" si="702"/>
        <v>0</v>
      </c>
      <c r="J673" s="217">
        <v>0</v>
      </c>
      <c r="K673" s="469">
        <v>0</v>
      </c>
      <c r="L673" s="217">
        <v>0</v>
      </c>
      <c r="M673" s="469">
        <v>0</v>
      </c>
      <c r="N673" s="217">
        <v>0</v>
      </c>
      <c r="O673" s="249">
        <v>0</v>
      </c>
      <c r="P673" s="407">
        <v>0</v>
      </c>
      <c r="Q673" s="249">
        <v>0</v>
      </c>
      <c r="R673" s="407">
        <v>0</v>
      </c>
      <c r="S673" s="249">
        <v>0</v>
      </c>
      <c r="T673" s="407">
        <v>0</v>
      </c>
      <c r="U673" s="130">
        <v>0</v>
      </c>
      <c r="V673" s="407">
        <v>0</v>
      </c>
      <c r="W673" s="410">
        <v>342</v>
      </c>
      <c r="X673" s="407">
        <f t="shared" si="703"/>
        <v>1056256.74</v>
      </c>
      <c r="Y673" s="410">
        <v>0</v>
      </c>
      <c r="Z673" s="410">
        <v>0</v>
      </c>
      <c r="AA673" s="410">
        <v>0</v>
      </c>
      <c r="AB673" s="410">
        <v>0</v>
      </c>
      <c r="AC673" s="410">
        <v>0</v>
      </c>
      <c r="AD673" s="410">
        <v>0</v>
      </c>
      <c r="AE673" s="410">
        <v>0</v>
      </c>
      <c r="AF673" s="410">
        <v>0</v>
      </c>
      <c r="AG673" s="410">
        <v>0</v>
      </c>
      <c r="AH673" s="410">
        <v>0</v>
      </c>
      <c r="AI673" s="410">
        <v>0</v>
      </c>
      <c r="AJ673" s="410">
        <f t="shared" si="704"/>
        <v>33180.839999999997</v>
      </c>
      <c r="AK673" s="410">
        <f t="shared" si="705"/>
        <v>16590.419999999998</v>
      </c>
      <c r="AL673" s="410">
        <v>0</v>
      </c>
      <c r="AM673" s="446"/>
      <c r="AN673" s="446"/>
      <c r="AP673" s="486" t="e">
        <f t="shared" si="659"/>
        <v>#DIV/0!</v>
      </c>
      <c r="AQ673" s="486" t="e">
        <f t="shared" si="665"/>
        <v>#DIV/0!</v>
      </c>
      <c r="AR673" s="486" t="e">
        <f t="shared" si="666"/>
        <v>#DIV/0!</v>
      </c>
      <c r="AS673" s="486" t="e">
        <f t="shared" si="667"/>
        <v>#DIV/0!</v>
      </c>
      <c r="AT673" s="486" t="e">
        <f t="shared" si="668"/>
        <v>#DIV/0!</v>
      </c>
      <c r="AU673" s="486" t="e">
        <f t="shared" si="669"/>
        <v>#DIV/0!</v>
      </c>
      <c r="AV673" s="486" t="e">
        <f t="shared" si="670"/>
        <v>#DIV/0!</v>
      </c>
      <c r="AW673" s="486">
        <f t="shared" si="671"/>
        <v>3088.47</v>
      </c>
      <c r="AX673" s="486" t="e">
        <f t="shared" si="672"/>
        <v>#DIV/0!</v>
      </c>
      <c r="AY673" s="486" t="e">
        <f t="shared" si="673"/>
        <v>#DIV/0!</v>
      </c>
      <c r="AZ673" s="486" t="e">
        <f t="shared" si="674"/>
        <v>#DIV/0!</v>
      </c>
      <c r="BA673" s="486">
        <f t="shared" si="660"/>
        <v>0</v>
      </c>
      <c r="BB673" s="494">
        <v>5155.41</v>
      </c>
      <c r="BC673" s="494">
        <v>2070.12</v>
      </c>
      <c r="BD673" s="494">
        <v>848.92</v>
      </c>
      <c r="BE673" s="494">
        <v>819.73</v>
      </c>
      <c r="BF673" s="494">
        <v>611.5</v>
      </c>
      <c r="BG673" s="494">
        <v>1080.04</v>
      </c>
      <c r="BH673" s="494">
        <v>2671800.0099999998</v>
      </c>
      <c r="BI673" s="494">
        <f t="shared" si="606"/>
        <v>4422.8500000000004</v>
      </c>
      <c r="BJ673" s="494">
        <v>14289.54</v>
      </c>
      <c r="BK673" s="494">
        <v>3389.61</v>
      </c>
      <c r="BL673" s="494">
        <v>5995.76</v>
      </c>
      <c r="BM673" s="494">
        <v>548.62</v>
      </c>
      <c r="BN673" s="495" t="e">
        <f t="shared" si="675"/>
        <v>#DIV/0!</v>
      </c>
      <c r="BO673" s="495" t="e">
        <f t="shared" si="676"/>
        <v>#DIV/0!</v>
      </c>
      <c r="BP673" s="495" t="e">
        <f t="shared" si="677"/>
        <v>#DIV/0!</v>
      </c>
      <c r="BQ673" s="495" t="e">
        <f t="shared" si="678"/>
        <v>#DIV/0!</v>
      </c>
      <c r="BR673" s="495" t="e">
        <f t="shared" si="679"/>
        <v>#DIV/0!</v>
      </c>
      <c r="BS673" s="495" t="e">
        <f t="shared" si="680"/>
        <v>#DIV/0!</v>
      </c>
      <c r="BT673" s="495" t="e">
        <f t="shared" si="681"/>
        <v>#DIV/0!</v>
      </c>
      <c r="BU673" s="495" t="str">
        <f t="shared" si="682"/>
        <v xml:space="preserve"> </v>
      </c>
      <c r="BV673" s="495" t="e">
        <f t="shared" si="683"/>
        <v>#DIV/0!</v>
      </c>
      <c r="BW673" s="495" t="e">
        <f t="shared" si="684"/>
        <v>#DIV/0!</v>
      </c>
      <c r="BX673" s="495" t="e">
        <f t="shared" si="685"/>
        <v>#DIV/0!</v>
      </c>
      <c r="BY673" s="495" t="str">
        <f t="shared" si="686"/>
        <v xml:space="preserve"> </v>
      </c>
    </row>
    <row r="674" spans="1:77" s="28" customFormat="1" ht="9" customHeight="1">
      <c r="A674" s="278">
        <v>244</v>
      </c>
      <c r="B674" s="156" t="s">
        <v>1001</v>
      </c>
      <c r="C674" s="249">
        <v>369.15</v>
      </c>
      <c r="D674" s="376"/>
      <c r="E674" s="362" t="s">
        <v>1006</v>
      </c>
      <c r="F674" s="249"/>
      <c r="G674" s="249"/>
      <c r="H674" s="407">
        <v>1106028</v>
      </c>
      <c r="I674" s="407">
        <f t="shared" si="702"/>
        <v>0</v>
      </c>
      <c r="J674" s="217">
        <v>0</v>
      </c>
      <c r="K674" s="469">
        <v>0</v>
      </c>
      <c r="L674" s="217">
        <v>0</v>
      </c>
      <c r="M674" s="469">
        <v>0</v>
      </c>
      <c r="N674" s="217">
        <v>0</v>
      </c>
      <c r="O674" s="249">
        <v>0</v>
      </c>
      <c r="P674" s="407">
        <v>0</v>
      </c>
      <c r="Q674" s="249">
        <v>0</v>
      </c>
      <c r="R674" s="407">
        <v>0</v>
      </c>
      <c r="S674" s="249">
        <v>0</v>
      </c>
      <c r="T674" s="407">
        <v>0</v>
      </c>
      <c r="U674" s="130">
        <v>0</v>
      </c>
      <c r="V674" s="407">
        <v>0</v>
      </c>
      <c r="W674" s="410">
        <v>342</v>
      </c>
      <c r="X674" s="407">
        <f t="shared" si="703"/>
        <v>1056256.74</v>
      </c>
      <c r="Y674" s="410">
        <v>0</v>
      </c>
      <c r="Z674" s="410">
        <v>0</v>
      </c>
      <c r="AA674" s="410">
        <v>0</v>
      </c>
      <c r="AB674" s="410">
        <v>0</v>
      </c>
      <c r="AC674" s="410">
        <v>0</v>
      </c>
      <c r="AD674" s="410">
        <v>0</v>
      </c>
      <c r="AE674" s="410">
        <v>0</v>
      </c>
      <c r="AF674" s="410">
        <v>0</v>
      </c>
      <c r="AG674" s="410">
        <v>0</v>
      </c>
      <c r="AH674" s="410">
        <v>0</v>
      </c>
      <c r="AI674" s="410">
        <v>0</v>
      </c>
      <c r="AJ674" s="410">
        <f t="shared" si="704"/>
        <v>33180.839999999997</v>
      </c>
      <c r="AK674" s="410">
        <f t="shared" si="705"/>
        <v>16590.419999999998</v>
      </c>
      <c r="AL674" s="410">
        <v>0</v>
      </c>
      <c r="AM674" s="446"/>
      <c r="AN674" s="446"/>
      <c r="AP674" s="486" t="e">
        <f t="shared" si="659"/>
        <v>#DIV/0!</v>
      </c>
      <c r="AQ674" s="486" t="e">
        <f t="shared" si="665"/>
        <v>#DIV/0!</v>
      </c>
      <c r="AR674" s="486" t="e">
        <f t="shared" si="666"/>
        <v>#DIV/0!</v>
      </c>
      <c r="AS674" s="486" t="e">
        <f t="shared" si="667"/>
        <v>#DIV/0!</v>
      </c>
      <c r="AT674" s="486" t="e">
        <f t="shared" si="668"/>
        <v>#DIV/0!</v>
      </c>
      <c r="AU674" s="486" t="e">
        <f t="shared" si="669"/>
        <v>#DIV/0!</v>
      </c>
      <c r="AV674" s="486" t="e">
        <f t="shared" si="670"/>
        <v>#DIV/0!</v>
      </c>
      <c r="AW674" s="486">
        <f t="shared" si="671"/>
        <v>3088.47</v>
      </c>
      <c r="AX674" s="486" t="e">
        <f t="shared" si="672"/>
        <v>#DIV/0!</v>
      </c>
      <c r="AY674" s="486" t="e">
        <f t="shared" si="673"/>
        <v>#DIV/0!</v>
      </c>
      <c r="AZ674" s="486" t="e">
        <f t="shared" si="674"/>
        <v>#DIV/0!</v>
      </c>
      <c r="BA674" s="486">
        <f t="shared" si="660"/>
        <v>0</v>
      </c>
      <c r="BB674" s="494">
        <v>5155.41</v>
      </c>
      <c r="BC674" s="494">
        <v>2070.12</v>
      </c>
      <c r="BD674" s="494">
        <v>848.92</v>
      </c>
      <c r="BE674" s="494">
        <v>819.73</v>
      </c>
      <c r="BF674" s="494">
        <v>611.5</v>
      </c>
      <c r="BG674" s="494">
        <v>1080.04</v>
      </c>
      <c r="BH674" s="494">
        <v>2671800.0099999998</v>
      </c>
      <c r="BI674" s="494">
        <f t="shared" si="606"/>
        <v>4422.8500000000004</v>
      </c>
      <c r="BJ674" s="494">
        <v>14289.54</v>
      </c>
      <c r="BK674" s="494">
        <v>3389.61</v>
      </c>
      <c r="BL674" s="494">
        <v>5995.76</v>
      </c>
      <c r="BM674" s="494">
        <v>548.62</v>
      </c>
      <c r="BN674" s="495" t="e">
        <f t="shared" si="675"/>
        <v>#DIV/0!</v>
      </c>
      <c r="BO674" s="495" t="e">
        <f t="shared" si="676"/>
        <v>#DIV/0!</v>
      </c>
      <c r="BP674" s="495" t="e">
        <f t="shared" si="677"/>
        <v>#DIV/0!</v>
      </c>
      <c r="BQ674" s="495" t="e">
        <f t="shared" si="678"/>
        <v>#DIV/0!</v>
      </c>
      <c r="BR674" s="495" t="e">
        <f t="shared" si="679"/>
        <v>#DIV/0!</v>
      </c>
      <c r="BS674" s="495" t="e">
        <f t="shared" si="680"/>
        <v>#DIV/0!</v>
      </c>
      <c r="BT674" s="495" t="e">
        <f t="shared" si="681"/>
        <v>#DIV/0!</v>
      </c>
      <c r="BU674" s="495" t="str">
        <f t="shared" si="682"/>
        <v xml:space="preserve"> </v>
      </c>
      <c r="BV674" s="495" t="e">
        <f t="shared" si="683"/>
        <v>#DIV/0!</v>
      </c>
      <c r="BW674" s="495" t="e">
        <f t="shared" si="684"/>
        <v>#DIV/0!</v>
      </c>
      <c r="BX674" s="495" t="e">
        <f t="shared" si="685"/>
        <v>#DIV/0!</v>
      </c>
      <c r="BY674" s="495" t="str">
        <f t="shared" si="686"/>
        <v xml:space="preserve"> </v>
      </c>
    </row>
    <row r="675" spans="1:77" s="28" customFormat="1" ht="48.75" customHeight="1">
      <c r="A675" s="954" t="s">
        <v>39</v>
      </c>
      <c r="B675" s="954"/>
      <c r="C675" s="407">
        <f>SUM(C672:C674)</f>
        <v>1113.0900000000001</v>
      </c>
      <c r="D675" s="396"/>
      <c r="E675" s="362" t="s">
        <v>391</v>
      </c>
      <c r="F675" s="374"/>
      <c r="G675" s="374"/>
      <c r="H675" s="407">
        <f>SUM(H672:H674)</f>
        <v>3318084</v>
      </c>
      <c r="I675" s="407">
        <f t="shared" ref="I675:AL675" si="706">SUM(I672:I674)</f>
        <v>0</v>
      </c>
      <c r="J675" s="407">
        <f t="shared" si="706"/>
        <v>0</v>
      </c>
      <c r="K675" s="407">
        <f t="shared" si="706"/>
        <v>0</v>
      </c>
      <c r="L675" s="407">
        <f t="shared" si="706"/>
        <v>0</v>
      </c>
      <c r="M675" s="407">
        <f t="shared" si="706"/>
        <v>0</v>
      </c>
      <c r="N675" s="407">
        <f t="shared" si="706"/>
        <v>0</v>
      </c>
      <c r="O675" s="407">
        <f t="shared" si="706"/>
        <v>0</v>
      </c>
      <c r="P675" s="407">
        <f t="shared" si="706"/>
        <v>0</v>
      </c>
      <c r="Q675" s="407">
        <f t="shared" si="706"/>
        <v>0</v>
      </c>
      <c r="R675" s="407">
        <f t="shared" si="706"/>
        <v>0</v>
      </c>
      <c r="S675" s="407">
        <f t="shared" si="706"/>
        <v>0</v>
      </c>
      <c r="T675" s="407">
        <f t="shared" si="706"/>
        <v>0</v>
      </c>
      <c r="U675" s="130">
        <f t="shared" si="706"/>
        <v>0</v>
      </c>
      <c r="V675" s="407">
        <f t="shared" si="706"/>
        <v>0</v>
      </c>
      <c r="W675" s="407">
        <f t="shared" si="706"/>
        <v>1026</v>
      </c>
      <c r="X675" s="407">
        <f t="shared" si="706"/>
        <v>3168770.2199999997</v>
      </c>
      <c r="Y675" s="407">
        <f t="shared" si="706"/>
        <v>0</v>
      </c>
      <c r="Z675" s="407">
        <f t="shared" si="706"/>
        <v>0</v>
      </c>
      <c r="AA675" s="407">
        <f t="shared" si="706"/>
        <v>0</v>
      </c>
      <c r="AB675" s="407">
        <f t="shared" si="706"/>
        <v>0</v>
      </c>
      <c r="AC675" s="407">
        <f t="shared" si="706"/>
        <v>0</v>
      </c>
      <c r="AD675" s="407">
        <f t="shared" si="706"/>
        <v>0</v>
      </c>
      <c r="AE675" s="407">
        <f t="shared" si="706"/>
        <v>0</v>
      </c>
      <c r="AF675" s="407">
        <f t="shared" si="706"/>
        <v>0</v>
      </c>
      <c r="AG675" s="407">
        <f t="shared" si="706"/>
        <v>0</v>
      </c>
      <c r="AH675" s="407">
        <f t="shared" si="706"/>
        <v>0</v>
      </c>
      <c r="AI675" s="407">
        <f t="shared" si="706"/>
        <v>0</v>
      </c>
      <c r="AJ675" s="407">
        <f t="shared" si="706"/>
        <v>99542.51999999999</v>
      </c>
      <c r="AK675" s="407">
        <f t="shared" si="706"/>
        <v>49771.259999999995</v>
      </c>
      <c r="AL675" s="407">
        <f t="shared" si="706"/>
        <v>0</v>
      </c>
      <c r="AM675" s="280"/>
      <c r="AN675" s="280"/>
      <c r="AP675" s="486" t="e">
        <f t="shared" si="659"/>
        <v>#DIV/0!</v>
      </c>
      <c r="AQ675" s="486" t="e">
        <f t="shared" si="665"/>
        <v>#DIV/0!</v>
      </c>
      <c r="AR675" s="497" t="e">
        <f t="shared" si="666"/>
        <v>#DIV/0!</v>
      </c>
      <c r="AS675" s="497" t="e">
        <f t="shared" si="667"/>
        <v>#DIV/0!</v>
      </c>
      <c r="AT675" s="497" t="e">
        <f t="shared" si="668"/>
        <v>#DIV/0!</v>
      </c>
      <c r="AU675" s="497" t="e">
        <f t="shared" si="669"/>
        <v>#DIV/0!</v>
      </c>
      <c r="AV675" s="497" t="e">
        <f t="shared" si="670"/>
        <v>#DIV/0!</v>
      </c>
      <c r="AW675" s="497">
        <f t="shared" si="671"/>
        <v>3088.47</v>
      </c>
      <c r="AX675" s="497" t="e">
        <f t="shared" si="672"/>
        <v>#DIV/0!</v>
      </c>
      <c r="AY675" s="486" t="e">
        <f t="shared" si="673"/>
        <v>#DIV/0!</v>
      </c>
      <c r="AZ675" s="497" t="e">
        <f t="shared" si="674"/>
        <v>#DIV/0!</v>
      </c>
      <c r="BA675" s="486">
        <f t="shared" si="660"/>
        <v>0</v>
      </c>
      <c r="BB675" s="494">
        <v>5155.41</v>
      </c>
      <c r="BC675" s="494">
        <v>2070.12</v>
      </c>
      <c r="BD675" s="494">
        <v>848.92</v>
      </c>
      <c r="BE675" s="494">
        <v>819.73</v>
      </c>
      <c r="BF675" s="494">
        <v>611.5</v>
      </c>
      <c r="BG675" s="494">
        <v>1080.04</v>
      </c>
      <c r="BH675" s="494">
        <v>2671800.0099999998</v>
      </c>
      <c r="BI675" s="494">
        <f t="shared" ref="BI675:BI689" si="707">IF(E675="ПК",4607.6,4422.85)</f>
        <v>4422.8500000000004</v>
      </c>
      <c r="BJ675" s="494">
        <v>14289.54</v>
      </c>
      <c r="BK675" s="494">
        <v>3389.61</v>
      </c>
      <c r="BL675" s="494">
        <v>5995.76</v>
      </c>
      <c r="BM675" s="494">
        <v>548.62</v>
      </c>
      <c r="BN675" s="493" t="e">
        <f t="shared" si="675"/>
        <v>#DIV/0!</v>
      </c>
      <c r="BO675" s="493" t="e">
        <f t="shared" si="676"/>
        <v>#DIV/0!</v>
      </c>
      <c r="BP675" s="493" t="e">
        <f t="shared" si="677"/>
        <v>#DIV/0!</v>
      </c>
      <c r="BQ675" s="493" t="e">
        <f t="shared" si="678"/>
        <v>#DIV/0!</v>
      </c>
      <c r="BR675" s="493" t="e">
        <f t="shared" si="679"/>
        <v>#DIV/0!</v>
      </c>
      <c r="BS675" s="493" t="e">
        <f t="shared" si="680"/>
        <v>#DIV/0!</v>
      </c>
      <c r="BT675" s="493" t="e">
        <f t="shared" si="681"/>
        <v>#DIV/0!</v>
      </c>
      <c r="BU675" s="493" t="str">
        <f t="shared" si="682"/>
        <v xml:space="preserve"> </v>
      </c>
      <c r="BV675" s="493" t="e">
        <f t="shared" si="683"/>
        <v>#DIV/0!</v>
      </c>
      <c r="BW675" s="493" t="e">
        <f t="shared" si="684"/>
        <v>#DIV/0!</v>
      </c>
      <c r="BX675" s="493" t="e">
        <f t="shared" si="685"/>
        <v>#DIV/0!</v>
      </c>
      <c r="BY675" s="493" t="str">
        <f t="shared" si="686"/>
        <v xml:space="preserve"> </v>
      </c>
    </row>
    <row r="676" spans="1:77" s="28" customFormat="1" ht="12.75" customHeight="1">
      <c r="A676" s="837" t="s">
        <v>1075</v>
      </c>
      <c r="B676" s="838"/>
      <c r="C676" s="838"/>
      <c r="D676" s="838"/>
      <c r="E676" s="838"/>
      <c r="F676" s="838"/>
      <c r="G676" s="838"/>
      <c r="H676" s="838"/>
      <c r="I676" s="838"/>
      <c r="J676" s="838"/>
      <c r="K676" s="838"/>
      <c r="L676" s="838"/>
      <c r="M676" s="838"/>
      <c r="N676" s="838"/>
      <c r="O676" s="838"/>
      <c r="P676" s="838"/>
      <c r="Q676" s="838"/>
      <c r="R676" s="838"/>
      <c r="S676" s="838"/>
      <c r="T676" s="838"/>
      <c r="U676" s="838"/>
      <c r="V676" s="838"/>
      <c r="W676" s="838"/>
      <c r="X676" s="838"/>
      <c r="Y676" s="838"/>
      <c r="Z676" s="838"/>
      <c r="AA676" s="838"/>
      <c r="AB676" s="838"/>
      <c r="AC676" s="838"/>
      <c r="AD676" s="838"/>
      <c r="AE676" s="838"/>
      <c r="AF676" s="838"/>
      <c r="AG676" s="838"/>
      <c r="AH676" s="838"/>
      <c r="AI676" s="838"/>
      <c r="AJ676" s="838"/>
      <c r="AK676" s="838"/>
      <c r="AL676" s="839"/>
      <c r="AM676" s="280"/>
      <c r="AN676" s="280"/>
      <c r="AP676" s="486" t="e">
        <f t="shared" si="659"/>
        <v>#DIV/0!</v>
      </c>
      <c r="AQ676" s="486" t="e">
        <f t="shared" si="665"/>
        <v>#DIV/0!</v>
      </c>
      <c r="AR676" s="497" t="e">
        <f t="shared" si="666"/>
        <v>#DIV/0!</v>
      </c>
      <c r="AS676" s="497" t="e">
        <f t="shared" si="667"/>
        <v>#DIV/0!</v>
      </c>
      <c r="AT676" s="497" t="e">
        <f t="shared" si="668"/>
        <v>#DIV/0!</v>
      </c>
      <c r="AU676" s="497" t="e">
        <f t="shared" si="669"/>
        <v>#DIV/0!</v>
      </c>
      <c r="AV676" s="497" t="e">
        <f t="shared" si="670"/>
        <v>#DIV/0!</v>
      </c>
      <c r="AW676" s="497" t="e">
        <f t="shared" si="671"/>
        <v>#DIV/0!</v>
      </c>
      <c r="AX676" s="497" t="e">
        <f t="shared" si="672"/>
        <v>#DIV/0!</v>
      </c>
      <c r="AY676" s="486" t="e">
        <f t="shared" si="673"/>
        <v>#DIV/0!</v>
      </c>
      <c r="AZ676" s="497" t="e">
        <f t="shared" si="674"/>
        <v>#DIV/0!</v>
      </c>
      <c r="BA676" s="486" t="e">
        <f t="shared" si="660"/>
        <v>#DIV/0!</v>
      </c>
      <c r="BB676" s="494">
        <v>5155.41</v>
      </c>
      <c r="BC676" s="494">
        <v>2070.12</v>
      </c>
      <c r="BD676" s="494">
        <v>848.92</v>
      </c>
      <c r="BE676" s="494">
        <v>819.73</v>
      </c>
      <c r="BF676" s="494">
        <v>611.5</v>
      </c>
      <c r="BG676" s="494">
        <v>1080.04</v>
      </c>
      <c r="BH676" s="494">
        <v>2671800.0099999998</v>
      </c>
      <c r="BI676" s="494">
        <f t="shared" si="707"/>
        <v>4422.8500000000004</v>
      </c>
      <c r="BJ676" s="494">
        <v>14289.54</v>
      </c>
      <c r="BK676" s="494">
        <v>3389.61</v>
      </c>
      <c r="BL676" s="494">
        <v>5995.76</v>
      </c>
      <c r="BM676" s="494">
        <v>548.62</v>
      </c>
      <c r="BN676" s="493" t="e">
        <f t="shared" si="675"/>
        <v>#DIV/0!</v>
      </c>
      <c r="BO676" s="493" t="e">
        <f t="shared" si="676"/>
        <v>#DIV/0!</v>
      </c>
      <c r="BP676" s="493" t="e">
        <f t="shared" si="677"/>
        <v>#DIV/0!</v>
      </c>
      <c r="BQ676" s="493" t="e">
        <f t="shared" si="678"/>
        <v>#DIV/0!</v>
      </c>
      <c r="BR676" s="493" t="e">
        <f t="shared" si="679"/>
        <v>#DIV/0!</v>
      </c>
      <c r="BS676" s="493" t="e">
        <f t="shared" si="680"/>
        <v>#DIV/0!</v>
      </c>
      <c r="BT676" s="493" t="e">
        <f t="shared" si="681"/>
        <v>#DIV/0!</v>
      </c>
      <c r="BU676" s="493" t="e">
        <f t="shared" si="682"/>
        <v>#DIV/0!</v>
      </c>
      <c r="BV676" s="493" t="e">
        <f t="shared" si="683"/>
        <v>#DIV/0!</v>
      </c>
      <c r="BW676" s="493" t="e">
        <f t="shared" si="684"/>
        <v>#DIV/0!</v>
      </c>
      <c r="BX676" s="493" t="e">
        <f t="shared" si="685"/>
        <v>#DIV/0!</v>
      </c>
      <c r="BY676" s="493" t="e">
        <f t="shared" si="686"/>
        <v>#DIV/0!</v>
      </c>
    </row>
    <row r="677" spans="1:77" s="28" customFormat="1" ht="9" customHeight="1">
      <c r="A677" s="276">
        <v>245</v>
      </c>
      <c r="B677" s="276" t="s">
        <v>1002</v>
      </c>
      <c r="C677" s="249">
        <v>869</v>
      </c>
      <c r="D677" s="376"/>
      <c r="E677" s="362" t="s">
        <v>1005</v>
      </c>
      <c r="F677" s="374"/>
      <c r="G677" s="374"/>
      <c r="H677" s="362">
        <v>2147096</v>
      </c>
      <c r="I677" s="407">
        <f t="shared" ref="I677" si="708">J677+L677+N677+P677+R677+T677</f>
        <v>0</v>
      </c>
      <c r="J677" s="217">
        <v>0</v>
      </c>
      <c r="K677" s="469">
        <v>0</v>
      </c>
      <c r="L677" s="217">
        <v>0</v>
      </c>
      <c r="M677" s="469">
        <v>0</v>
      </c>
      <c r="N677" s="217">
        <v>0</v>
      </c>
      <c r="O677" s="249">
        <v>0</v>
      </c>
      <c r="P677" s="407">
        <v>0</v>
      </c>
      <c r="Q677" s="249">
        <v>0</v>
      </c>
      <c r="R677" s="407">
        <v>0</v>
      </c>
      <c r="S677" s="249">
        <v>0</v>
      </c>
      <c r="T677" s="407">
        <v>0</v>
      </c>
      <c r="U677" s="130">
        <v>0</v>
      </c>
      <c r="V677" s="407">
        <v>0</v>
      </c>
      <c r="W677" s="410">
        <v>644</v>
      </c>
      <c r="X677" s="407">
        <f t="shared" ref="X677" si="709">ROUND(H677/100*95.5,2)</f>
        <v>2050476.68</v>
      </c>
      <c r="Y677" s="410">
        <v>0</v>
      </c>
      <c r="Z677" s="410">
        <v>0</v>
      </c>
      <c r="AA677" s="410">
        <v>0</v>
      </c>
      <c r="AB677" s="410">
        <v>0</v>
      </c>
      <c r="AC677" s="410">
        <v>0</v>
      </c>
      <c r="AD677" s="410">
        <v>0</v>
      </c>
      <c r="AE677" s="410">
        <v>0</v>
      </c>
      <c r="AF677" s="410">
        <v>0</v>
      </c>
      <c r="AG677" s="410">
        <v>0</v>
      </c>
      <c r="AH677" s="410">
        <v>0</v>
      </c>
      <c r="AI677" s="410">
        <v>0</v>
      </c>
      <c r="AJ677" s="410">
        <f t="shared" ref="AJ677" si="710">ROUND(H677/100*3,2)</f>
        <v>64412.88</v>
      </c>
      <c r="AK677" s="410">
        <f t="shared" ref="AK677" si="711">ROUND(H677/100*1.5,2)</f>
        <v>32206.44</v>
      </c>
      <c r="AL677" s="410">
        <v>0</v>
      </c>
      <c r="AM677" s="446"/>
      <c r="AN677" s="446"/>
      <c r="AP677" s="486" t="e">
        <f t="shared" si="659"/>
        <v>#DIV/0!</v>
      </c>
      <c r="AQ677" s="486" t="e">
        <f t="shared" si="665"/>
        <v>#DIV/0!</v>
      </c>
      <c r="AR677" s="486" t="e">
        <f t="shared" si="666"/>
        <v>#DIV/0!</v>
      </c>
      <c r="AS677" s="486" t="e">
        <f t="shared" si="667"/>
        <v>#DIV/0!</v>
      </c>
      <c r="AT677" s="486" t="e">
        <f t="shared" si="668"/>
        <v>#DIV/0!</v>
      </c>
      <c r="AU677" s="486" t="e">
        <f t="shared" si="669"/>
        <v>#DIV/0!</v>
      </c>
      <c r="AV677" s="486" t="e">
        <f t="shared" si="670"/>
        <v>#DIV/0!</v>
      </c>
      <c r="AW677" s="486">
        <f t="shared" si="671"/>
        <v>3183.97</v>
      </c>
      <c r="AX677" s="486" t="e">
        <f t="shared" si="672"/>
        <v>#DIV/0!</v>
      </c>
      <c r="AY677" s="486" t="e">
        <f t="shared" si="673"/>
        <v>#DIV/0!</v>
      </c>
      <c r="AZ677" s="486" t="e">
        <f t="shared" si="674"/>
        <v>#DIV/0!</v>
      </c>
      <c r="BA677" s="486">
        <f t="shared" si="660"/>
        <v>0</v>
      </c>
      <c r="BB677" s="494">
        <v>5155.41</v>
      </c>
      <c r="BC677" s="494">
        <v>2070.12</v>
      </c>
      <c r="BD677" s="494">
        <v>848.92</v>
      </c>
      <c r="BE677" s="494">
        <v>819.73</v>
      </c>
      <c r="BF677" s="494">
        <v>611.5</v>
      </c>
      <c r="BG677" s="494">
        <v>1080.04</v>
      </c>
      <c r="BH677" s="494">
        <v>2671800.0099999998</v>
      </c>
      <c r="BI677" s="494">
        <f t="shared" si="707"/>
        <v>4607.6000000000004</v>
      </c>
      <c r="BJ677" s="494">
        <v>14289.54</v>
      </c>
      <c r="BK677" s="494">
        <v>3389.61</v>
      </c>
      <c r="BL677" s="494">
        <v>5995.76</v>
      </c>
      <c r="BM677" s="494">
        <v>548.62</v>
      </c>
      <c r="BN677" s="495" t="e">
        <f t="shared" si="675"/>
        <v>#DIV/0!</v>
      </c>
      <c r="BO677" s="495" t="e">
        <f t="shared" si="676"/>
        <v>#DIV/0!</v>
      </c>
      <c r="BP677" s="495" t="e">
        <f t="shared" si="677"/>
        <v>#DIV/0!</v>
      </c>
      <c r="BQ677" s="495" t="e">
        <f t="shared" si="678"/>
        <v>#DIV/0!</v>
      </c>
      <c r="BR677" s="495" t="e">
        <f t="shared" si="679"/>
        <v>#DIV/0!</v>
      </c>
      <c r="BS677" s="495" t="e">
        <f t="shared" si="680"/>
        <v>#DIV/0!</v>
      </c>
      <c r="BT677" s="495" t="e">
        <f t="shared" si="681"/>
        <v>#DIV/0!</v>
      </c>
      <c r="BU677" s="495" t="str">
        <f t="shared" si="682"/>
        <v xml:space="preserve"> </v>
      </c>
      <c r="BV677" s="495" t="e">
        <f t="shared" si="683"/>
        <v>#DIV/0!</v>
      </c>
      <c r="BW677" s="495" t="e">
        <f t="shared" si="684"/>
        <v>#DIV/0!</v>
      </c>
      <c r="BX677" s="495" t="e">
        <f t="shared" si="685"/>
        <v>#DIV/0!</v>
      </c>
      <c r="BY677" s="495" t="str">
        <f t="shared" si="686"/>
        <v xml:space="preserve"> </v>
      </c>
    </row>
    <row r="678" spans="1:77" s="28" customFormat="1" ht="28.5" customHeight="1">
      <c r="A678" s="954" t="s">
        <v>1076</v>
      </c>
      <c r="B678" s="954"/>
      <c r="C678" s="407">
        <f>SUM(C677)</f>
        <v>869</v>
      </c>
      <c r="D678" s="396"/>
      <c r="E678" s="362" t="s">
        <v>391</v>
      </c>
      <c r="F678" s="374"/>
      <c r="G678" s="374"/>
      <c r="H678" s="407">
        <f>SUM(H677)</f>
        <v>2147096</v>
      </c>
      <c r="I678" s="407">
        <f t="shared" ref="I678:AN678" si="712">SUM(I677)</f>
        <v>0</v>
      </c>
      <c r="J678" s="407">
        <f t="shared" si="712"/>
        <v>0</v>
      </c>
      <c r="K678" s="407">
        <f t="shared" si="712"/>
        <v>0</v>
      </c>
      <c r="L678" s="407">
        <f t="shared" si="712"/>
        <v>0</v>
      </c>
      <c r="M678" s="407">
        <f t="shared" si="712"/>
        <v>0</v>
      </c>
      <c r="N678" s="407">
        <f t="shared" si="712"/>
        <v>0</v>
      </c>
      <c r="O678" s="407">
        <f t="shared" si="712"/>
        <v>0</v>
      </c>
      <c r="P678" s="407">
        <f t="shared" si="712"/>
        <v>0</v>
      </c>
      <c r="Q678" s="407">
        <f t="shared" si="712"/>
        <v>0</v>
      </c>
      <c r="R678" s="407">
        <f t="shared" si="712"/>
        <v>0</v>
      </c>
      <c r="S678" s="407">
        <f t="shared" si="712"/>
        <v>0</v>
      </c>
      <c r="T678" s="407">
        <f t="shared" si="712"/>
        <v>0</v>
      </c>
      <c r="U678" s="130">
        <f t="shared" si="712"/>
        <v>0</v>
      </c>
      <c r="V678" s="407">
        <f t="shared" si="712"/>
        <v>0</v>
      </c>
      <c r="W678" s="407">
        <f t="shared" si="712"/>
        <v>644</v>
      </c>
      <c r="X678" s="407">
        <f t="shared" si="712"/>
        <v>2050476.68</v>
      </c>
      <c r="Y678" s="407">
        <f t="shared" si="712"/>
        <v>0</v>
      </c>
      <c r="Z678" s="407">
        <f t="shared" si="712"/>
        <v>0</v>
      </c>
      <c r="AA678" s="407">
        <f t="shared" si="712"/>
        <v>0</v>
      </c>
      <c r="AB678" s="407">
        <f t="shared" si="712"/>
        <v>0</v>
      </c>
      <c r="AC678" s="407">
        <f t="shared" si="712"/>
        <v>0</v>
      </c>
      <c r="AD678" s="407">
        <f t="shared" si="712"/>
        <v>0</v>
      </c>
      <c r="AE678" s="407">
        <f t="shared" si="712"/>
        <v>0</v>
      </c>
      <c r="AF678" s="407">
        <f t="shared" si="712"/>
        <v>0</v>
      </c>
      <c r="AG678" s="407">
        <f t="shared" si="712"/>
        <v>0</v>
      </c>
      <c r="AH678" s="407">
        <f t="shared" si="712"/>
        <v>0</v>
      </c>
      <c r="AI678" s="407">
        <f t="shared" si="712"/>
        <v>0</v>
      </c>
      <c r="AJ678" s="407">
        <f t="shared" si="712"/>
        <v>64412.88</v>
      </c>
      <c r="AK678" s="407">
        <f t="shared" si="712"/>
        <v>32206.44</v>
      </c>
      <c r="AL678" s="407">
        <f t="shared" si="712"/>
        <v>0</v>
      </c>
      <c r="AM678" s="407">
        <f t="shared" si="712"/>
        <v>0</v>
      </c>
      <c r="AN678" s="407">
        <f t="shared" si="712"/>
        <v>0</v>
      </c>
      <c r="AP678" s="486" t="e">
        <f t="shared" si="659"/>
        <v>#DIV/0!</v>
      </c>
      <c r="AQ678" s="486" t="e">
        <f t="shared" si="665"/>
        <v>#DIV/0!</v>
      </c>
      <c r="AR678" s="497" t="e">
        <f t="shared" si="666"/>
        <v>#DIV/0!</v>
      </c>
      <c r="AS678" s="497" t="e">
        <f t="shared" si="667"/>
        <v>#DIV/0!</v>
      </c>
      <c r="AT678" s="497" t="e">
        <f t="shared" si="668"/>
        <v>#DIV/0!</v>
      </c>
      <c r="AU678" s="497" t="e">
        <f t="shared" si="669"/>
        <v>#DIV/0!</v>
      </c>
      <c r="AV678" s="497" t="e">
        <f t="shared" si="670"/>
        <v>#DIV/0!</v>
      </c>
      <c r="AW678" s="497">
        <f t="shared" si="671"/>
        <v>3183.97</v>
      </c>
      <c r="AX678" s="497" t="e">
        <f t="shared" si="672"/>
        <v>#DIV/0!</v>
      </c>
      <c r="AY678" s="486" t="e">
        <f t="shared" si="673"/>
        <v>#DIV/0!</v>
      </c>
      <c r="AZ678" s="497" t="e">
        <f t="shared" si="674"/>
        <v>#DIV/0!</v>
      </c>
      <c r="BA678" s="486">
        <f t="shared" si="660"/>
        <v>0</v>
      </c>
      <c r="BB678" s="494">
        <v>5155.41</v>
      </c>
      <c r="BC678" s="494">
        <v>2070.12</v>
      </c>
      <c r="BD678" s="494">
        <v>848.92</v>
      </c>
      <c r="BE678" s="494">
        <v>819.73</v>
      </c>
      <c r="BF678" s="494">
        <v>611.5</v>
      </c>
      <c r="BG678" s="494">
        <v>1080.04</v>
      </c>
      <c r="BH678" s="494">
        <v>2671800.0099999998</v>
      </c>
      <c r="BI678" s="494">
        <f t="shared" si="707"/>
        <v>4422.8500000000004</v>
      </c>
      <c r="BJ678" s="494">
        <v>14289.54</v>
      </c>
      <c r="BK678" s="494">
        <v>3389.61</v>
      </c>
      <c r="BL678" s="494">
        <v>5995.76</v>
      </c>
      <c r="BM678" s="494">
        <v>548.62</v>
      </c>
      <c r="BN678" s="493" t="e">
        <f t="shared" si="675"/>
        <v>#DIV/0!</v>
      </c>
      <c r="BO678" s="493" t="e">
        <f t="shared" si="676"/>
        <v>#DIV/0!</v>
      </c>
      <c r="BP678" s="493" t="e">
        <f t="shared" si="677"/>
        <v>#DIV/0!</v>
      </c>
      <c r="BQ678" s="493" t="e">
        <f t="shared" si="678"/>
        <v>#DIV/0!</v>
      </c>
      <c r="BR678" s="493" t="e">
        <f t="shared" si="679"/>
        <v>#DIV/0!</v>
      </c>
      <c r="BS678" s="493" t="e">
        <f t="shared" si="680"/>
        <v>#DIV/0!</v>
      </c>
      <c r="BT678" s="493" t="e">
        <f t="shared" si="681"/>
        <v>#DIV/0!</v>
      </c>
      <c r="BU678" s="493" t="str">
        <f t="shared" si="682"/>
        <v xml:space="preserve"> </v>
      </c>
      <c r="BV678" s="493" t="e">
        <f t="shared" si="683"/>
        <v>#DIV/0!</v>
      </c>
      <c r="BW678" s="493" t="e">
        <f t="shared" si="684"/>
        <v>#DIV/0!</v>
      </c>
      <c r="BX678" s="493" t="e">
        <f t="shared" si="685"/>
        <v>#DIV/0!</v>
      </c>
      <c r="BY678" s="493" t="str">
        <f t="shared" si="686"/>
        <v xml:space="preserve"> </v>
      </c>
    </row>
    <row r="679" spans="1:77" s="28" customFormat="1" ht="12" customHeight="1">
      <c r="A679" s="837" t="s">
        <v>45</v>
      </c>
      <c r="B679" s="838"/>
      <c r="C679" s="838"/>
      <c r="D679" s="838"/>
      <c r="E679" s="838"/>
      <c r="F679" s="838"/>
      <c r="G679" s="838"/>
      <c r="H679" s="838"/>
      <c r="I679" s="838"/>
      <c r="J679" s="838"/>
      <c r="K679" s="838"/>
      <c r="L679" s="838"/>
      <c r="M679" s="838"/>
      <c r="N679" s="838"/>
      <c r="O679" s="838"/>
      <c r="P679" s="838"/>
      <c r="Q679" s="838"/>
      <c r="R679" s="838"/>
      <c r="S679" s="838"/>
      <c r="T679" s="838"/>
      <c r="U679" s="838"/>
      <c r="V679" s="838"/>
      <c r="W679" s="838"/>
      <c r="X679" s="838"/>
      <c r="Y679" s="838"/>
      <c r="Z679" s="838"/>
      <c r="AA679" s="838"/>
      <c r="AB679" s="838"/>
      <c r="AC679" s="838"/>
      <c r="AD679" s="838"/>
      <c r="AE679" s="838"/>
      <c r="AF679" s="838"/>
      <c r="AG679" s="838"/>
      <c r="AH679" s="838"/>
      <c r="AI679" s="838"/>
      <c r="AJ679" s="838"/>
      <c r="AK679" s="838"/>
      <c r="AL679" s="839"/>
      <c r="AM679" s="280"/>
      <c r="AN679" s="280"/>
      <c r="AP679" s="486" t="e">
        <f t="shared" si="659"/>
        <v>#DIV/0!</v>
      </c>
      <c r="AQ679" s="486" t="e">
        <f t="shared" si="665"/>
        <v>#DIV/0!</v>
      </c>
      <c r="AR679" s="497" t="e">
        <f t="shared" si="666"/>
        <v>#DIV/0!</v>
      </c>
      <c r="AS679" s="497" t="e">
        <f t="shared" si="667"/>
        <v>#DIV/0!</v>
      </c>
      <c r="AT679" s="497" t="e">
        <f t="shared" si="668"/>
        <v>#DIV/0!</v>
      </c>
      <c r="AU679" s="497" t="e">
        <f t="shared" si="669"/>
        <v>#DIV/0!</v>
      </c>
      <c r="AV679" s="497" t="e">
        <f t="shared" si="670"/>
        <v>#DIV/0!</v>
      </c>
      <c r="AW679" s="497" t="e">
        <f t="shared" si="671"/>
        <v>#DIV/0!</v>
      </c>
      <c r="AX679" s="497" t="e">
        <f t="shared" si="672"/>
        <v>#DIV/0!</v>
      </c>
      <c r="AY679" s="486" t="e">
        <f t="shared" si="673"/>
        <v>#DIV/0!</v>
      </c>
      <c r="AZ679" s="497" t="e">
        <f t="shared" si="674"/>
        <v>#DIV/0!</v>
      </c>
      <c r="BA679" s="486" t="e">
        <f t="shared" si="660"/>
        <v>#DIV/0!</v>
      </c>
      <c r="BB679" s="494">
        <v>5155.41</v>
      </c>
      <c r="BC679" s="494">
        <v>2070.12</v>
      </c>
      <c r="BD679" s="494">
        <v>848.92</v>
      </c>
      <c r="BE679" s="494">
        <v>819.73</v>
      </c>
      <c r="BF679" s="494">
        <v>611.5</v>
      </c>
      <c r="BG679" s="494">
        <v>1080.04</v>
      </c>
      <c r="BH679" s="494">
        <v>2671800.0099999998</v>
      </c>
      <c r="BI679" s="494">
        <f t="shared" si="707"/>
        <v>4422.8500000000004</v>
      </c>
      <c r="BJ679" s="494">
        <v>14289.54</v>
      </c>
      <c r="BK679" s="494">
        <v>3389.61</v>
      </c>
      <c r="BL679" s="494">
        <v>5995.76</v>
      </c>
      <c r="BM679" s="494">
        <v>548.62</v>
      </c>
      <c r="BN679" s="493" t="e">
        <f t="shared" si="675"/>
        <v>#DIV/0!</v>
      </c>
      <c r="BO679" s="493" t="e">
        <f t="shared" si="676"/>
        <v>#DIV/0!</v>
      </c>
      <c r="BP679" s="493" t="e">
        <f t="shared" si="677"/>
        <v>#DIV/0!</v>
      </c>
      <c r="BQ679" s="493" t="e">
        <f t="shared" si="678"/>
        <v>#DIV/0!</v>
      </c>
      <c r="BR679" s="493" t="e">
        <f t="shared" si="679"/>
        <v>#DIV/0!</v>
      </c>
      <c r="BS679" s="493" t="e">
        <f t="shared" si="680"/>
        <v>#DIV/0!</v>
      </c>
      <c r="BT679" s="493" t="e">
        <f t="shared" si="681"/>
        <v>#DIV/0!</v>
      </c>
      <c r="BU679" s="493" t="e">
        <f t="shared" si="682"/>
        <v>#DIV/0!</v>
      </c>
      <c r="BV679" s="493" t="e">
        <f t="shared" si="683"/>
        <v>#DIV/0!</v>
      </c>
      <c r="BW679" s="493" t="e">
        <f t="shared" si="684"/>
        <v>#DIV/0!</v>
      </c>
      <c r="BX679" s="493" t="e">
        <f t="shared" si="685"/>
        <v>#DIV/0!</v>
      </c>
      <c r="BY679" s="493" t="e">
        <f t="shared" si="686"/>
        <v>#DIV/0!</v>
      </c>
    </row>
    <row r="680" spans="1:77" s="28" customFormat="1" ht="9" customHeight="1">
      <c r="A680" s="278">
        <v>246</v>
      </c>
      <c r="B680" s="156" t="s">
        <v>991</v>
      </c>
      <c r="C680" s="249">
        <v>1205.5</v>
      </c>
      <c r="D680" s="376"/>
      <c r="E680" s="362" t="s">
        <v>1006</v>
      </c>
      <c r="F680" s="249"/>
      <c r="G680" s="249"/>
      <c r="H680" s="407">
        <v>1465002</v>
      </c>
      <c r="I680" s="407">
        <f t="shared" ref="I680:I687" si="713">J680+L680+N680+P680+R680+T680</f>
        <v>0</v>
      </c>
      <c r="J680" s="217">
        <v>0</v>
      </c>
      <c r="K680" s="469">
        <v>0</v>
      </c>
      <c r="L680" s="217">
        <v>0</v>
      </c>
      <c r="M680" s="469">
        <v>0</v>
      </c>
      <c r="N680" s="217">
        <v>0</v>
      </c>
      <c r="O680" s="249">
        <v>0</v>
      </c>
      <c r="P680" s="407">
        <v>0</v>
      </c>
      <c r="Q680" s="249">
        <v>0</v>
      </c>
      <c r="R680" s="407">
        <v>0</v>
      </c>
      <c r="S680" s="249">
        <v>0</v>
      </c>
      <c r="T680" s="407">
        <v>0</v>
      </c>
      <c r="U680" s="130">
        <v>0</v>
      </c>
      <c r="V680" s="407">
        <v>0</v>
      </c>
      <c r="W680" s="410">
        <v>453</v>
      </c>
      <c r="X680" s="407">
        <f t="shared" ref="X680:X687" si="714">ROUND(H680/100*95.5,2)</f>
        <v>1399076.91</v>
      </c>
      <c r="Y680" s="410">
        <v>0</v>
      </c>
      <c r="Z680" s="410">
        <v>0</v>
      </c>
      <c r="AA680" s="410">
        <v>0</v>
      </c>
      <c r="AB680" s="410">
        <v>0</v>
      </c>
      <c r="AC680" s="410">
        <v>0</v>
      </c>
      <c r="AD680" s="410">
        <v>0</v>
      </c>
      <c r="AE680" s="410">
        <v>0</v>
      </c>
      <c r="AF680" s="410">
        <v>0</v>
      </c>
      <c r="AG680" s="410">
        <v>0</v>
      </c>
      <c r="AH680" s="410">
        <v>0</v>
      </c>
      <c r="AI680" s="410">
        <v>0</v>
      </c>
      <c r="AJ680" s="410">
        <f t="shared" ref="AJ680:AJ687" si="715">ROUND(H680/100*3,2)</f>
        <v>43950.06</v>
      </c>
      <c r="AK680" s="410">
        <f t="shared" ref="AK680:AK687" si="716">ROUND(H680/100*1.5,2)</f>
        <v>21975.03</v>
      </c>
      <c r="AL680" s="410">
        <v>0</v>
      </c>
      <c r="AM680" s="446"/>
      <c r="AN680" s="446"/>
      <c r="AP680" s="486" t="e">
        <f t="shared" si="659"/>
        <v>#DIV/0!</v>
      </c>
      <c r="AQ680" s="486" t="e">
        <f t="shared" si="665"/>
        <v>#DIV/0!</v>
      </c>
      <c r="AR680" s="486" t="e">
        <f t="shared" si="666"/>
        <v>#DIV/0!</v>
      </c>
      <c r="AS680" s="486" t="e">
        <f t="shared" si="667"/>
        <v>#DIV/0!</v>
      </c>
      <c r="AT680" s="486" t="e">
        <f t="shared" si="668"/>
        <v>#DIV/0!</v>
      </c>
      <c r="AU680" s="486" t="e">
        <f t="shared" si="669"/>
        <v>#DIV/0!</v>
      </c>
      <c r="AV680" s="486" t="e">
        <f t="shared" si="670"/>
        <v>#DIV/0!</v>
      </c>
      <c r="AW680" s="486">
        <f t="shared" si="671"/>
        <v>3088.47</v>
      </c>
      <c r="AX680" s="486" t="e">
        <f t="shared" si="672"/>
        <v>#DIV/0!</v>
      </c>
      <c r="AY680" s="486" t="e">
        <f t="shared" si="673"/>
        <v>#DIV/0!</v>
      </c>
      <c r="AZ680" s="486" t="e">
        <f t="shared" si="674"/>
        <v>#DIV/0!</v>
      </c>
      <c r="BA680" s="486">
        <f t="shared" si="660"/>
        <v>0</v>
      </c>
      <c r="BB680" s="494">
        <v>5155.41</v>
      </c>
      <c r="BC680" s="494">
        <v>2070.12</v>
      </c>
      <c r="BD680" s="494">
        <v>848.92</v>
      </c>
      <c r="BE680" s="494">
        <v>819.73</v>
      </c>
      <c r="BF680" s="494">
        <v>611.5</v>
      </c>
      <c r="BG680" s="494">
        <v>1080.04</v>
      </c>
      <c r="BH680" s="494">
        <v>2671800.0099999998</v>
      </c>
      <c r="BI680" s="494">
        <f t="shared" si="707"/>
        <v>4422.8500000000004</v>
      </c>
      <c r="BJ680" s="494">
        <v>14289.54</v>
      </c>
      <c r="BK680" s="494">
        <v>3389.61</v>
      </c>
      <c r="BL680" s="494">
        <v>5995.76</v>
      </c>
      <c r="BM680" s="494">
        <v>548.62</v>
      </c>
      <c r="BN680" s="495" t="e">
        <f t="shared" si="675"/>
        <v>#DIV/0!</v>
      </c>
      <c r="BO680" s="495" t="e">
        <f t="shared" si="676"/>
        <v>#DIV/0!</v>
      </c>
      <c r="BP680" s="495" t="e">
        <f t="shared" si="677"/>
        <v>#DIV/0!</v>
      </c>
      <c r="BQ680" s="495" t="e">
        <f t="shared" si="678"/>
        <v>#DIV/0!</v>
      </c>
      <c r="BR680" s="495" t="e">
        <f t="shared" si="679"/>
        <v>#DIV/0!</v>
      </c>
      <c r="BS680" s="495" t="e">
        <f t="shared" si="680"/>
        <v>#DIV/0!</v>
      </c>
      <c r="BT680" s="495" t="e">
        <f t="shared" si="681"/>
        <v>#DIV/0!</v>
      </c>
      <c r="BU680" s="495" t="str">
        <f t="shared" si="682"/>
        <v xml:space="preserve"> </v>
      </c>
      <c r="BV680" s="495" t="e">
        <f t="shared" si="683"/>
        <v>#DIV/0!</v>
      </c>
      <c r="BW680" s="495" t="e">
        <f t="shared" si="684"/>
        <v>#DIV/0!</v>
      </c>
      <c r="BX680" s="495" t="e">
        <f t="shared" si="685"/>
        <v>#DIV/0!</v>
      </c>
      <c r="BY680" s="495" t="str">
        <f t="shared" si="686"/>
        <v xml:space="preserve"> </v>
      </c>
    </row>
    <row r="681" spans="1:77" s="28" customFormat="1" ht="9" customHeight="1">
      <c r="A681" s="278">
        <v>247</v>
      </c>
      <c r="B681" s="156" t="s">
        <v>992</v>
      </c>
      <c r="C681" s="249">
        <v>1151.7</v>
      </c>
      <c r="D681" s="376"/>
      <c r="E681" s="362" t="s">
        <v>1006</v>
      </c>
      <c r="F681" s="249"/>
      <c r="G681" s="249"/>
      <c r="H681" s="407">
        <v>1497342</v>
      </c>
      <c r="I681" s="407">
        <f t="shared" si="713"/>
        <v>0</v>
      </c>
      <c r="J681" s="217">
        <v>0</v>
      </c>
      <c r="K681" s="469">
        <v>0</v>
      </c>
      <c r="L681" s="217">
        <v>0</v>
      </c>
      <c r="M681" s="469">
        <v>0</v>
      </c>
      <c r="N681" s="217">
        <v>0</v>
      </c>
      <c r="O681" s="249">
        <v>0</v>
      </c>
      <c r="P681" s="407">
        <v>0</v>
      </c>
      <c r="Q681" s="249">
        <v>0</v>
      </c>
      <c r="R681" s="407">
        <v>0</v>
      </c>
      <c r="S681" s="249">
        <v>0</v>
      </c>
      <c r="T681" s="407">
        <v>0</v>
      </c>
      <c r="U681" s="130">
        <v>0</v>
      </c>
      <c r="V681" s="407">
        <v>0</v>
      </c>
      <c r="W681" s="410">
        <v>463</v>
      </c>
      <c r="X681" s="407">
        <f t="shared" si="714"/>
        <v>1429961.61</v>
      </c>
      <c r="Y681" s="410">
        <v>0</v>
      </c>
      <c r="Z681" s="410">
        <v>0</v>
      </c>
      <c r="AA681" s="410">
        <v>0</v>
      </c>
      <c r="AB681" s="410">
        <v>0</v>
      </c>
      <c r="AC681" s="410">
        <v>0</v>
      </c>
      <c r="AD681" s="410">
        <v>0</v>
      </c>
      <c r="AE681" s="410">
        <v>0</v>
      </c>
      <c r="AF681" s="410">
        <v>0</v>
      </c>
      <c r="AG681" s="410">
        <v>0</v>
      </c>
      <c r="AH681" s="410">
        <v>0</v>
      </c>
      <c r="AI681" s="410">
        <v>0</v>
      </c>
      <c r="AJ681" s="410">
        <f t="shared" si="715"/>
        <v>44920.26</v>
      </c>
      <c r="AK681" s="410">
        <f t="shared" si="716"/>
        <v>22460.13</v>
      </c>
      <c r="AL681" s="410">
        <v>0</v>
      </c>
      <c r="AM681" s="446"/>
      <c r="AN681" s="446"/>
      <c r="AP681" s="486" t="e">
        <f t="shared" si="659"/>
        <v>#DIV/0!</v>
      </c>
      <c r="AQ681" s="486" t="e">
        <f t="shared" si="665"/>
        <v>#DIV/0!</v>
      </c>
      <c r="AR681" s="486" t="e">
        <f t="shared" si="666"/>
        <v>#DIV/0!</v>
      </c>
      <c r="AS681" s="486" t="e">
        <f t="shared" si="667"/>
        <v>#DIV/0!</v>
      </c>
      <c r="AT681" s="486" t="e">
        <f t="shared" si="668"/>
        <v>#DIV/0!</v>
      </c>
      <c r="AU681" s="486" t="e">
        <f t="shared" si="669"/>
        <v>#DIV/0!</v>
      </c>
      <c r="AV681" s="486" t="e">
        <f t="shared" si="670"/>
        <v>#DIV/0!</v>
      </c>
      <c r="AW681" s="486">
        <f t="shared" si="671"/>
        <v>3088.4700000000003</v>
      </c>
      <c r="AX681" s="486" t="e">
        <f t="shared" si="672"/>
        <v>#DIV/0!</v>
      </c>
      <c r="AY681" s="486" t="e">
        <f t="shared" si="673"/>
        <v>#DIV/0!</v>
      </c>
      <c r="AZ681" s="486" t="e">
        <f t="shared" si="674"/>
        <v>#DIV/0!</v>
      </c>
      <c r="BA681" s="486">
        <f t="shared" si="660"/>
        <v>0</v>
      </c>
      <c r="BB681" s="494">
        <v>5155.41</v>
      </c>
      <c r="BC681" s="494">
        <v>2070.12</v>
      </c>
      <c r="BD681" s="494">
        <v>848.92</v>
      </c>
      <c r="BE681" s="494">
        <v>819.73</v>
      </c>
      <c r="BF681" s="494">
        <v>611.5</v>
      </c>
      <c r="BG681" s="494">
        <v>1080.04</v>
      </c>
      <c r="BH681" s="494">
        <v>2671800.0099999998</v>
      </c>
      <c r="BI681" s="494">
        <f t="shared" si="707"/>
        <v>4422.8500000000004</v>
      </c>
      <c r="BJ681" s="494">
        <v>14289.54</v>
      </c>
      <c r="BK681" s="494">
        <v>3389.61</v>
      </c>
      <c r="BL681" s="494">
        <v>5995.76</v>
      </c>
      <c r="BM681" s="494">
        <v>548.62</v>
      </c>
      <c r="BN681" s="495" t="e">
        <f t="shared" si="675"/>
        <v>#DIV/0!</v>
      </c>
      <c r="BO681" s="495" t="e">
        <f t="shared" si="676"/>
        <v>#DIV/0!</v>
      </c>
      <c r="BP681" s="495" t="e">
        <f t="shared" si="677"/>
        <v>#DIV/0!</v>
      </c>
      <c r="BQ681" s="495" t="e">
        <f t="shared" si="678"/>
        <v>#DIV/0!</v>
      </c>
      <c r="BR681" s="495" t="e">
        <f t="shared" si="679"/>
        <v>#DIV/0!</v>
      </c>
      <c r="BS681" s="495" t="e">
        <f t="shared" si="680"/>
        <v>#DIV/0!</v>
      </c>
      <c r="BT681" s="495" t="e">
        <f t="shared" si="681"/>
        <v>#DIV/0!</v>
      </c>
      <c r="BU681" s="495" t="str">
        <f t="shared" si="682"/>
        <v xml:space="preserve"> </v>
      </c>
      <c r="BV681" s="495" t="e">
        <f t="shared" si="683"/>
        <v>#DIV/0!</v>
      </c>
      <c r="BW681" s="495" t="e">
        <f t="shared" si="684"/>
        <v>#DIV/0!</v>
      </c>
      <c r="BX681" s="495" t="e">
        <f t="shared" si="685"/>
        <v>#DIV/0!</v>
      </c>
      <c r="BY681" s="495" t="str">
        <f t="shared" si="686"/>
        <v xml:space="preserve"> </v>
      </c>
    </row>
    <row r="682" spans="1:77" s="28" customFormat="1" ht="9" customHeight="1">
      <c r="A682" s="406">
        <v>248</v>
      </c>
      <c r="B682" s="156" t="s">
        <v>993</v>
      </c>
      <c r="C682" s="249">
        <v>1264.8</v>
      </c>
      <c r="D682" s="376"/>
      <c r="E682" s="362" t="s">
        <v>1006</v>
      </c>
      <c r="F682" s="249"/>
      <c r="G682" s="249"/>
      <c r="H682" s="407">
        <v>1474704</v>
      </c>
      <c r="I682" s="407">
        <f t="shared" si="713"/>
        <v>0</v>
      </c>
      <c r="J682" s="217">
        <v>0</v>
      </c>
      <c r="K682" s="469">
        <v>0</v>
      </c>
      <c r="L682" s="217">
        <v>0</v>
      </c>
      <c r="M682" s="469">
        <v>0</v>
      </c>
      <c r="N682" s="217">
        <v>0</v>
      </c>
      <c r="O682" s="249">
        <v>0</v>
      </c>
      <c r="P682" s="407">
        <v>0</v>
      </c>
      <c r="Q682" s="249">
        <v>0</v>
      </c>
      <c r="R682" s="407">
        <v>0</v>
      </c>
      <c r="S682" s="249">
        <v>0</v>
      </c>
      <c r="T682" s="407">
        <v>0</v>
      </c>
      <c r="U682" s="130">
        <v>0</v>
      </c>
      <c r="V682" s="407">
        <v>0</v>
      </c>
      <c r="W682" s="410">
        <v>456</v>
      </c>
      <c r="X682" s="407">
        <f t="shared" si="714"/>
        <v>1408342.32</v>
      </c>
      <c r="Y682" s="410">
        <v>0</v>
      </c>
      <c r="Z682" s="410">
        <v>0</v>
      </c>
      <c r="AA682" s="410">
        <v>0</v>
      </c>
      <c r="AB682" s="410">
        <v>0</v>
      </c>
      <c r="AC682" s="410">
        <v>0</v>
      </c>
      <c r="AD682" s="410">
        <v>0</v>
      </c>
      <c r="AE682" s="410">
        <v>0</v>
      </c>
      <c r="AF682" s="410">
        <v>0</v>
      </c>
      <c r="AG682" s="410">
        <v>0</v>
      </c>
      <c r="AH682" s="410">
        <v>0</v>
      </c>
      <c r="AI682" s="410">
        <v>0</v>
      </c>
      <c r="AJ682" s="410">
        <f t="shared" si="715"/>
        <v>44241.120000000003</v>
      </c>
      <c r="AK682" s="410">
        <f t="shared" si="716"/>
        <v>22120.560000000001</v>
      </c>
      <c r="AL682" s="410">
        <v>0</v>
      </c>
      <c r="AM682" s="446"/>
      <c r="AN682" s="446"/>
      <c r="AP682" s="486" t="e">
        <f t="shared" si="659"/>
        <v>#DIV/0!</v>
      </c>
      <c r="AQ682" s="486" t="e">
        <f t="shared" si="665"/>
        <v>#DIV/0!</v>
      </c>
      <c r="AR682" s="486" t="e">
        <f t="shared" si="666"/>
        <v>#DIV/0!</v>
      </c>
      <c r="AS682" s="486" t="e">
        <f t="shared" si="667"/>
        <v>#DIV/0!</v>
      </c>
      <c r="AT682" s="486" t="e">
        <f t="shared" si="668"/>
        <v>#DIV/0!</v>
      </c>
      <c r="AU682" s="486" t="e">
        <f t="shared" si="669"/>
        <v>#DIV/0!</v>
      </c>
      <c r="AV682" s="486" t="e">
        <f t="shared" si="670"/>
        <v>#DIV/0!</v>
      </c>
      <c r="AW682" s="486">
        <f t="shared" si="671"/>
        <v>3088.4700000000003</v>
      </c>
      <c r="AX682" s="486" t="e">
        <f t="shared" si="672"/>
        <v>#DIV/0!</v>
      </c>
      <c r="AY682" s="486" t="e">
        <f t="shared" si="673"/>
        <v>#DIV/0!</v>
      </c>
      <c r="AZ682" s="486" t="e">
        <f t="shared" si="674"/>
        <v>#DIV/0!</v>
      </c>
      <c r="BA682" s="486">
        <f t="shared" si="660"/>
        <v>0</v>
      </c>
      <c r="BB682" s="494">
        <v>5155.41</v>
      </c>
      <c r="BC682" s="494">
        <v>2070.12</v>
      </c>
      <c r="BD682" s="494">
        <v>848.92</v>
      </c>
      <c r="BE682" s="494">
        <v>819.73</v>
      </c>
      <c r="BF682" s="494">
        <v>611.5</v>
      </c>
      <c r="BG682" s="494">
        <v>1080.04</v>
      </c>
      <c r="BH682" s="494">
        <v>2671800.0099999998</v>
      </c>
      <c r="BI682" s="494">
        <f t="shared" si="707"/>
        <v>4422.8500000000004</v>
      </c>
      <c r="BJ682" s="494">
        <v>14289.54</v>
      </c>
      <c r="BK682" s="494">
        <v>3389.61</v>
      </c>
      <c r="BL682" s="494">
        <v>5995.76</v>
      </c>
      <c r="BM682" s="494">
        <v>548.62</v>
      </c>
      <c r="BN682" s="495" t="e">
        <f t="shared" si="675"/>
        <v>#DIV/0!</v>
      </c>
      <c r="BO682" s="495" t="e">
        <f t="shared" si="676"/>
        <v>#DIV/0!</v>
      </c>
      <c r="BP682" s="495" t="e">
        <f t="shared" si="677"/>
        <v>#DIV/0!</v>
      </c>
      <c r="BQ682" s="495" t="e">
        <f t="shared" si="678"/>
        <v>#DIV/0!</v>
      </c>
      <c r="BR682" s="495" t="e">
        <f t="shared" si="679"/>
        <v>#DIV/0!</v>
      </c>
      <c r="BS682" s="495" t="e">
        <f t="shared" si="680"/>
        <v>#DIV/0!</v>
      </c>
      <c r="BT682" s="495" t="e">
        <f t="shared" si="681"/>
        <v>#DIV/0!</v>
      </c>
      <c r="BU682" s="495" t="str">
        <f t="shared" si="682"/>
        <v xml:space="preserve"> </v>
      </c>
      <c r="BV682" s="495" t="e">
        <f t="shared" si="683"/>
        <v>#DIV/0!</v>
      </c>
      <c r="BW682" s="495" t="e">
        <f t="shared" si="684"/>
        <v>#DIV/0!</v>
      </c>
      <c r="BX682" s="495" t="e">
        <f t="shared" si="685"/>
        <v>#DIV/0!</v>
      </c>
      <c r="BY682" s="495" t="str">
        <f t="shared" si="686"/>
        <v xml:space="preserve"> </v>
      </c>
    </row>
    <row r="683" spans="1:77" s="28" customFormat="1" ht="9" customHeight="1">
      <c r="A683" s="406">
        <v>249</v>
      </c>
      <c r="B683" s="156" t="s">
        <v>994</v>
      </c>
      <c r="C683" s="249">
        <v>1195.5999999999999</v>
      </c>
      <c r="D683" s="376"/>
      <c r="E683" s="362" t="s">
        <v>1006</v>
      </c>
      <c r="F683" s="249"/>
      <c r="G683" s="249"/>
      <c r="H683" s="407">
        <v>1494108</v>
      </c>
      <c r="I683" s="407">
        <f t="shared" si="713"/>
        <v>0</v>
      </c>
      <c r="J683" s="217">
        <v>0</v>
      </c>
      <c r="K683" s="469">
        <v>0</v>
      </c>
      <c r="L683" s="217">
        <v>0</v>
      </c>
      <c r="M683" s="469">
        <v>0</v>
      </c>
      <c r="N683" s="217">
        <v>0</v>
      </c>
      <c r="O683" s="249">
        <v>0</v>
      </c>
      <c r="P683" s="407">
        <v>0</v>
      </c>
      <c r="Q683" s="249">
        <v>0</v>
      </c>
      <c r="R683" s="407">
        <v>0</v>
      </c>
      <c r="S683" s="249">
        <v>0</v>
      </c>
      <c r="T683" s="407">
        <v>0</v>
      </c>
      <c r="U683" s="130">
        <v>0</v>
      </c>
      <c r="V683" s="407">
        <v>0</v>
      </c>
      <c r="W683" s="410">
        <v>462</v>
      </c>
      <c r="X683" s="407">
        <f t="shared" si="714"/>
        <v>1426873.14</v>
      </c>
      <c r="Y683" s="410">
        <v>0</v>
      </c>
      <c r="Z683" s="410">
        <v>0</v>
      </c>
      <c r="AA683" s="410">
        <v>0</v>
      </c>
      <c r="AB683" s="410">
        <v>0</v>
      </c>
      <c r="AC683" s="410">
        <v>0</v>
      </c>
      <c r="AD683" s="410">
        <v>0</v>
      </c>
      <c r="AE683" s="410">
        <v>0</v>
      </c>
      <c r="AF683" s="410">
        <v>0</v>
      </c>
      <c r="AG683" s="410">
        <v>0</v>
      </c>
      <c r="AH683" s="410">
        <v>0</v>
      </c>
      <c r="AI683" s="410">
        <v>0</v>
      </c>
      <c r="AJ683" s="410">
        <f t="shared" si="715"/>
        <v>44823.24</v>
      </c>
      <c r="AK683" s="410">
        <f t="shared" si="716"/>
        <v>22411.62</v>
      </c>
      <c r="AL683" s="410">
        <v>0</v>
      </c>
      <c r="AM683" s="446"/>
      <c r="AN683" s="446"/>
      <c r="AP683" s="486" t="e">
        <f t="shared" si="659"/>
        <v>#DIV/0!</v>
      </c>
      <c r="AQ683" s="486" t="e">
        <f t="shared" si="665"/>
        <v>#DIV/0!</v>
      </c>
      <c r="AR683" s="486" t="e">
        <f t="shared" si="666"/>
        <v>#DIV/0!</v>
      </c>
      <c r="AS683" s="486" t="e">
        <f t="shared" si="667"/>
        <v>#DIV/0!</v>
      </c>
      <c r="AT683" s="486" t="e">
        <f t="shared" si="668"/>
        <v>#DIV/0!</v>
      </c>
      <c r="AU683" s="486" t="e">
        <f t="shared" si="669"/>
        <v>#DIV/0!</v>
      </c>
      <c r="AV683" s="486" t="e">
        <f t="shared" si="670"/>
        <v>#DIV/0!</v>
      </c>
      <c r="AW683" s="486">
        <f t="shared" si="671"/>
        <v>3088.47</v>
      </c>
      <c r="AX683" s="486" t="e">
        <f t="shared" si="672"/>
        <v>#DIV/0!</v>
      </c>
      <c r="AY683" s="486" t="e">
        <f t="shared" si="673"/>
        <v>#DIV/0!</v>
      </c>
      <c r="AZ683" s="486" t="e">
        <f t="shared" si="674"/>
        <v>#DIV/0!</v>
      </c>
      <c r="BA683" s="486">
        <f t="shared" si="660"/>
        <v>0</v>
      </c>
      <c r="BB683" s="494">
        <v>5155.41</v>
      </c>
      <c r="BC683" s="494">
        <v>2070.12</v>
      </c>
      <c r="BD683" s="494">
        <v>848.92</v>
      </c>
      <c r="BE683" s="494">
        <v>819.73</v>
      </c>
      <c r="BF683" s="494">
        <v>611.5</v>
      </c>
      <c r="BG683" s="494">
        <v>1080.04</v>
      </c>
      <c r="BH683" s="494">
        <v>2671800.0099999998</v>
      </c>
      <c r="BI683" s="494">
        <f t="shared" si="707"/>
        <v>4422.8500000000004</v>
      </c>
      <c r="BJ683" s="494">
        <v>14289.54</v>
      </c>
      <c r="BK683" s="494">
        <v>3389.61</v>
      </c>
      <c r="BL683" s="494">
        <v>5995.76</v>
      </c>
      <c r="BM683" s="494">
        <v>548.62</v>
      </c>
      <c r="BN683" s="495" t="e">
        <f t="shared" si="675"/>
        <v>#DIV/0!</v>
      </c>
      <c r="BO683" s="495" t="e">
        <f t="shared" si="676"/>
        <v>#DIV/0!</v>
      </c>
      <c r="BP683" s="495" t="e">
        <f t="shared" si="677"/>
        <v>#DIV/0!</v>
      </c>
      <c r="BQ683" s="495" t="e">
        <f t="shared" si="678"/>
        <v>#DIV/0!</v>
      </c>
      <c r="BR683" s="495" t="e">
        <f t="shared" si="679"/>
        <v>#DIV/0!</v>
      </c>
      <c r="BS683" s="495" t="e">
        <f t="shared" si="680"/>
        <v>#DIV/0!</v>
      </c>
      <c r="BT683" s="495" t="e">
        <f t="shared" si="681"/>
        <v>#DIV/0!</v>
      </c>
      <c r="BU683" s="495" t="str">
        <f t="shared" si="682"/>
        <v xml:space="preserve"> </v>
      </c>
      <c r="BV683" s="495" t="e">
        <f t="shared" si="683"/>
        <v>#DIV/0!</v>
      </c>
      <c r="BW683" s="495" t="e">
        <f t="shared" si="684"/>
        <v>#DIV/0!</v>
      </c>
      <c r="BX683" s="495" t="e">
        <f t="shared" si="685"/>
        <v>#DIV/0!</v>
      </c>
      <c r="BY683" s="495" t="str">
        <f t="shared" si="686"/>
        <v xml:space="preserve"> </v>
      </c>
    </row>
    <row r="684" spans="1:77" s="28" customFormat="1" ht="9" customHeight="1">
      <c r="A684" s="406">
        <v>250</v>
      </c>
      <c r="B684" s="156" t="s">
        <v>995</v>
      </c>
      <c r="C684" s="249">
        <v>1268</v>
      </c>
      <c r="D684" s="376"/>
      <c r="E684" s="362" t="s">
        <v>1006</v>
      </c>
      <c r="F684" s="249"/>
      <c r="G684" s="249"/>
      <c r="H684" s="407">
        <v>1461768</v>
      </c>
      <c r="I684" s="407">
        <f t="shared" si="713"/>
        <v>0</v>
      </c>
      <c r="J684" s="217">
        <v>0</v>
      </c>
      <c r="K684" s="469">
        <v>0</v>
      </c>
      <c r="L684" s="217">
        <v>0</v>
      </c>
      <c r="M684" s="469">
        <v>0</v>
      </c>
      <c r="N684" s="217">
        <v>0</v>
      </c>
      <c r="O684" s="249">
        <v>0</v>
      </c>
      <c r="P684" s="407">
        <v>0</v>
      </c>
      <c r="Q684" s="249">
        <v>0</v>
      </c>
      <c r="R684" s="407">
        <v>0</v>
      </c>
      <c r="S684" s="249">
        <v>0</v>
      </c>
      <c r="T684" s="407">
        <v>0</v>
      </c>
      <c r="U684" s="130">
        <v>0</v>
      </c>
      <c r="V684" s="407">
        <v>0</v>
      </c>
      <c r="W684" s="410">
        <v>452</v>
      </c>
      <c r="X684" s="407">
        <f t="shared" si="714"/>
        <v>1395988.44</v>
      </c>
      <c r="Y684" s="410">
        <v>0</v>
      </c>
      <c r="Z684" s="410">
        <v>0</v>
      </c>
      <c r="AA684" s="410">
        <v>0</v>
      </c>
      <c r="AB684" s="410">
        <v>0</v>
      </c>
      <c r="AC684" s="410">
        <v>0</v>
      </c>
      <c r="AD684" s="410">
        <v>0</v>
      </c>
      <c r="AE684" s="410">
        <v>0</v>
      </c>
      <c r="AF684" s="410">
        <v>0</v>
      </c>
      <c r="AG684" s="410">
        <v>0</v>
      </c>
      <c r="AH684" s="410">
        <v>0</v>
      </c>
      <c r="AI684" s="410">
        <v>0</v>
      </c>
      <c r="AJ684" s="410">
        <f t="shared" si="715"/>
        <v>43853.04</v>
      </c>
      <c r="AK684" s="410">
        <f t="shared" si="716"/>
        <v>21926.52</v>
      </c>
      <c r="AL684" s="410">
        <v>0</v>
      </c>
      <c r="AM684" s="446"/>
      <c r="AN684" s="446"/>
      <c r="AP684" s="486" t="e">
        <f t="shared" si="659"/>
        <v>#DIV/0!</v>
      </c>
      <c r="AQ684" s="486" t="e">
        <f t="shared" si="665"/>
        <v>#DIV/0!</v>
      </c>
      <c r="AR684" s="486" t="e">
        <f t="shared" si="666"/>
        <v>#DIV/0!</v>
      </c>
      <c r="AS684" s="486" t="e">
        <f t="shared" si="667"/>
        <v>#DIV/0!</v>
      </c>
      <c r="AT684" s="486" t="e">
        <f t="shared" si="668"/>
        <v>#DIV/0!</v>
      </c>
      <c r="AU684" s="486" t="e">
        <f t="shared" si="669"/>
        <v>#DIV/0!</v>
      </c>
      <c r="AV684" s="486" t="e">
        <f t="shared" si="670"/>
        <v>#DIV/0!</v>
      </c>
      <c r="AW684" s="486">
        <f t="shared" si="671"/>
        <v>3088.47</v>
      </c>
      <c r="AX684" s="486" t="e">
        <f t="shared" si="672"/>
        <v>#DIV/0!</v>
      </c>
      <c r="AY684" s="486" t="e">
        <f t="shared" si="673"/>
        <v>#DIV/0!</v>
      </c>
      <c r="AZ684" s="486" t="e">
        <f t="shared" si="674"/>
        <v>#DIV/0!</v>
      </c>
      <c r="BA684" s="486">
        <f t="shared" si="660"/>
        <v>0</v>
      </c>
      <c r="BB684" s="494">
        <v>5155.41</v>
      </c>
      <c r="BC684" s="494">
        <v>2070.12</v>
      </c>
      <c r="BD684" s="494">
        <v>848.92</v>
      </c>
      <c r="BE684" s="494">
        <v>819.73</v>
      </c>
      <c r="BF684" s="494">
        <v>611.5</v>
      </c>
      <c r="BG684" s="494">
        <v>1080.04</v>
      </c>
      <c r="BH684" s="494">
        <v>2671800.0099999998</v>
      </c>
      <c r="BI684" s="494">
        <f t="shared" si="707"/>
        <v>4422.8500000000004</v>
      </c>
      <c r="BJ684" s="494">
        <v>14289.54</v>
      </c>
      <c r="BK684" s="494">
        <v>3389.61</v>
      </c>
      <c r="BL684" s="494">
        <v>5995.76</v>
      </c>
      <c r="BM684" s="494">
        <v>548.62</v>
      </c>
      <c r="BN684" s="495" t="e">
        <f t="shared" si="675"/>
        <v>#DIV/0!</v>
      </c>
      <c r="BO684" s="495" t="e">
        <f t="shared" si="676"/>
        <v>#DIV/0!</v>
      </c>
      <c r="BP684" s="495" t="e">
        <f t="shared" si="677"/>
        <v>#DIV/0!</v>
      </c>
      <c r="BQ684" s="495" t="e">
        <f t="shared" si="678"/>
        <v>#DIV/0!</v>
      </c>
      <c r="BR684" s="495" t="e">
        <f t="shared" si="679"/>
        <v>#DIV/0!</v>
      </c>
      <c r="BS684" s="495" t="e">
        <f t="shared" si="680"/>
        <v>#DIV/0!</v>
      </c>
      <c r="BT684" s="495" t="e">
        <f t="shared" si="681"/>
        <v>#DIV/0!</v>
      </c>
      <c r="BU684" s="495" t="str">
        <f t="shared" si="682"/>
        <v xml:space="preserve"> </v>
      </c>
      <c r="BV684" s="495" t="e">
        <f t="shared" si="683"/>
        <v>#DIV/0!</v>
      </c>
      <c r="BW684" s="495" t="e">
        <f t="shared" si="684"/>
        <v>#DIV/0!</v>
      </c>
      <c r="BX684" s="495" t="e">
        <f t="shared" si="685"/>
        <v>#DIV/0!</v>
      </c>
      <c r="BY684" s="495" t="str">
        <f t="shared" si="686"/>
        <v xml:space="preserve"> </v>
      </c>
    </row>
    <row r="685" spans="1:77" s="28" customFormat="1" ht="9" customHeight="1">
      <c r="A685" s="406">
        <v>251</v>
      </c>
      <c r="B685" s="156" t="s">
        <v>996</v>
      </c>
      <c r="C685" s="249">
        <v>1279.5999999999999</v>
      </c>
      <c r="D685" s="376"/>
      <c r="E685" s="362" t="s">
        <v>1006</v>
      </c>
      <c r="F685" s="249"/>
      <c r="G685" s="249"/>
      <c r="H685" s="407">
        <v>1500576</v>
      </c>
      <c r="I685" s="407">
        <f t="shared" si="713"/>
        <v>0</v>
      </c>
      <c r="J685" s="217">
        <v>0</v>
      </c>
      <c r="K685" s="469">
        <v>0</v>
      </c>
      <c r="L685" s="217">
        <v>0</v>
      </c>
      <c r="M685" s="469">
        <v>0</v>
      </c>
      <c r="N685" s="217">
        <v>0</v>
      </c>
      <c r="O685" s="249">
        <v>0</v>
      </c>
      <c r="P685" s="407">
        <v>0</v>
      </c>
      <c r="Q685" s="249">
        <v>0</v>
      </c>
      <c r="R685" s="407">
        <v>0</v>
      </c>
      <c r="S685" s="249">
        <v>0</v>
      </c>
      <c r="T685" s="407">
        <v>0</v>
      </c>
      <c r="U685" s="130">
        <v>0</v>
      </c>
      <c r="V685" s="407">
        <v>0</v>
      </c>
      <c r="W685" s="410">
        <v>464</v>
      </c>
      <c r="X685" s="407">
        <f t="shared" si="714"/>
        <v>1433050.08</v>
      </c>
      <c r="Y685" s="410">
        <v>0</v>
      </c>
      <c r="Z685" s="410">
        <v>0</v>
      </c>
      <c r="AA685" s="410">
        <v>0</v>
      </c>
      <c r="AB685" s="410">
        <v>0</v>
      </c>
      <c r="AC685" s="410">
        <v>0</v>
      </c>
      <c r="AD685" s="410">
        <v>0</v>
      </c>
      <c r="AE685" s="410">
        <v>0</v>
      </c>
      <c r="AF685" s="410">
        <v>0</v>
      </c>
      <c r="AG685" s="410">
        <v>0</v>
      </c>
      <c r="AH685" s="410">
        <v>0</v>
      </c>
      <c r="AI685" s="410">
        <v>0</v>
      </c>
      <c r="AJ685" s="410">
        <f t="shared" si="715"/>
        <v>45017.279999999999</v>
      </c>
      <c r="AK685" s="410">
        <f t="shared" si="716"/>
        <v>22508.639999999999</v>
      </c>
      <c r="AL685" s="410">
        <v>0</v>
      </c>
      <c r="AM685" s="446"/>
      <c r="AN685" s="446"/>
      <c r="AP685" s="486" t="e">
        <f t="shared" si="659"/>
        <v>#DIV/0!</v>
      </c>
      <c r="AQ685" s="486" t="e">
        <f t="shared" si="665"/>
        <v>#DIV/0!</v>
      </c>
      <c r="AR685" s="486" t="e">
        <f t="shared" si="666"/>
        <v>#DIV/0!</v>
      </c>
      <c r="AS685" s="486" t="e">
        <f t="shared" si="667"/>
        <v>#DIV/0!</v>
      </c>
      <c r="AT685" s="486" t="e">
        <f t="shared" si="668"/>
        <v>#DIV/0!</v>
      </c>
      <c r="AU685" s="486" t="e">
        <f t="shared" si="669"/>
        <v>#DIV/0!</v>
      </c>
      <c r="AV685" s="486" t="e">
        <f t="shared" si="670"/>
        <v>#DIV/0!</v>
      </c>
      <c r="AW685" s="486">
        <f t="shared" si="671"/>
        <v>3088.4700000000003</v>
      </c>
      <c r="AX685" s="486" t="e">
        <f t="shared" si="672"/>
        <v>#DIV/0!</v>
      </c>
      <c r="AY685" s="486" t="e">
        <f t="shared" si="673"/>
        <v>#DIV/0!</v>
      </c>
      <c r="AZ685" s="486" t="e">
        <f t="shared" si="674"/>
        <v>#DIV/0!</v>
      </c>
      <c r="BA685" s="486">
        <f t="shared" si="660"/>
        <v>0</v>
      </c>
      <c r="BB685" s="494">
        <v>5155.41</v>
      </c>
      <c r="BC685" s="494">
        <v>2070.12</v>
      </c>
      <c r="BD685" s="494">
        <v>848.92</v>
      </c>
      <c r="BE685" s="494">
        <v>819.73</v>
      </c>
      <c r="BF685" s="494">
        <v>611.5</v>
      </c>
      <c r="BG685" s="494">
        <v>1080.04</v>
      </c>
      <c r="BH685" s="494">
        <v>2671800.0099999998</v>
      </c>
      <c r="BI685" s="494">
        <f t="shared" si="707"/>
        <v>4422.8500000000004</v>
      </c>
      <c r="BJ685" s="494">
        <v>14289.54</v>
      </c>
      <c r="BK685" s="494">
        <v>3389.61</v>
      </c>
      <c r="BL685" s="494">
        <v>5995.76</v>
      </c>
      <c r="BM685" s="494">
        <v>548.62</v>
      </c>
      <c r="BN685" s="495" t="e">
        <f t="shared" si="675"/>
        <v>#DIV/0!</v>
      </c>
      <c r="BO685" s="495" t="e">
        <f t="shared" si="676"/>
        <v>#DIV/0!</v>
      </c>
      <c r="BP685" s="495" t="e">
        <f t="shared" si="677"/>
        <v>#DIV/0!</v>
      </c>
      <c r="BQ685" s="495" t="e">
        <f t="shared" si="678"/>
        <v>#DIV/0!</v>
      </c>
      <c r="BR685" s="495" t="e">
        <f t="shared" si="679"/>
        <v>#DIV/0!</v>
      </c>
      <c r="BS685" s="495" t="e">
        <f t="shared" si="680"/>
        <v>#DIV/0!</v>
      </c>
      <c r="BT685" s="495" t="e">
        <f t="shared" si="681"/>
        <v>#DIV/0!</v>
      </c>
      <c r="BU685" s="495" t="str">
        <f t="shared" si="682"/>
        <v xml:space="preserve"> </v>
      </c>
      <c r="BV685" s="495" t="e">
        <f t="shared" si="683"/>
        <v>#DIV/0!</v>
      </c>
      <c r="BW685" s="495" t="e">
        <f t="shared" si="684"/>
        <v>#DIV/0!</v>
      </c>
      <c r="BX685" s="495" t="e">
        <f t="shared" si="685"/>
        <v>#DIV/0!</v>
      </c>
      <c r="BY685" s="495" t="str">
        <f t="shared" si="686"/>
        <v xml:space="preserve"> </v>
      </c>
    </row>
    <row r="686" spans="1:77" s="28" customFormat="1" ht="9" customHeight="1">
      <c r="A686" s="406">
        <v>252</v>
      </c>
      <c r="B686" s="156" t="s">
        <v>997</v>
      </c>
      <c r="C686" s="249">
        <v>727.4</v>
      </c>
      <c r="D686" s="376"/>
      <c r="E686" s="362" t="s">
        <v>1006</v>
      </c>
      <c r="F686" s="249"/>
      <c r="G686" s="249"/>
      <c r="H686" s="407">
        <v>1642872</v>
      </c>
      <c r="I686" s="407">
        <f t="shared" si="713"/>
        <v>0</v>
      </c>
      <c r="J686" s="217">
        <v>0</v>
      </c>
      <c r="K686" s="469">
        <v>0</v>
      </c>
      <c r="L686" s="217">
        <v>0</v>
      </c>
      <c r="M686" s="469">
        <v>0</v>
      </c>
      <c r="N686" s="217">
        <v>0</v>
      </c>
      <c r="O686" s="249">
        <v>0</v>
      </c>
      <c r="P686" s="407">
        <v>0</v>
      </c>
      <c r="Q686" s="249">
        <v>0</v>
      </c>
      <c r="R686" s="407">
        <v>0</v>
      </c>
      <c r="S686" s="249">
        <v>0</v>
      </c>
      <c r="T686" s="407">
        <v>0</v>
      </c>
      <c r="U686" s="130">
        <v>0</v>
      </c>
      <c r="V686" s="407">
        <v>0</v>
      </c>
      <c r="W686" s="410">
        <v>508</v>
      </c>
      <c r="X686" s="407">
        <f t="shared" si="714"/>
        <v>1568942.76</v>
      </c>
      <c r="Y686" s="410">
        <v>0</v>
      </c>
      <c r="Z686" s="410">
        <v>0</v>
      </c>
      <c r="AA686" s="410">
        <v>0</v>
      </c>
      <c r="AB686" s="410">
        <v>0</v>
      </c>
      <c r="AC686" s="410">
        <v>0</v>
      </c>
      <c r="AD686" s="410">
        <v>0</v>
      </c>
      <c r="AE686" s="410">
        <v>0</v>
      </c>
      <c r="AF686" s="410">
        <v>0</v>
      </c>
      <c r="AG686" s="410">
        <v>0</v>
      </c>
      <c r="AH686" s="410">
        <v>0</v>
      </c>
      <c r="AI686" s="410">
        <v>0</v>
      </c>
      <c r="AJ686" s="410">
        <f t="shared" si="715"/>
        <v>49286.16</v>
      </c>
      <c r="AK686" s="410">
        <f t="shared" si="716"/>
        <v>24643.08</v>
      </c>
      <c r="AL686" s="410">
        <v>0</v>
      </c>
      <c r="AM686" s="446"/>
      <c r="AN686" s="446"/>
      <c r="AP686" s="486" t="e">
        <f t="shared" si="659"/>
        <v>#DIV/0!</v>
      </c>
      <c r="AQ686" s="486" t="e">
        <f t="shared" si="665"/>
        <v>#DIV/0!</v>
      </c>
      <c r="AR686" s="486" t="e">
        <f t="shared" si="666"/>
        <v>#DIV/0!</v>
      </c>
      <c r="AS686" s="486" t="e">
        <f t="shared" si="667"/>
        <v>#DIV/0!</v>
      </c>
      <c r="AT686" s="486" t="e">
        <f t="shared" si="668"/>
        <v>#DIV/0!</v>
      </c>
      <c r="AU686" s="486" t="e">
        <f t="shared" si="669"/>
        <v>#DIV/0!</v>
      </c>
      <c r="AV686" s="486" t="e">
        <f t="shared" si="670"/>
        <v>#DIV/0!</v>
      </c>
      <c r="AW686" s="486">
        <f t="shared" si="671"/>
        <v>3088.47</v>
      </c>
      <c r="AX686" s="486" t="e">
        <f t="shared" si="672"/>
        <v>#DIV/0!</v>
      </c>
      <c r="AY686" s="486" t="e">
        <f t="shared" si="673"/>
        <v>#DIV/0!</v>
      </c>
      <c r="AZ686" s="486" t="e">
        <f t="shared" si="674"/>
        <v>#DIV/0!</v>
      </c>
      <c r="BA686" s="486">
        <f t="shared" si="660"/>
        <v>0</v>
      </c>
      <c r="BB686" s="494">
        <v>5155.41</v>
      </c>
      <c r="BC686" s="494">
        <v>2070.12</v>
      </c>
      <c r="BD686" s="494">
        <v>848.92</v>
      </c>
      <c r="BE686" s="494">
        <v>819.73</v>
      </c>
      <c r="BF686" s="494">
        <v>611.5</v>
      </c>
      <c r="BG686" s="494">
        <v>1080.04</v>
      </c>
      <c r="BH686" s="494">
        <v>2671800.0099999998</v>
      </c>
      <c r="BI686" s="494">
        <f t="shared" si="707"/>
        <v>4422.8500000000004</v>
      </c>
      <c r="BJ686" s="494">
        <v>14289.54</v>
      </c>
      <c r="BK686" s="494">
        <v>3389.61</v>
      </c>
      <c r="BL686" s="494">
        <v>5995.76</v>
      </c>
      <c r="BM686" s="494">
        <v>548.62</v>
      </c>
      <c r="BN686" s="495" t="e">
        <f t="shared" si="675"/>
        <v>#DIV/0!</v>
      </c>
      <c r="BO686" s="495" t="e">
        <f t="shared" si="676"/>
        <v>#DIV/0!</v>
      </c>
      <c r="BP686" s="495" t="e">
        <f t="shared" si="677"/>
        <v>#DIV/0!</v>
      </c>
      <c r="BQ686" s="495" t="e">
        <f t="shared" si="678"/>
        <v>#DIV/0!</v>
      </c>
      <c r="BR686" s="495" t="e">
        <f t="shared" si="679"/>
        <v>#DIV/0!</v>
      </c>
      <c r="BS686" s="495" t="e">
        <f t="shared" si="680"/>
        <v>#DIV/0!</v>
      </c>
      <c r="BT686" s="495" t="e">
        <f t="shared" si="681"/>
        <v>#DIV/0!</v>
      </c>
      <c r="BU686" s="495" t="str">
        <f t="shared" si="682"/>
        <v xml:space="preserve"> </v>
      </c>
      <c r="BV686" s="495" t="e">
        <f t="shared" si="683"/>
        <v>#DIV/0!</v>
      </c>
      <c r="BW686" s="495" t="e">
        <f t="shared" si="684"/>
        <v>#DIV/0!</v>
      </c>
      <c r="BX686" s="495" t="e">
        <f t="shared" si="685"/>
        <v>#DIV/0!</v>
      </c>
      <c r="BY686" s="495" t="str">
        <f t="shared" si="686"/>
        <v xml:space="preserve"> </v>
      </c>
    </row>
    <row r="687" spans="1:77" s="28" customFormat="1" ht="9" customHeight="1">
      <c r="A687" s="406">
        <v>253</v>
      </c>
      <c r="B687" s="156" t="s">
        <v>998</v>
      </c>
      <c r="C687" s="249">
        <v>2785.4</v>
      </c>
      <c r="D687" s="376"/>
      <c r="E687" s="362" t="s">
        <v>1006</v>
      </c>
      <c r="F687" s="249"/>
      <c r="G687" s="249"/>
      <c r="H687" s="407">
        <v>2609838</v>
      </c>
      <c r="I687" s="407">
        <f t="shared" si="713"/>
        <v>0</v>
      </c>
      <c r="J687" s="217">
        <v>0</v>
      </c>
      <c r="K687" s="469">
        <v>0</v>
      </c>
      <c r="L687" s="217">
        <v>0</v>
      </c>
      <c r="M687" s="469">
        <v>0</v>
      </c>
      <c r="N687" s="217">
        <v>0</v>
      </c>
      <c r="O687" s="249">
        <v>0</v>
      </c>
      <c r="P687" s="407">
        <v>0</v>
      </c>
      <c r="Q687" s="249">
        <v>0</v>
      </c>
      <c r="R687" s="407">
        <v>0</v>
      </c>
      <c r="S687" s="249">
        <v>0</v>
      </c>
      <c r="T687" s="407">
        <v>0</v>
      </c>
      <c r="U687" s="130">
        <v>0</v>
      </c>
      <c r="V687" s="407">
        <v>0</v>
      </c>
      <c r="W687" s="410">
        <v>807</v>
      </c>
      <c r="X687" s="407">
        <f t="shared" si="714"/>
        <v>2492395.29</v>
      </c>
      <c r="Y687" s="410">
        <v>0</v>
      </c>
      <c r="Z687" s="410">
        <v>0</v>
      </c>
      <c r="AA687" s="410">
        <v>0</v>
      </c>
      <c r="AB687" s="410">
        <v>0</v>
      </c>
      <c r="AC687" s="410">
        <v>0</v>
      </c>
      <c r="AD687" s="410">
        <v>0</v>
      </c>
      <c r="AE687" s="410">
        <v>0</v>
      </c>
      <c r="AF687" s="410">
        <v>0</v>
      </c>
      <c r="AG687" s="410">
        <v>0</v>
      </c>
      <c r="AH687" s="410">
        <v>0</v>
      </c>
      <c r="AI687" s="410">
        <v>0</v>
      </c>
      <c r="AJ687" s="410">
        <f t="shared" si="715"/>
        <v>78295.14</v>
      </c>
      <c r="AK687" s="410">
        <f t="shared" si="716"/>
        <v>39147.57</v>
      </c>
      <c r="AL687" s="410">
        <v>0</v>
      </c>
      <c r="AM687" s="446"/>
      <c r="AN687" s="446"/>
      <c r="AP687" s="486" t="e">
        <f t="shared" si="659"/>
        <v>#DIV/0!</v>
      </c>
      <c r="AQ687" s="486" t="e">
        <f t="shared" si="665"/>
        <v>#DIV/0!</v>
      </c>
      <c r="AR687" s="486" t="e">
        <f t="shared" si="666"/>
        <v>#DIV/0!</v>
      </c>
      <c r="AS687" s="486" t="e">
        <f t="shared" si="667"/>
        <v>#DIV/0!</v>
      </c>
      <c r="AT687" s="486" t="e">
        <f t="shared" si="668"/>
        <v>#DIV/0!</v>
      </c>
      <c r="AU687" s="486" t="e">
        <f t="shared" si="669"/>
        <v>#DIV/0!</v>
      </c>
      <c r="AV687" s="486" t="e">
        <f t="shared" si="670"/>
        <v>#DIV/0!</v>
      </c>
      <c r="AW687" s="486">
        <f t="shared" si="671"/>
        <v>3088.4700000000003</v>
      </c>
      <c r="AX687" s="486" t="e">
        <f t="shared" si="672"/>
        <v>#DIV/0!</v>
      </c>
      <c r="AY687" s="486" t="e">
        <f t="shared" si="673"/>
        <v>#DIV/0!</v>
      </c>
      <c r="AZ687" s="486" t="e">
        <f t="shared" si="674"/>
        <v>#DIV/0!</v>
      </c>
      <c r="BA687" s="486">
        <f t="shared" si="660"/>
        <v>0</v>
      </c>
      <c r="BB687" s="494">
        <v>5155.41</v>
      </c>
      <c r="BC687" s="494">
        <v>2070.12</v>
      </c>
      <c r="BD687" s="494">
        <v>848.92</v>
      </c>
      <c r="BE687" s="494">
        <v>819.73</v>
      </c>
      <c r="BF687" s="494">
        <v>611.5</v>
      </c>
      <c r="BG687" s="494">
        <v>1080.04</v>
      </c>
      <c r="BH687" s="494">
        <v>2671800.0099999998</v>
      </c>
      <c r="BI687" s="494">
        <f t="shared" si="707"/>
        <v>4422.8500000000004</v>
      </c>
      <c r="BJ687" s="494">
        <v>14289.54</v>
      </c>
      <c r="BK687" s="494">
        <v>3389.61</v>
      </c>
      <c r="BL687" s="494">
        <v>5995.76</v>
      </c>
      <c r="BM687" s="494">
        <v>548.62</v>
      </c>
      <c r="BN687" s="495" t="e">
        <f t="shared" si="675"/>
        <v>#DIV/0!</v>
      </c>
      <c r="BO687" s="495" t="e">
        <f t="shared" si="676"/>
        <v>#DIV/0!</v>
      </c>
      <c r="BP687" s="495" t="e">
        <f t="shared" si="677"/>
        <v>#DIV/0!</v>
      </c>
      <c r="BQ687" s="495" t="e">
        <f t="shared" si="678"/>
        <v>#DIV/0!</v>
      </c>
      <c r="BR687" s="495" t="e">
        <f t="shared" si="679"/>
        <v>#DIV/0!</v>
      </c>
      <c r="BS687" s="495" t="e">
        <f t="shared" si="680"/>
        <v>#DIV/0!</v>
      </c>
      <c r="BT687" s="495" t="e">
        <f t="shared" si="681"/>
        <v>#DIV/0!</v>
      </c>
      <c r="BU687" s="495" t="str">
        <f t="shared" si="682"/>
        <v xml:space="preserve"> </v>
      </c>
      <c r="BV687" s="495" t="e">
        <f t="shared" si="683"/>
        <v>#DIV/0!</v>
      </c>
      <c r="BW687" s="495" t="e">
        <f t="shared" si="684"/>
        <v>#DIV/0!</v>
      </c>
      <c r="BX687" s="495" t="e">
        <f t="shared" si="685"/>
        <v>#DIV/0!</v>
      </c>
      <c r="BY687" s="495" t="str">
        <f t="shared" si="686"/>
        <v xml:space="preserve"> </v>
      </c>
    </row>
    <row r="688" spans="1:77" s="28" customFormat="1" ht="22.5" customHeight="1">
      <c r="A688" s="954" t="s">
        <v>44</v>
      </c>
      <c r="B688" s="954"/>
      <c r="C688" s="407">
        <f>SUM(C680:C687)</f>
        <v>10878</v>
      </c>
      <c r="D688" s="396"/>
      <c r="E688" s="362" t="s">
        <v>391</v>
      </c>
      <c r="F688" s="374"/>
      <c r="G688" s="374"/>
      <c r="H688" s="407">
        <f>SUM(H680:H687)</f>
        <v>13146210</v>
      </c>
      <c r="I688" s="407">
        <f t="shared" ref="I688:AL688" si="717">SUM(I680:I687)</f>
        <v>0</v>
      </c>
      <c r="J688" s="407">
        <f t="shared" si="717"/>
        <v>0</v>
      </c>
      <c r="K688" s="407">
        <f t="shared" si="717"/>
        <v>0</v>
      </c>
      <c r="L688" s="407">
        <f t="shared" si="717"/>
        <v>0</v>
      </c>
      <c r="M688" s="407">
        <f t="shared" si="717"/>
        <v>0</v>
      </c>
      <c r="N688" s="407">
        <f t="shared" si="717"/>
        <v>0</v>
      </c>
      <c r="O688" s="407">
        <f t="shared" si="717"/>
        <v>0</v>
      </c>
      <c r="P688" s="407">
        <f t="shared" si="717"/>
        <v>0</v>
      </c>
      <c r="Q688" s="407">
        <f t="shared" si="717"/>
        <v>0</v>
      </c>
      <c r="R688" s="407">
        <f t="shared" si="717"/>
        <v>0</v>
      </c>
      <c r="S688" s="407">
        <f t="shared" si="717"/>
        <v>0</v>
      </c>
      <c r="T688" s="407">
        <f t="shared" si="717"/>
        <v>0</v>
      </c>
      <c r="U688" s="130">
        <f t="shared" si="717"/>
        <v>0</v>
      </c>
      <c r="V688" s="407">
        <f t="shared" si="717"/>
        <v>0</v>
      </c>
      <c r="W688" s="407">
        <f t="shared" si="717"/>
        <v>4065</v>
      </c>
      <c r="X688" s="407">
        <f t="shared" si="717"/>
        <v>12554630.550000001</v>
      </c>
      <c r="Y688" s="407">
        <f t="shared" si="717"/>
        <v>0</v>
      </c>
      <c r="Z688" s="407">
        <f t="shared" si="717"/>
        <v>0</v>
      </c>
      <c r="AA688" s="407">
        <f t="shared" si="717"/>
        <v>0</v>
      </c>
      <c r="AB688" s="407">
        <f t="shared" si="717"/>
        <v>0</v>
      </c>
      <c r="AC688" s="407">
        <f t="shared" si="717"/>
        <v>0</v>
      </c>
      <c r="AD688" s="407">
        <f t="shared" si="717"/>
        <v>0</v>
      </c>
      <c r="AE688" s="407">
        <f t="shared" si="717"/>
        <v>0</v>
      </c>
      <c r="AF688" s="407">
        <f t="shared" si="717"/>
        <v>0</v>
      </c>
      <c r="AG688" s="407">
        <f t="shared" si="717"/>
        <v>0</v>
      </c>
      <c r="AH688" s="407">
        <f t="shared" si="717"/>
        <v>0</v>
      </c>
      <c r="AI688" s="407">
        <f t="shared" si="717"/>
        <v>0</v>
      </c>
      <c r="AJ688" s="407">
        <f t="shared" si="717"/>
        <v>394386.30000000005</v>
      </c>
      <c r="AK688" s="407">
        <f t="shared" si="717"/>
        <v>197193.15000000002</v>
      </c>
      <c r="AL688" s="407">
        <f t="shared" si="717"/>
        <v>0</v>
      </c>
      <c r="AM688" s="280"/>
      <c r="AN688" s="280"/>
      <c r="AP688" s="486" t="e">
        <f t="shared" si="659"/>
        <v>#DIV/0!</v>
      </c>
      <c r="AQ688" s="486" t="e">
        <f t="shared" si="665"/>
        <v>#DIV/0!</v>
      </c>
      <c r="AR688" s="497" t="e">
        <f t="shared" si="666"/>
        <v>#DIV/0!</v>
      </c>
      <c r="AS688" s="497" t="e">
        <f t="shared" si="667"/>
        <v>#DIV/0!</v>
      </c>
      <c r="AT688" s="497" t="e">
        <f t="shared" si="668"/>
        <v>#DIV/0!</v>
      </c>
      <c r="AU688" s="497" t="e">
        <f t="shared" si="669"/>
        <v>#DIV/0!</v>
      </c>
      <c r="AV688" s="497" t="e">
        <f t="shared" si="670"/>
        <v>#DIV/0!</v>
      </c>
      <c r="AW688" s="497">
        <f t="shared" si="671"/>
        <v>3088.4700000000003</v>
      </c>
      <c r="AX688" s="497" t="e">
        <f t="shared" si="672"/>
        <v>#DIV/0!</v>
      </c>
      <c r="AY688" s="486" t="e">
        <f t="shared" si="673"/>
        <v>#DIV/0!</v>
      </c>
      <c r="AZ688" s="497" t="e">
        <f t="shared" si="674"/>
        <v>#DIV/0!</v>
      </c>
      <c r="BA688" s="486">
        <f t="shared" si="660"/>
        <v>0</v>
      </c>
      <c r="BB688" s="494">
        <v>5155.41</v>
      </c>
      <c r="BC688" s="494">
        <v>2070.12</v>
      </c>
      <c r="BD688" s="494">
        <v>848.92</v>
      </c>
      <c r="BE688" s="494">
        <v>819.73</v>
      </c>
      <c r="BF688" s="494">
        <v>611.5</v>
      </c>
      <c r="BG688" s="494">
        <v>1080.04</v>
      </c>
      <c r="BH688" s="494">
        <v>2671800.0099999998</v>
      </c>
      <c r="BI688" s="494">
        <f t="shared" si="707"/>
        <v>4422.8500000000004</v>
      </c>
      <c r="BJ688" s="494">
        <v>14289.54</v>
      </c>
      <c r="BK688" s="494">
        <v>3389.61</v>
      </c>
      <c r="BL688" s="494">
        <v>5995.76</v>
      </c>
      <c r="BM688" s="494">
        <v>548.62</v>
      </c>
      <c r="BN688" s="493" t="e">
        <f t="shared" si="675"/>
        <v>#DIV/0!</v>
      </c>
      <c r="BO688" s="493" t="e">
        <f t="shared" si="676"/>
        <v>#DIV/0!</v>
      </c>
      <c r="BP688" s="493" t="e">
        <f t="shared" si="677"/>
        <v>#DIV/0!</v>
      </c>
      <c r="BQ688" s="493" t="e">
        <f t="shared" si="678"/>
        <v>#DIV/0!</v>
      </c>
      <c r="BR688" s="493" t="e">
        <f t="shared" si="679"/>
        <v>#DIV/0!</v>
      </c>
      <c r="BS688" s="493" t="e">
        <f t="shared" si="680"/>
        <v>#DIV/0!</v>
      </c>
      <c r="BT688" s="493" t="e">
        <f t="shared" si="681"/>
        <v>#DIV/0!</v>
      </c>
      <c r="BU688" s="493" t="str">
        <f t="shared" si="682"/>
        <v xml:space="preserve"> </v>
      </c>
      <c r="BV688" s="493" t="e">
        <f t="shared" si="683"/>
        <v>#DIV/0!</v>
      </c>
      <c r="BW688" s="493" t="e">
        <f t="shared" si="684"/>
        <v>#DIV/0!</v>
      </c>
      <c r="BX688" s="493" t="e">
        <f t="shared" si="685"/>
        <v>#DIV/0!</v>
      </c>
      <c r="BY688" s="493" t="str">
        <f t="shared" si="686"/>
        <v xml:space="preserve"> </v>
      </c>
    </row>
    <row r="689" spans="1:77" s="28" customFormat="1" ht="11.25" customHeight="1">
      <c r="A689" s="837" t="s">
        <v>1093</v>
      </c>
      <c r="B689" s="838"/>
      <c r="C689" s="838"/>
      <c r="D689" s="838"/>
      <c r="E689" s="838"/>
      <c r="F689" s="838"/>
      <c r="G689" s="838"/>
      <c r="H689" s="838"/>
      <c r="I689" s="838"/>
      <c r="J689" s="838"/>
      <c r="K689" s="838"/>
      <c r="L689" s="838"/>
      <c r="M689" s="838"/>
      <c r="N689" s="838"/>
      <c r="O689" s="838"/>
      <c r="P689" s="838"/>
      <c r="Q689" s="838"/>
      <c r="R689" s="838"/>
      <c r="S689" s="838"/>
      <c r="T689" s="838"/>
      <c r="U689" s="838"/>
      <c r="V689" s="838"/>
      <c r="W689" s="838"/>
      <c r="X689" s="838"/>
      <c r="Y689" s="838"/>
      <c r="Z689" s="838"/>
      <c r="AA689" s="838"/>
      <c r="AB689" s="838"/>
      <c r="AC689" s="838"/>
      <c r="AD689" s="838"/>
      <c r="AE689" s="838"/>
      <c r="AF689" s="838"/>
      <c r="AG689" s="838"/>
      <c r="AH689" s="838"/>
      <c r="AI689" s="838"/>
      <c r="AJ689" s="838"/>
      <c r="AK689" s="838"/>
      <c r="AL689" s="839"/>
      <c r="AM689" s="280"/>
      <c r="AN689" s="280"/>
      <c r="AP689" s="486" t="e">
        <f t="shared" si="659"/>
        <v>#DIV/0!</v>
      </c>
      <c r="AQ689" s="486" t="e">
        <f t="shared" si="665"/>
        <v>#DIV/0!</v>
      </c>
      <c r="AR689" s="497" t="e">
        <f t="shared" si="666"/>
        <v>#DIV/0!</v>
      </c>
      <c r="AS689" s="497" t="e">
        <f t="shared" si="667"/>
        <v>#DIV/0!</v>
      </c>
      <c r="AT689" s="497" t="e">
        <f t="shared" si="668"/>
        <v>#DIV/0!</v>
      </c>
      <c r="AU689" s="497" t="e">
        <f t="shared" si="669"/>
        <v>#DIV/0!</v>
      </c>
      <c r="AV689" s="497" t="e">
        <f t="shared" si="670"/>
        <v>#DIV/0!</v>
      </c>
      <c r="AW689" s="497" t="e">
        <f t="shared" si="671"/>
        <v>#DIV/0!</v>
      </c>
      <c r="AX689" s="497" t="e">
        <f t="shared" si="672"/>
        <v>#DIV/0!</v>
      </c>
      <c r="AY689" s="486" t="e">
        <f t="shared" si="673"/>
        <v>#DIV/0!</v>
      </c>
      <c r="AZ689" s="497" t="e">
        <f t="shared" si="674"/>
        <v>#DIV/0!</v>
      </c>
      <c r="BA689" s="486" t="e">
        <f t="shared" si="660"/>
        <v>#DIV/0!</v>
      </c>
      <c r="BB689" s="494">
        <v>5155.41</v>
      </c>
      <c r="BC689" s="494">
        <v>2070.12</v>
      </c>
      <c r="BD689" s="494">
        <v>848.92</v>
      </c>
      <c r="BE689" s="494">
        <v>819.73</v>
      </c>
      <c r="BF689" s="494">
        <v>611.5</v>
      </c>
      <c r="BG689" s="494">
        <v>1080.04</v>
      </c>
      <c r="BH689" s="494">
        <v>2671800.0099999998</v>
      </c>
      <c r="BI689" s="494">
        <f t="shared" si="707"/>
        <v>4422.8500000000004</v>
      </c>
      <c r="BJ689" s="494">
        <v>14289.54</v>
      </c>
      <c r="BK689" s="494">
        <v>3389.61</v>
      </c>
      <c r="BL689" s="494">
        <v>5995.76</v>
      </c>
      <c r="BM689" s="494">
        <v>548.62</v>
      </c>
      <c r="BN689" s="493" t="e">
        <f t="shared" si="675"/>
        <v>#DIV/0!</v>
      </c>
      <c r="BO689" s="493" t="e">
        <f t="shared" si="676"/>
        <v>#DIV/0!</v>
      </c>
      <c r="BP689" s="493" t="e">
        <f t="shared" si="677"/>
        <v>#DIV/0!</v>
      </c>
      <c r="BQ689" s="493" t="e">
        <f t="shared" si="678"/>
        <v>#DIV/0!</v>
      </c>
      <c r="BR689" s="493" t="e">
        <f t="shared" si="679"/>
        <v>#DIV/0!</v>
      </c>
      <c r="BS689" s="493" t="e">
        <f t="shared" si="680"/>
        <v>#DIV/0!</v>
      </c>
      <c r="BT689" s="493" t="e">
        <f t="shared" si="681"/>
        <v>#DIV/0!</v>
      </c>
      <c r="BU689" s="493" t="e">
        <f t="shared" si="682"/>
        <v>#DIV/0!</v>
      </c>
      <c r="BV689" s="493" t="e">
        <f t="shared" si="683"/>
        <v>#DIV/0!</v>
      </c>
      <c r="BW689" s="493" t="e">
        <f t="shared" si="684"/>
        <v>#DIV/0!</v>
      </c>
      <c r="BX689" s="493" t="e">
        <f t="shared" si="685"/>
        <v>#DIV/0!</v>
      </c>
      <c r="BY689" s="493" t="e">
        <f t="shared" si="686"/>
        <v>#DIV/0!</v>
      </c>
    </row>
    <row r="690" spans="1:77" s="28" customFormat="1" ht="9" customHeight="1">
      <c r="A690" s="276">
        <v>254</v>
      </c>
      <c r="B690" s="276" t="s">
        <v>1003</v>
      </c>
      <c r="C690" s="249">
        <v>545.1</v>
      </c>
      <c r="D690" s="376"/>
      <c r="E690" s="362" t="s">
        <v>1006</v>
      </c>
      <c r="F690" s="374"/>
      <c r="G690" s="374"/>
      <c r="H690" s="362">
        <v>1422960</v>
      </c>
      <c r="I690" s="407">
        <f t="shared" ref="I690" si="718">J690+L690+N690+P690+R690+T690</f>
        <v>0</v>
      </c>
      <c r="J690" s="217">
        <v>0</v>
      </c>
      <c r="K690" s="469">
        <v>0</v>
      </c>
      <c r="L690" s="217">
        <v>0</v>
      </c>
      <c r="M690" s="469">
        <v>0</v>
      </c>
      <c r="N690" s="217">
        <v>0</v>
      </c>
      <c r="O690" s="249">
        <v>0</v>
      </c>
      <c r="P690" s="407">
        <v>0</v>
      </c>
      <c r="Q690" s="249">
        <v>0</v>
      </c>
      <c r="R690" s="407">
        <v>0</v>
      </c>
      <c r="S690" s="249">
        <v>0</v>
      </c>
      <c r="T690" s="407">
        <v>0</v>
      </c>
      <c r="U690" s="130">
        <v>0</v>
      </c>
      <c r="V690" s="407">
        <v>0</v>
      </c>
      <c r="W690" s="410">
        <v>440</v>
      </c>
      <c r="X690" s="407">
        <f t="shared" ref="X690" si="719">ROUND(H690/100*95.5,2)</f>
        <v>1358926.8</v>
      </c>
      <c r="Y690" s="410">
        <v>0</v>
      </c>
      <c r="Z690" s="410">
        <v>0</v>
      </c>
      <c r="AA690" s="410">
        <v>0</v>
      </c>
      <c r="AB690" s="410">
        <v>0</v>
      </c>
      <c r="AC690" s="410">
        <v>0</v>
      </c>
      <c r="AD690" s="410">
        <v>0</v>
      </c>
      <c r="AE690" s="410">
        <v>0</v>
      </c>
      <c r="AF690" s="410">
        <v>0</v>
      </c>
      <c r="AG690" s="410">
        <v>0</v>
      </c>
      <c r="AH690" s="410">
        <v>0</v>
      </c>
      <c r="AI690" s="410">
        <v>0</v>
      </c>
      <c r="AJ690" s="410">
        <f t="shared" ref="AJ690" si="720">ROUND(H690/100*3,2)</f>
        <v>42688.800000000003</v>
      </c>
      <c r="AK690" s="410">
        <f t="shared" ref="AK690" si="721">ROUND(H690/100*1.5,2)</f>
        <v>21344.400000000001</v>
      </c>
      <c r="AL690" s="410">
        <v>0</v>
      </c>
      <c r="AM690" s="446"/>
      <c r="AN690" s="446"/>
      <c r="AP690" s="486" t="e">
        <f t="shared" si="659"/>
        <v>#DIV/0!</v>
      </c>
      <c r="AQ690" s="486" t="e">
        <f t="shared" si="665"/>
        <v>#DIV/0!</v>
      </c>
      <c r="AR690" s="486" t="e">
        <f t="shared" si="666"/>
        <v>#DIV/0!</v>
      </c>
      <c r="AS690" s="486" t="e">
        <f t="shared" si="667"/>
        <v>#DIV/0!</v>
      </c>
      <c r="AT690" s="486" t="e">
        <f t="shared" si="668"/>
        <v>#DIV/0!</v>
      </c>
      <c r="AU690" s="486" t="e">
        <f t="shared" si="669"/>
        <v>#DIV/0!</v>
      </c>
      <c r="AV690" s="486" t="e">
        <f t="shared" si="670"/>
        <v>#DIV/0!</v>
      </c>
      <c r="AW690" s="486">
        <f t="shared" si="671"/>
        <v>3088.4700000000003</v>
      </c>
      <c r="AX690" s="486" t="e">
        <f t="shared" si="672"/>
        <v>#DIV/0!</v>
      </c>
      <c r="AY690" s="486" t="e">
        <f t="shared" si="673"/>
        <v>#DIV/0!</v>
      </c>
      <c r="AZ690" s="486" t="e">
        <f t="shared" si="674"/>
        <v>#DIV/0!</v>
      </c>
      <c r="BA690" s="486">
        <f t="shared" si="660"/>
        <v>0</v>
      </c>
      <c r="BB690" s="494">
        <v>5155.41</v>
      </c>
      <c r="BC690" s="494">
        <v>2070.12</v>
      </c>
      <c r="BD690" s="494">
        <v>848.92</v>
      </c>
      <c r="BE690" s="494">
        <v>819.73</v>
      </c>
      <c r="BF690" s="494">
        <v>611.5</v>
      </c>
      <c r="BG690" s="494">
        <v>1080.04</v>
      </c>
      <c r="BH690" s="494">
        <v>2671800.0099999998</v>
      </c>
      <c r="BI690" s="494">
        <f t="shared" ref="BI690:BI691" si="722">IF(E690="ПК",4607.6,4422.85)</f>
        <v>4422.8500000000004</v>
      </c>
      <c r="BJ690" s="494">
        <v>14289.54</v>
      </c>
      <c r="BK690" s="494">
        <v>3389.61</v>
      </c>
      <c r="BL690" s="494">
        <v>5995.76</v>
      </c>
      <c r="BM690" s="494">
        <v>548.62</v>
      </c>
      <c r="BN690" s="495" t="e">
        <f t="shared" si="675"/>
        <v>#DIV/0!</v>
      </c>
      <c r="BO690" s="495" t="e">
        <f t="shared" si="676"/>
        <v>#DIV/0!</v>
      </c>
      <c r="BP690" s="495" t="e">
        <f t="shared" si="677"/>
        <v>#DIV/0!</v>
      </c>
      <c r="BQ690" s="495" t="e">
        <f t="shared" si="678"/>
        <v>#DIV/0!</v>
      </c>
      <c r="BR690" s="495" t="e">
        <f t="shared" si="679"/>
        <v>#DIV/0!</v>
      </c>
      <c r="BS690" s="495" t="e">
        <f t="shared" si="680"/>
        <v>#DIV/0!</v>
      </c>
      <c r="BT690" s="495" t="e">
        <f t="shared" si="681"/>
        <v>#DIV/0!</v>
      </c>
      <c r="BU690" s="495" t="str">
        <f t="shared" si="682"/>
        <v xml:space="preserve"> </v>
      </c>
      <c r="BV690" s="495" t="e">
        <f t="shared" si="683"/>
        <v>#DIV/0!</v>
      </c>
      <c r="BW690" s="495" t="e">
        <f t="shared" si="684"/>
        <v>#DIV/0!</v>
      </c>
      <c r="BX690" s="495" t="e">
        <f t="shared" si="685"/>
        <v>#DIV/0!</v>
      </c>
      <c r="BY690" s="495" t="str">
        <f t="shared" si="686"/>
        <v xml:space="preserve"> </v>
      </c>
    </row>
    <row r="691" spans="1:77" s="28" customFormat="1" ht="26.25" customHeight="1">
      <c r="A691" s="954" t="s">
        <v>1094</v>
      </c>
      <c r="B691" s="954"/>
      <c r="C691" s="407">
        <f>SUM(C690)</f>
        <v>545.1</v>
      </c>
      <c r="D691" s="396"/>
      <c r="E691" s="362" t="s">
        <v>391</v>
      </c>
      <c r="F691" s="374"/>
      <c r="G691" s="374"/>
      <c r="H691" s="407">
        <f>SUM(H690)</f>
        <v>1422960</v>
      </c>
      <c r="I691" s="407">
        <f t="shared" ref="I691:AL691" si="723">SUM(I690)</f>
        <v>0</v>
      </c>
      <c r="J691" s="407">
        <f t="shared" si="723"/>
        <v>0</v>
      </c>
      <c r="K691" s="407">
        <f t="shared" si="723"/>
        <v>0</v>
      </c>
      <c r="L691" s="407">
        <f t="shared" si="723"/>
        <v>0</v>
      </c>
      <c r="M691" s="407">
        <f t="shared" si="723"/>
        <v>0</v>
      </c>
      <c r="N691" s="407">
        <f t="shared" si="723"/>
        <v>0</v>
      </c>
      <c r="O691" s="407">
        <f t="shared" si="723"/>
        <v>0</v>
      </c>
      <c r="P691" s="407">
        <f t="shared" si="723"/>
        <v>0</v>
      </c>
      <c r="Q691" s="407">
        <f t="shared" si="723"/>
        <v>0</v>
      </c>
      <c r="R691" s="407">
        <f t="shared" si="723"/>
        <v>0</v>
      </c>
      <c r="S691" s="407">
        <f t="shared" si="723"/>
        <v>0</v>
      </c>
      <c r="T691" s="407">
        <f t="shared" si="723"/>
        <v>0</v>
      </c>
      <c r="U691" s="130">
        <f t="shared" si="723"/>
        <v>0</v>
      </c>
      <c r="V691" s="407">
        <f t="shared" si="723"/>
        <v>0</v>
      </c>
      <c r="W691" s="407">
        <f t="shared" si="723"/>
        <v>440</v>
      </c>
      <c r="X691" s="407">
        <f t="shared" si="723"/>
        <v>1358926.8</v>
      </c>
      <c r="Y691" s="407">
        <f t="shared" si="723"/>
        <v>0</v>
      </c>
      <c r="Z691" s="407">
        <f t="shared" si="723"/>
        <v>0</v>
      </c>
      <c r="AA691" s="407">
        <f t="shared" si="723"/>
        <v>0</v>
      </c>
      <c r="AB691" s="407">
        <f t="shared" si="723"/>
        <v>0</v>
      </c>
      <c r="AC691" s="407">
        <f t="shared" si="723"/>
        <v>0</v>
      </c>
      <c r="AD691" s="407">
        <f t="shared" si="723"/>
        <v>0</v>
      </c>
      <c r="AE691" s="407">
        <f t="shared" si="723"/>
        <v>0</v>
      </c>
      <c r="AF691" s="407">
        <f t="shared" si="723"/>
        <v>0</v>
      </c>
      <c r="AG691" s="407">
        <f t="shared" si="723"/>
        <v>0</v>
      </c>
      <c r="AH691" s="407">
        <f t="shared" si="723"/>
        <v>0</v>
      </c>
      <c r="AI691" s="407">
        <f t="shared" si="723"/>
        <v>0</v>
      </c>
      <c r="AJ691" s="407">
        <f t="shared" si="723"/>
        <v>42688.800000000003</v>
      </c>
      <c r="AK691" s="407">
        <f t="shared" si="723"/>
        <v>21344.400000000001</v>
      </c>
      <c r="AL691" s="407">
        <f t="shared" si="723"/>
        <v>0</v>
      </c>
      <c r="AM691" s="280"/>
      <c r="AN691" s="280"/>
      <c r="AP691" s="486" t="e">
        <f t="shared" si="659"/>
        <v>#DIV/0!</v>
      </c>
      <c r="AQ691" s="486" t="e">
        <f t="shared" si="665"/>
        <v>#DIV/0!</v>
      </c>
      <c r="AR691" s="497" t="e">
        <f t="shared" si="666"/>
        <v>#DIV/0!</v>
      </c>
      <c r="AS691" s="497" t="e">
        <f t="shared" si="667"/>
        <v>#DIV/0!</v>
      </c>
      <c r="AT691" s="497" t="e">
        <f t="shared" si="668"/>
        <v>#DIV/0!</v>
      </c>
      <c r="AU691" s="497" t="e">
        <f t="shared" si="669"/>
        <v>#DIV/0!</v>
      </c>
      <c r="AV691" s="497" t="e">
        <f t="shared" si="670"/>
        <v>#DIV/0!</v>
      </c>
      <c r="AW691" s="497">
        <f t="shared" si="671"/>
        <v>3088.4700000000003</v>
      </c>
      <c r="AX691" s="497" t="e">
        <f t="shared" si="672"/>
        <v>#DIV/0!</v>
      </c>
      <c r="AY691" s="486" t="e">
        <f t="shared" si="673"/>
        <v>#DIV/0!</v>
      </c>
      <c r="AZ691" s="497" t="e">
        <f t="shared" si="674"/>
        <v>#DIV/0!</v>
      </c>
      <c r="BA691" s="486">
        <f t="shared" si="660"/>
        <v>0</v>
      </c>
      <c r="BB691" s="494">
        <v>5155.41</v>
      </c>
      <c r="BC691" s="494">
        <v>2070.12</v>
      </c>
      <c r="BD691" s="494">
        <v>848.92</v>
      </c>
      <c r="BE691" s="494">
        <v>819.73</v>
      </c>
      <c r="BF691" s="494">
        <v>611.5</v>
      </c>
      <c r="BG691" s="494">
        <v>1080.04</v>
      </c>
      <c r="BH691" s="494">
        <v>2671800.0099999998</v>
      </c>
      <c r="BI691" s="494">
        <f t="shared" si="722"/>
        <v>4422.8500000000004</v>
      </c>
      <c r="BJ691" s="494">
        <v>14289.54</v>
      </c>
      <c r="BK691" s="494">
        <v>3389.61</v>
      </c>
      <c r="BL691" s="494">
        <v>5995.76</v>
      </c>
      <c r="BM691" s="494">
        <v>548.62</v>
      </c>
      <c r="BN691" s="493" t="e">
        <f t="shared" si="675"/>
        <v>#DIV/0!</v>
      </c>
      <c r="BO691" s="493" t="e">
        <f t="shared" si="676"/>
        <v>#DIV/0!</v>
      </c>
      <c r="BP691" s="493" t="e">
        <f t="shared" si="677"/>
        <v>#DIV/0!</v>
      </c>
      <c r="BQ691" s="493" t="e">
        <f t="shared" si="678"/>
        <v>#DIV/0!</v>
      </c>
      <c r="BR691" s="493" t="e">
        <f t="shared" si="679"/>
        <v>#DIV/0!</v>
      </c>
      <c r="BS691" s="493" t="e">
        <f t="shared" si="680"/>
        <v>#DIV/0!</v>
      </c>
      <c r="BT691" s="493" t="e">
        <f t="shared" si="681"/>
        <v>#DIV/0!</v>
      </c>
      <c r="BU691" s="493" t="str">
        <f t="shared" si="682"/>
        <v xml:space="preserve"> </v>
      </c>
      <c r="BV691" s="493" t="e">
        <f t="shared" si="683"/>
        <v>#DIV/0!</v>
      </c>
      <c r="BW691" s="493" t="e">
        <f t="shared" si="684"/>
        <v>#DIV/0!</v>
      </c>
      <c r="BX691" s="493" t="e">
        <f t="shared" si="685"/>
        <v>#DIV/0!</v>
      </c>
      <c r="BY691" s="493" t="str">
        <f t="shared" si="686"/>
        <v xml:space="preserve"> </v>
      </c>
    </row>
  </sheetData>
  <autoFilter ref="A15:BZ691">
    <filterColumn colId="0" showButton="0"/>
  </autoFilter>
  <mergeCells count="295">
    <mergeCell ref="A360:AL360"/>
    <mergeCell ref="AB1:AL1"/>
    <mergeCell ref="BN6:BY6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Y7:BY8"/>
    <mergeCell ref="BN7:BN8"/>
    <mergeCell ref="BO7:BO8"/>
    <mergeCell ref="BP7:BP8"/>
    <mergeCell ref="BQ7:BQ8"/>
    <mergeCell ref="BR7:BR8"/>
    <mergeCell ref="BS7:BS8"/>
    <mergeCell ref="BT7:BT8"/>
    <mergeCell ref="BU7:BU8"/>
    <mergeCell ref="AY9:AY11"/>
    <mergeCell ref="AZ9:AZ11"/>
    <mergeCell ref="BA9:BA11"/>
    <mergeCell ref="BB9:BB11"/>
    <mergeCell ref="BC9:BC11"/>
    <mergeCell ref="BD9:BD11"/>
    <mergeCell ref="BE9:BE11"/>
    <mergeCell ref="BF9:BF11"/>
    <mergeCell ref="BN13:BY14"/>
    <mergeCell ref="BL9:BL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BV7:BV8"/>
    <mergeCell ref="BW7:BW8"/>
    <mergeCell ref="BX7:BX8"/>
    <mergeCell ref="BM9:BM11"/>
    <mergeCell ref="BK7:BK8"/>
    <mergeCell ref="BL7:BL8"/>
    <mergeCell ref="BM7:BM8"/>
    <mergeCell ref="BH9:BH11"/>
    <mergeCell ref="BI9:BI11"/>
    <mergeCell ref="BJ9:BJ11"/>
    <mergeCell ref="BK9:BK11"/>
    <mergeCell ref="BG1:BM1"/>
    <mergeCell ref="AP6:BA6"/>
    <mergeCell ref="BB6:BM6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P9:P11"/>
    <mergeCell ref="BH7:BH8"/>
    <mergeCell ref="BI7:BI8"/>
    <mergeCell ref="BJ7:BJ8"/>
    <mergeCell ref="Z9:Z11"/>
    <mergeCell ref="AA9:AA11"/>
    <mergeCell ref="AB9:AB11"/>
    <mergeCell ref="AJ9:AJ11"/>
    <mergeCell ref="AK9:AK11"/>
    <mergeCell ref="AL9:AL11"/>
    <mergeCell ref="AD9:AD11"/>
    <mergeCell ref="AE9:AE11"/>
    <mergeCell ref="AF9:AF11"/>
    <mergeCell ref="AG9:AG11"/>
    <mergeCell ref="AH9:AH11"/>
    <mergeCell ref="AI9:AI11"/>
    <mergeCell ref="AI7:AI8"/>
    <mergeCell ref="AJ7:AJ8"/>
    <mergeCell ref="AK7:AK8"/>
    <mergeCell ref="AL7:AL8"/>
    <mergeCell ref="AC9:AC11"/>
    <mergeCell ref="AC7:AD8"/>
    <mergeCell ref="AE7:AF8"/>
    <mergeCell ref="BG9:BG11"/>
    <mergeCell ref="A160:AN160"/>
    <mergeCell ref="A13:B13"/>
    <mergeCell ref="A15:B15"/>
    <mergeCell ref="A159:B159"/>
    <mergeCell ref="A14:AN14"/>
    <mergeCell ref="A16:AN16"/>
    <mergeCell ref="R9:R11"/>
    <mergeCell ref="S9:S11"/>
    <mergeCell ref="T9:T11"/>
    <mergeCell ref="U9:U11"/>
    <mergeCell ref="V9:V11"/>
    <mergeCell ref="W9:W11"/>
    <mergeCell ref="X9:X11"/>
    <mergeCell ref="Y9:Y11"/>
    <mergeCell ref="Q9:Q11"/>
    <mergeCell ref="C9:C11"/>
    <mergeCell ref="D9:D11"/>
    <mergeCell ref="H9:H11"/>
    <mergeCell ref="J9:J11"/>
    <mergeCell ref="K9:K11"/>
    <mergeCell ref="L9:L11"/>
    <mergeCell ref="M9:M11"/>
    <mergeCell ref="N9:N11"/>
    <mergeCell ref="O9:O11"/>
    <mergeCell ref="A3:AN3"/>
    <mergeCell ref="A4:AN4"/>
    <mergeCell ref="A6:A11"/>
    <mergeCell ref="B6:B11"/>
    <mergeCell ref="C6:C8"/>
    <mergeCell ref="D6:D8"/>
    <mergeCell ref="I9:I11"/>
    <mergeCell ref="E6:E11"/>
    <mergeCell ref="H6:H8"/>
    <mergeCell ref="I6:AD6"/>
    <mergeCell ref="I7:T7"/>
    <mergeCell ref="AE6:AL6"/>
    <mergeCell ref="AM6:AM8"/>
    <mergeCell ref="AN6:AN8"/>
    <mergeCell ref="U7:V8"/>
    <mergeCell ref="W7:X8"/>
    <mergeCell ref="Y7:Z8"/>
    <mergeCell ref="K8:L8"/>
    <mergeCell ref="M8:N8"/>
    <mergeCell ref="O8:P8"/>
    <mergeCell ref="Q8:R8"/>
    <mergeCell ref="S8:T8"/>
    <mergeCell ref="AG7:AH8"/>
    <mergeCell ref="AA7:AB8"/>
    <mergeCell ref="A188:B188"/>
    <mergeCell ref="A197:B197"/>
    <mergeCell ref="A202:B202"/>
    <mergeCell ref="A168:B168"/>
    <mergeCell ref="A183:B183"/>
    <mergeCell ref="A169:AN169"/>
    <mergeCell ref="A184:AN184"/>
    <mergeCell ref="A189:AN189"/>
    <mergeCell ref="A198:AN198"/>
    <mergeCell ref="A229:B229"/>
    <mergeCell ref="A233:B233"/>
    <mergeCell ref="A236:B236"/>
    <mergeCell ref="A208:B208"/>
    <mergeCell ref="A209:U209"/>
    <mergeCell ref="A225:B225"/>
    <mergeCell ref="A203:AN203"/>
    <mergeCell ref="A226:AN226"/>
    <mergeCell ref="A230:AL230"/>
    <mergeCell ref="A234:AL234"/>
    <mergeCell ref="A245:B245"/>
    <mergeCell ref="A258:B258"/>
    <mergeCell ref="A261:B261"/>
    <mergeCell ref="A239:B239"/>
    <mergeCell ref="A242:B242"/>
    <mergeCell ref="A237:AL237"/>
    <mergeCell ref="A240:AL240"/>
    <mergeCell ref="A243:AL243"/>
    <mergeCell ref="A246:AL246"/>
    <mergeCell ref="A259:AL259"/>
    <mergeCell ref="A273:B273"/>
    <mergeCell ref="A281:B281"/>
    <mergeCell ref="A286:B286"/>
    <mergeCell ref="A264:B264"/>
    <mergeCell ref="A270:B270"/>
    <mergeCell ref="A262:AL262"/>
    <mergeCell ref="A265:AL265"/>
    <mergeCell ref="A271:AL271"/>
    <mergeCell ref="A274:AL274"/>
    <mergeCell ref="A282:AL282"/>
    <mergeCell ref="A307:AL307"/>
    <mergeCell ref="A299:B299"/>
    <mergeCell ref="A302:B302"/>
    <mergeCell ref="A306:B306"/>
    <mergeCell ref="A289:B289"/>
    <mergeCell ref="A292:B292"/>
    <mergeCell ref="A287:AL287"/>
    <mergeCell ref="A290:AL290"/>
    <mergeCell ref="A293:AL293"/>
    <mergeCell ref="A300:AL300"/>
    <mergeCell ref="A303:AL303"/>
    <mergeCell ref="A319:B319"/>
    <mergeCell ref="A322:B322"/>
    <mergeCell ref="A325:B325"/>
    <mergeCell ref="A310:B310"/>
    <mergeCell ref="A314:B314"/>
    <mergeCell ref="A315:AL315"/>
    <mergeCell ref="A311:AL311"/>
    <mergeCell ref="A323:AL323"/>
    <mergeCell ref="A320:AL320"/>
    <mergeCell ref="A342:B342"/>
    <mergeCell ref="A345:B345"/>
    <mergeCell ref="A357:B357"/>
    <mergeCell ref="A328:B328"/>
    <mergeCell ref="A333:B333"/>
    <mergeCell ref="A326:AL326"/>
    <mergeCell ref="A329:AL329"/>
    <mergeCell ref="A346:AL346"/>
    <mergeCell ref="A343:AL343"/>
    <mergeCell ref="A334:AL334"/>
    <mergeCell ref="A602:B602"/>
    <mergeCell ref="A585:B585"/>
    <mergeCell ref="A588:B588"/>
    <mergeCell ref="A568:B568"/>
    <mergeCell ref="A571:B571"/>
    <mergeCell ref="A574:B574"/>
    <mergeCell ref="A558:B558"/>
    <mergeCell ref="A564:B564"/>
    <mergeCell ref="A358:AL358"/>
    <mergeCell ref="A547:B547"/>
    <mergeCell ref="A550:B550"/>
    <mergeCell ref="A554:B554"/>
    <mergeCell ref="A528:B528"/>
    <mergeCell ref="A532:B532"/>
    <mergeCell ref="A502:B502"/>
    <mergeCell ref="A516:B516"/>
    <mergeCell ref="A521:B521"/>
    <mergeCell ref="A359:B359"/>
    <mergeCell ref="A493:B493"/>
    <mergeCell ref="A494:AL494"/>
    <mergeCell ref="A503:AL503"/>
    <mergeCell ref="A517:AL517"/>
    <mergeCell ref="A548:AL548"/>
    <mergeCell ref="A533:AL533"/>
    <mergeCell ref="A625:AL625"/>
    <mergeCell ref="A617:B617"/>
    <mergeCell ref="A620:B620"/>
    <mergeCell ref="A624:B624"/>
    <mergeCell ref="A605:B605"/>
    <mergeCell ref="A613:B613"/>
    <mergeCell ref="A603:AL603"/>
    <mergeCell ref="A621:AL621"/>
    <mergeCell ref="A618:AL618"/>
    <mergeCell ref="A614:AL614"/>
    <mergeCell ref="A606:AL606"/>
    <mergeCell ref="A644:AL644"/>
    <mergeCell ref="A636:B636"/>
    <mergeCell ref="A640:B640"/>
    <mergeCell ref="A643:B643"/>
    <mergeCell ref="A629:B629"/>
    <mergeCell ref="A632:B632"/>
    <mergeCell ref="A641:AL641"/>
    <mergeCell ref="A637:AL637"/>
    <mergeCell ref="A633:AL633"/>
    <mergeCell ref="A630:AL630"/>
    <mergeCell ref="A656:B656"/>
    <mergeCell ref="A659:B659"/>
    <mergeCell ref="A663:B663"/>
    <mergeCell ref="A650:B650"/>
    <mergeCell ref="A653:B653"/>
    <mergeCell ref="A660:AL660"/>
    <mergeCell ref="A654:AL654"/>
    <mergeCell ref="A657:AL657"/>
    <mergeCell ref="A651:AL651"/>
    <mergeCell ref="A678:B678"/>
    <mergeCell ref="A688:B688"/>
    <mergeCell ref="A691:B691"/>
    <mergeCell ref="A670:B670"/>
    <mergeCell ref="A675:B675"/>
    <mergeCell ref="A689:AL689"/>
    <mergeCell ref="A679:AL679"/>
    <mergeCell ref="A676:AL676"/>
    <mergeCell ref="A664:AL664"/>
    <mergeCell ref="A671:AL671"/>
    <mergeCell ref="A522:AL522"/>
    <mergeCell ref="A529:AL529"/>
    <mergeCell ref="A559:AL559"/>
    <mergeCell ref="A555:AK555"/>
    <mergeCell ref="A551:AL551"/>
    <mergeCell ref="A565:AL565"/>
    <mergeCell ref="A595:AL595"/>
    <mergeCell ref="A592:AL592"/>
    <mergeCell ref="A589:AL589"/>
    <mergeCell ref="A586:AL586"/>
    <mergeCell ref="A575:AL575"/>
    <mergeCell ref="A572:AL572"/>
    <mergeCell ref="A569:AL569"/>
    <mergeCell ref="A591:B591"/>
    <mergeCell ref="A594:B594"/>
  </mergeCells>
  <pageMargins left="0.2" right="0.19685039370078741" top="1.2204724409448819" bottom="0.31496062992125984" header="0.19685039370078741" footer="0.15748031496062992"/>
  <pageSetup scale="10" orientation="landscape" r:id="rId1"/>
  <headerFooter alignWithMargins="0">
    <oddFooter>&amp;C&amp;"Arial Narrow,обычный"&amp;7&amp;P</oddFooter>
  </headerFooter>
  <ignoredErrors>
    <ignoredError sqref="AJ63:AK63 AJ81:AK81 AJ88:AK88 AJ109:AK109 AJ122:AK122 AJ129:AK129 AJ131:AK131 AJ133:AK133 AJ143:AK143 AJ155:AK155 X139 AI149 AJ172:AK172 AK222:AK223 AJ223 X213 AJ253:AK253 X255 H297 AJ383:AK383 AJ484:AK484 N561 AJ162:AK162 X85 AJ85" formula="1"/>
    <ignoredError sqref="W8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opLeftCell="A7" zoomScaleSheetLayoutView="110" workbookViewId="0">
      <selection activeCell="L12" sqref="L12"/>
    </sheetView>
  </sheetViews>
  <sheetFormatPr defaultRowHeight="12.75"/>
  <cols>
    <col min="1" max="1" width="7" customWidth="1"/>
    <col min="2" max="2" width="59.6640625" customWidth="1"/>
    <col min="3" max="3" width="16" customWidth="1"/>
    <col min="4" max="4" width="20.83203125" style="428" customWidth="1"/>
    <col min="5" max="5" width="14.6640625" style="428" customWidth="1"/>
    <col min="6" max="6" width="18.1640625" customWidth="1"/>
    <col min="7" max="7" width="11.83203125" customWidth="1"/>
  </cols>
  <sheetData>
    <row r="1" spans="1:10" s="28" customFormat="1" ht="39" customHeight="1">
      <c r="B1" s="284"/>
      <c r="C1" s="940"/>
      <c r="D1" s="940"/>
      <c r="E1" s="940"/>
      <c r="F1" s="940"/>
    </row>
    <row r="2" spans="1:10" s="28" customFormat="1" ht="18" customHeight="1">
      <c r="B2" s="284"/>
      <c r="C2" s="79"/>
      <c r="D2" s="283"/>
      <c r="E2" s="283"/>
      <c r="F2" s="941"/>
      <c r="G2" s="941"/>
      <c r="H2" s="941"/>
      <c r="I2" s="941"/>
      <c r="J2" s="941"/>
    </row>
    <row r="3" spans="1:10" s="28" customFormat="1" ht="12.75" customHeight="1">
      <c r="A3" s="942" t="s">
        <v>1147</v>
      </c>
      <c r="B3" s="942"/>
      <c r="C3" s="942"/>
      <c r="D3" s="942"/>
      <c r="E3" s="942"/>
      <c r="F3" s="942"/>
      <c r="G3" s="293"/>
      <c r="H3" s="293"/>
      <c r="I3" s="293"/>
      <c r="J3" s="293"/>
    </row>
    <row r="4" spans="1:10" s="28" customFormat="1" ht="12" customHeight="1">
      <c r="A4" s="943" t="s">
        <v>1148</v>
      </c>
      <c r="B4" s="943"/>
      <c r="C4" s="943"/>
      <c r="D4" s="943"/>
      <c r="E4" s="943"/>
      <c r="F4" s="943"/>
      <c r="G4" s="294"/>
      <c r="H4" s="294"/>
      <c r="I4" s="294"/>
      <c r="J4" s="294"/>
    </row>
    <row r="5" spans="1:10" s="28" customFormat="1" ht="12" customHeight="1">
      <c r="A5" s="943" t="s">
        <v>1149</v>
      </c>
      <c r="B5" s="943"/>
      <c r="C5" s="943"/>
      <c r="D5" s="943"/>
      <c r="E5" s="943"/>
      <c r="F5" s="943"/>
      <c r="G5" s="287"/>
      <c r="H5" s="287"/>
      <c r="I5" s="287"/>
      <c r="J5" s="287"/>
    </row>
    <row r="6" spans="1:10" ht="12" customHeight="1">
      <c r="A6" s="933"/>
      <c r="B6" s="933"/>
      <c r="C6" s="933"/>
      <c r="D6" s="933"/>
      <c r="E6" s="933"/>
      <c r="F6" s="933"/>
    </row>
    <row r="7" spans="1:10" ht="12.75" customHeight="1">
      <c r="A7" s="934" t="s">
        <v>1038</v>
      </c>
      <c r="B7" s="934" t="s">
        <v>1150</v>
      </c>
      <c r="C7" s="938" t="s">
        <v>67</v>
      </c>
      <c r="D7" s="995" t="s">
        <v>385</v>
      </c>
      <c r="E7" s="995" t="s">
        <v>102</v>
      </c>
      <c r="F7" s="934" t="s">
        <v>68</v>
      </c>
    </row>
    <row r="8" spans="1:10" ht="85.5" customHeight="1">
      <c r="A8" s="936"/>
      <c r="B8" s="936"/>
      <c r="C8" s="939"/>
      <c r="D8" s="997"/>
      <c r="E8" s="997"/>
      <c r="F8" s="935"/>
    </row>
    <row r="9" spans="1:10">
      <c r="A9" s="937"/>
      <c r="B9" s="937"/>
      <c r="C9" s="81" t="s">
        <v>69</v>
      </c>
      <c r="D9" s="285" t="s">
        <v>70</v>
      </c>
      <c r="E9" s="285" t="s">
        <v>99</v>
      </c>
      <c r="F9" s="273" t="s">
        <v>71</v>
      </c>
    </row>
    <row r="10" spans="1:10" ht="12" customHeight="1">
      <c r="A10" s="409">
        <v>1</v>
      </c>
      <c r="B10" s="409">
        <v>2</v>
      </c>
      <c r="C10" s="429">
        <v>3</v>
      </c>
      <c r="D10" s="285">
        <v>4</v>
      </c>
      <c r="E10" s="285">
        <v>5</v>
      </c>
      <c r="F10" s="273">
        <v>6</v>
      </c>
    </row>
    <row r="11" spans="1:10" ht="12.75" customHeight="1">
      <c r="A11" s="918" t="s">
        <v>1163</v>
      </c>
      <c r="B11" s="920"/>
      <c r="C11" s="430">
        <f>C12+C49</f>
        <v>1609543.2899999996</v>
      </c>
      <c r="D11" s="8">
        <f t="shared" ref="D11:F11" si="0">D12+D49</f>
        <v>58175</v>
      </c>
      <c r="E11" s="285">
        <f t="shared" si="0"/>
        <v>524</v>
      </c>
      <c r="F11" s="410">
        <f t="shared" si="0"/>
        <v>1611880009.2071505</v>
      </c>
    </row>
    <row r="12" spans="1:10" ht="24.75" customHeight="1">
      <c r="A12" s="918" t="s">
        <v>1187</v>
      </c>
      <c r="B12" s="920"/>
      <c r="C12" s="430">
        <f>SUM(C13:C48)</f>
        <v>797609.43999999971</v>
      </c>
      <c r="D12" s="8">
        <f>SUM(D13:D48)</f>
        <v>27667</v>
      </c>
      <c r="E12" s="285">
        <f>SUM(E13:E48)</f>
        <v>270</v>
      </c>
      <c r="F12" s="410">
        <f>SUM(F13:F48)</f>
        <v>825892644.3571502</v>
      </c>
    </row>
    <row r="13" spans="1:10">
      <c r="A13" s="59">
        <v>1</v>
      </c>
      <c r="B13" s="58" t="s">
        <v>1040</v>
      </c>
      <c r="C13" s="430">
        <f>'Приложение 1 КСП 2018-2019 гг'!I158</f>
        <v>580080.45999999985</v>
      </c>
      <c r="D13" s="8">
        <f>'Приложение 1 КСП 2018-2019 гг'!K158</f>
        <v>19339</v>
      </c>
      <c r="E13" s="285">
        <v>142</v>
      </c>
      <c r="F13" s="410">
        <f>'Приложение 1 КСП 2018-2019 гг'!L158</f>
        <v>549275227.74715018</v>
      </c>
    </row>
    <row r="14" spans="1:10">
      <c r="A14" s="59">
        <v>2</v>
      </c>
      <c r="B14" s="58" t="s">
        <v>221</v>
      </c>
      <c r="C14" s="430">
        <f>'Приложение 1 КСП 2018-2019 гг'!I167</f>
        <v>22376.699999999997</v>
      </c>
      <c r="D14" s="8">
        <f>'Приложение 1 КСП 2018-2019 гг'!K167</f>
        <v>825</v>
      </c>
      <c r="E14" s="285">
        <v>7</v>
      </c>
      <c r="F14" s="410">
        <f>'Приложение 1 КСП 2018-2019 гг'!L167</f>
        <v>30671549.82</v>
      </c>
    </row>
    <row r="15" spans="1:10">
      <c r="A15" s="59">
        <v>3</v>
      </c>
      <c r="B15" s="58" t="s">
        <v>232</v>
      </c>
      <c r="C15" s="410">
        <f>'Приложение 1 КСП 2018-2019 гг'!I182</f>
        <v>37695.800000000003</v>
      </c>
      <c r="D15" s="8">
        <f>'Приложение 1 КСП 2018-2019 гг'!K182</f>
        <v>1004</v>
      </c>
      <c r="E15" s="285">
        <v>13</v>
      </c>
      <c r="F15" s="410">
        <f>'Приложение 1 КСП 2018-2019 гг'!L182</f>
        <v>35735340.399999999</v>
      </c>
    </row>
    <row r="16" spans="1:10">
      <c r="A16" s="59">
        <v>4</v>
      </c>
      <c r="B16" s="58" t="s">
        <v>1045</v>
      </c>
      <c r="C16" s="410">
        <f>'Приложение 1 КСП 2018-2019 гг'!I187</f>
        <v>6134.9</v>
      </c>
      <c r="D16" s="8">
        <f>'Приложение 1 КСП 2018-2019 гг'!K187</f>
        <v>280</v>
      </c>
      <c r="E16" s="285">
        <v>3</v>
      </c>
      <c r="F16" s="410">
        <f>'Приложение 1 КСП 2018-2019 гг'!L187</f>
        <v>7192170</v>
      </c>
    </row>
    <row r="17" spans="1:6">
      <c r="A17" s="59">
        <v>5</v>
      </c>
      <c r="B17" s="58" t="s">
        <v>1041</v>
      </c>
      <c r="C17" s="410">
        <f>'Приложение 1 КСП 2018-2019 гг'!I196</f>
        <v>8592.82</v>
      </c>
      <c r="D17" s="8">
        <f>'Приложение 1 КСП 2018-2019 гг'!K196</f>
        <v>337</v>
      </c>
      <c r="E17" s="285">
        <v>7</v>
      </c>
      <c r="F17" s="410">
        <f>'Приложение 1 КСП 2018-2019 гг'!L196</f>
        <v>14964394.000000002</v>
      </c>
    </row>
    <row r="18" spans="1:6">
      <c r="A18" s="59">
        <v>6</v>
      </c>
      <c r="B18" s="58" t="s">
        <v>259</v>
      </c>
      <c r="C18" s="410">
        <f>'Приложение 1 КСП 2018-2019 гг'!I201</f>
        <v>6889.5</v>
      </c>
      <c r="D18" s="8">
        <f>'Приложение 1 КСП 2018-2019 гг'!K201</f>
        <v>143</v>
      </c>
      <c r="E18" s="285">
        <v>3</v>
      </c>
      <c r="F18" s="410">
        <f>'Приложение 1 КСП 2018-2019 гг'!L201</f>
        <v>8158175.4000000004</v>
      </c>
    </row>
    <row r="19" spans="1:6" ht="22.5">
      <c r="A19" s="59">
        <v>7</v>
      </c>
      <c r="B19" s="408" t="s">
        <v>264</v>
      </c>
      <c r="C19" s="410">
        <f>'Приложение 1 КСП 2018-2019 гг'!I207</f>
        <v>2482.71</v>
      </c>
      <c r="D19" s="8">
        <f>'Приложение 1 КСП 2018-2019 гг'!K207</f>
        <v>234</v>
      </c>
      <c r="E19" s="285">
        <v>4</v>
      </c>
      <c r="F19" s="410">
        <f>'Приложение 1 КСП 2018-2019 гг'!L207</f>
        <v>6712167</v>
      </c>
    </row>
    <row r="20" spans="1:6">
      <c r="A20" s="59">
        <v>8</v>
      </c>
      <c r="B20" s="408" t="s">
        <v>395</v>
      </c>
      <c r="C20" s="410">
        <f>'Приложение 1 КСП 2018-2019 гг'!I224</f>
        <v>18377.260000000002</v>
      </c>
      <c r="D20" s="8">
        <f>'Приложение 1 КСП 2018-2019 гг'!K224</f>
        <v>721</v>
      </c>
      <c r="E20" s="285">
        <v>15</v>
      </c>
      <c r="F20" s="410">
        <f>'Приложение 1 КСП 2018-2019 гг'!L224</f>
        <v>26785679.310000002</v>
      </c>
    </row>
    <row r="21" spans="1:6" ht="22.5">
      <c r="A21" s="59">
        <v>9</v>
      </c>
      <c r="B21" s="408" t="s">
        <v>445</v>
      </c>
      <c r="C21" s="410">
        <f>'Приложение 1 КСП 2018-2019 гг'!I228</f>
        <v>1160.4000000000001</v>
      </c>
      <c r="D21" s="8">
        <f>'Приложение 1 КСП 2018-2019 гг'!K228</f>
        <v>23</v>
      </c>
      <c r="E21" s="285">
        <v>2</v>
      </c>
      <c r="F21" s="410">
        <f>'Приложение 1 КСП 2018-2019 гг'!L228</f>
        <v>1508098</v>
      </c>
    </row>
    <row r="22" spans="1:6">
      <c r="A22" s="59">
        <v>10</v>
      </c>
      <c r="B22" s="408" t="s">
        <v>397</v>
      </c>
      <c r="C22" s="410">
        <f>'Приложение 1 КСП 2018-2019 гг'!I232</f>
        <v>2815.6</v>
      </c>
      <c r="D22" s="8">
        <f>'Приложение 1 КСП 2018-2019 гг'!K232</f>
        <v>47</v>
      </c>
      <c r="E22" s="285">
        <v>2</v>
      </c>
      <c r="F22" s="410">
        <f>'Приложение 1 КСП 2018-2019 гг'!L232</f>
        <v>3458700</v>
      </c>
    </row>
    <row r="23" spans="1:6" ht="22.5">
      <c r="A23" s="59">
        <v>11</v>
      </c>
      <c r="B23" s="408" t="s">
        <v>442</v>
      </c>
      <c r="C23" s="410">
        <f>'Приложение 1 КСП 2018-2019 гг'!I235</f>
        <v>2049.8000000000002</v>
      </c>
      <c r="D23" s="8">
        <f>'Приложение 1 КСП 2018-2019 гг'!K235</f>
        <v>18</v>
      </c>
      <c r="E23" s="285">
        <v>1</v>
      </c>
      <c r="F23" s="410">
        <f>'Приложение 1 КСП 2018-2019 гг'!L235</f>
        <v>2911295.58</v>
      </c>
    </row>
    <row r="24" spans="1:6" ht="22.5">
      <c r="A24" s="59">
        <v>12</v>
      </c>
      <c r="B24" s="408" t="s">
        <v>435</v>
      </c>
      <c r="C24" s="410">
        <f>'Приложение 1 КСП 2018-2019 гг'!I238</f>
        <v>531.5</v>
      </c>
      <c r="D24" s="8">
        <f>'Приложение 1 КСП 2018-2019 гг'!K238</f>
        <v>15</v>
      </c>
      <c r="E24" s="285">
        <v>1</v>
      </c>
      <c r="F24" s="410">
        <f>'Приложение 1 КСП 2018-2019 гг'!L238</f>
        <v>1856316</v>
      </c>
    </row>
    <row r="25" spans="1:6" ht="22.5">
      <c r="A25" s="59">
        <v>13</v>
      </c>
      <c r="B25" s="408" t="s">
        <v>861</v>
      </c>
      <c r="C25" s="410">
        <f>'Приложение 1 КСП 2018-2019 гг'!I241</f>
        <v>674.2</v>
      </c>
      <c r="D25" s="8">
        <f>'Приложение 1 КСП 2018-2019 гг'!K241</f>
        <v>15</v>
      </c>
      <c r="E25" s="285">
        <v>1</v>
      </c>
      <c r="F25" s="410">
        <f>'Приложение 1 КСП 2018-2019 гг'!L241</f>
        <v>1583650</v>
      </c>
    </row>
    <row r="26" spans="1:6" ht="22.5">
      <c r="A26" s="59">
        <v>14</v>
      </c>
      <c r="B26" s="408" t="s">
        <v>409</v>
      </c>
      <c r="C26" s="410">
        <f>'Приложение 1 КСП 2018-2019 гг'!I244</f>
        <v>1279.2</v>
      </c>
      <c r="D26" s="8">
        <f>'Приложение 1 КСП 2018-2019 гг'!K244</f>
        <v>230</v>
      </c>
      <c r="E26" s="285">
        <v>1</v>
      </c>
      <c r="F26" s="410">
        <f>'Приложение 1 КСП 2018-2019 гг'!L244</f>
        <v>1667000</v>
      </c>
    </row>
    <row r="27" spans="1:6">
      <c r="A27" s="59">
        <v>15</v>
      </c>
      <c r="B27" s="408" t="s">
        <v>295</v>
      </c>
      <c r="C27" s="410">
        <f>'Приложение 1 КСП 2018-2019 гг'!I257</f>
        <v>33588.200000000004</v>
      </c>
      <c r="D27" s="8">
        <f>'Приложение 1 КСП 2018-2019 гг'!K257</f>
        <v>1660</v>
      </c>
      <c r="E27" s="285">
        <v>11</v>
      </c>
      <c r="F27" s="410">
        <f>'Приложение 1 КСП 2018-2019 гг'!L257</f>
        <v>38180936.390000001</v>
      </c>
    </row>
    <row r="28" spans="1:6">
      <c r="A28" s="59">
        <v>16</v>
      </c>
      <c r="B28" s="408" t="s">
        <v>296</v>
      </c>
      <c r="C28" s="410">
        <f>'Приложение 1 КСП 2018-2019 гг'!I260</f>
        <v>3412.9</v>
      </c>
      <c r="D28" s="8">
        <f>'Приложение 1 КСП 2018-2019 гг'!K260</f>
        <v>17</v>
      </c>
      <c r="E28" s="285">
        <v>1</v>
      </c>
      <c r="F28" s="410">
        <f>'Приложение 1 КСП 2018-2019 гг'!L260</f>
        <v>3113956</v>
      </c>
    </row>
    <row r="29" spans="1:6">
      <c r="A29" s="59">
        <v>17</v>
      </c>
      <c r="B29" s="408" t="s">
        <v>298</v>
      </c>
      <c r="C29" s="410">
        <f>'Приложение 1 КСП 2018-2019 гг'!I263</f>
        <v>4457.7</v>
      </c>
      <c r="D29" s="8">
        <f>'Приложение 1 КСП 2018-2019 гг'!K263</f>
        <v>128</v>
      </c>
      <c r="E29" s="285">
        <v>1</v>
      </c>
      <c r="F29" s="410">
        <f>'Приложение 1 КСП 2018-2019 гг'!L263</f>
        <v>2757884.8</v>
      </c>
    </row>
    <row r="30" spans="1:6" ht="22.5">
      <c r="A30" s="59">
        <v>18</v>
      </c>
      <c r="B30" s="408" t="s">
        <v>330</v>
      </c>
      <c r="C30" s="410">
        <f>'Приложение 1 КСП 2018-2019 гг'!I269</f>
        <v>23359.39</v>
      </c>
      <c r="D30" s="8">
        <f>'Приложение 1 КСП 2018-2019 гг'!K269</f>
        <v>602</v>
      </c>
      <c r="E30" s="285">
        <v>4</v>
      </c>
      <c r="F30" s="410">
        <f>'Приложение 1 КСП 2018-2019 гг'!L269</f>
        <v>14919650</v>
      </c>
    </row>
    <row r="31" spans="1:6" ht="22.5">
      <c r="A31" s="59">
        <v>19</v>
      </c>
      <c r="B31" s="408" t="s">
        <v>902</v>
      </c>
      <c r="C31" s="410">
        <f>'Приложение 1 КСП 2018-2019 гг'!I272</f>
        <v>535.29999999999995</v>
      </c>
      <c r="D31" s="8">
        <f>'Приложение 1 КСП 2018-2019 гг'!K272</f>
        <v>12</v>
      </c>
      <c r="E31" s="285">
        <v>1</v>
      </c>
      <c r="F31" s="410">
        <f>'Приложение 1 КСП 2018-2019 гг'!L272</f>
        <v>986370</v>
      </c>
    </row>
    <row r="32" spans="1:6">
      <c r="A32" s="59">
        <v>20</v>
      </c>
      <c r="B32" s="408" t="s">
        <v>427</v>
      </c>
      <c r="C32" s="410">
        <f>'Приложение 1 КСП 2018-2019 гг'!I280</f>
        <v>3288.44</v>
      </c>
      <c r="D32" s="8">
        <f>'Приложение 1 КСП 2018-2019 гг'!K280</f>
        <v>389</v>
      </c>
      <c r="E32" s="285">
        <v>6</v>
      </c>
      <c r="F32" s="410">
        <f>'Приложение 1 КСП 2018-2019 гг'!L280</f>
        <v>8109125.6399999997</v>
      </c>
    </row>
    <row r="33" spans="1:6" ht="22.5">
      <c r="A33" s="59">
        <v>21</v>
      </c>
      <c r="B33" s="408" t="s">
        <v>1043</v>
      </c>
      <c r="C33" s="410">
        <f>'Приложение 1 КСП 2018-2019 гг'!I285</f>
        <v>2197.6999999999998</v>
      </c>
      <c r="D33" s="8">
        <f>'Приложение 1 КСП 2018-2019 гг'!K285</f>
        <v>87</v>
      </c>
      <c r="E33" s="285">
        <v>3</v>
      </c>
      <c r="F33" s="410">
        <f>'Приложение 1 КСП 2018-2019 гг'!L285</f>
        <v>6133960.1399999997</v>
      </c>
    </row>
    <row r="34" spans="1:6">
      <c r="A34" s="59">
        <v>22</v>
      </c>
      <c r="B34" s="408" t="s">
        <v>425</v>
      </c>
      <c r="C34" s="410">
        <f>'Приложение 1 КСП 2018-2019 гг'!I288</f>
        <v>390</v>
      </c>
      <c r="D34" s="8">
        <f>'Приложение 1 КСП 2018-2019 гг'!K288</f>
        <v>12</v>
      </c>
      <c r="E34" s="285">
        <v>1</v>
      </c>
      <c r="F34" s="410">
        <f>'Приложение 1 КСП 2018-2019 гг'!L288</f>
        <v>1300068</v>
      </c>
    </row>
    <row r="35" spans="1:6">
      <c r="A35" s="59">
        <v>23</v>
      </c>
      <c r="B35" s="408" t="s">
        <v>352</v>
      </c>
      <c r="C35" s="410">
        <f>'Приложение 1 КСП 2018-2019 гг'!I291</f>
        <v>621.23</v>
      </c>
      <c r="D35" s="8">
        <f>'Приложение 1 КСП 2018-2019 гг'!K291</f>
        <v>19</v>
      </c>
      <c r="E35" s="285">
        <v>1</v>
      </c>
      <c r="F35" s="410">
        <f>'Приложение 1 КСП 2018-2019 гг'!L291</f>
        <v>1827210</v>
      </c>
    </row>
    <row r="36" spans="1:6" ht="22.5">
      <c r="A36" s="59">
        <v>24</v>
      </c>
      <c r="B36" s="408" t="s">
        <v>433</v>
      </c>
      <c r="C36" s="410">
        <f>'Приложение 1 КСП 2018-2019 гг'!I298</f>
        <v>3958.7000000000003</v>
      </c>
      <c r="D36" s="8">
        <f>'Приложение 1 КСП 2018-2019 гг'!K298</f>
        <v>127</v>
      </c>
      <c r="E36" s="285">
        <v>5</v>
      </c>
      <c r="F36" s="410">
        <f>'Приложение 1 КСП 2018-2019 гг'!L298</f>
        <v>906489.51</v>
      </c>
    </row>
    <row r="37" spans="1:6">
      <c r="A37" s="59">
        <v>25</v>
      </c>
      <c r="B37" s="408" t="s">
        <v>937</v>
      </c>
      <c r="C37" s="410">
        <f>'Приложение 1 КСП 2018-2019 гг'!I301</f>
        <v>661.2</v>
      </c>
      <c r="D37" s="8">
        <f>'Приложение 1 КСП 2018-2019 гг'!K301</f>
        <v>24</v>
      </c>
      <c r="E37" s="285">
        <v>1</v>
      </c>
      <c r="F37" s="410">
        <f>'Приложение 1 КСП 2018-2019 гг'!L301</f>
        <v>1667579.76</v>
      </c>
    </row>
    <row r="38" spans="1:6" ht="22.5">
      <c r="A38" s="59">
        <v>26</v>
      </c>
      <c r="B38" s="408" t="s">
        <v>361</v>
      </c>
      <c r="C38" s="410">
        <f>'Приложение 1 КСП 2018-2019 гг'!I305</f>
        <v>4790.3399999999992</v>
      </c>
      <c r="D38" s="8">
        <f>'Приложение 1 КСП 2018-2019 гг'!K305</f>
        <v>172</v>
      </c>
      <c r="E38" s="285">
        <v>2</v>
      </c>
      <c r="F38" s="410">
        <f>'Приложение 1 КСП 2018-2019 гг'!L305</f>
        <v>5712142.2000000002</v>
      </c>
    </row>
    <row r="39" spans="1:6">
      <c r="A39" s="59">
        <v>27</v>
      </c>
      <c r="B39" s="408" t="s">
        <v>3</v>
      </c>
      <c r="C39" s="410">
        <f>'Приложение 1 КСП 2018-2019 гг'!I309</f>
        <v>3080.92</v>
      </c>
      <c r="D39" s="8">
        <f>'Приложение 1 КСП 2018-2019 гг'!K309</f>
        <v>133</v>
      </c>
      <c r="E39" s="285">
        <v>2</v>
      </c>
      <c r="F39" s="410">
        <f>'Приложение 1 КСП 2018-2019 гг'!L309</f>
        <v>4558646.4000000004</v>
      </c>
    </row>
    <row r="40" spans="1:6">
      <c r="A40" s="59">
        <v>28</v>
      </c>
      <c r="B40" s="408" t="s">
        <v>9</v>
      </c>
      <c r="C40" s="410">
        <f>'Приложение 1 КСП 2018-2019 гг'!I313</f>
        <v>2200.6</v>
      </c>
      <c r="D40" s="8">
        <f>'Приложение 1 КСП 2018-2019 гг'!K313</f>
        <v>58</v>
      </c>
      <c r="E40" s="285">
        <v>2</v>
      </c>
      <c r="F40" s="410">
        <f>'Приложение 1 КСП 2018-2019 гг'!L313</f>
        <v>3180056.88</v>
      </c>
    </row>
    <row r="41" spans="1:6" ht="22.5">
      <c r="A41" s="59">
        <v>29</v>
      </c>
      <c r="B41" s="408" t="s">
        <v>11</v>
      </c>
      <c r="C41" s="410">
        <f>'Приложение 1 КСП 2018-2019 гг'!I318</f>
        <v>1659.8</v>
      </c>
      <c r="D41" s="8">
        <f>'Приложение 1 КСП 2018-2019 гг'!K318</f>
        <v>71</v>
      </c>
      <c r="E41" s="285">
        <v>3</v>
      </c>
      <c r="F41" s="410">
        <f>'Приложение 1 КСП 2018-2019 гг'!L318</f>
        <v>3528294</v>
      </c>
    </row>
    <row r="42" spans="1:6" ht="22.5">
      <c r="A42" s="59">
        <v>30</v>
      </c>
      <c r="B42" s="408" t="s">
        <v>1062</v>
      </c>
      <c r="C42" s="410">
        <f>'Приложение 1 КСП 2018-2019 гг'!I321</f>
        <v>934.9</v>
      </c>
      <c r="D42" s="8">
        <f>'Приложение 1 КСП 2018-2019 гг'!K321</f>
        <v>27</v>
      </c>
      <c r="E42" s="285">
        <v>1</v>
      </c>
      <c r="F42" s="410">
        <f>'Приложение 1 КСП 2018-2019 гг'!L321</f>
        <v>2790891.4</v>
      </c>
    </row>
    <row r="43" spans="1:6" ht="22.5">
      <c r="A43" s="59">
        <v>31</v>
      </c>
      <c r="B43" s="408" t="s">
        <v>429</v>
      </c>
      <c r="C43" s="410">
        <f>'Приложение 1 КСП 2018-2019 гг'!I324</f>
        <v>996.3</v>
      </c>
      <c r="D43" s="8">
        <f>'Приложение 1 КСП 2018-2019 гг'!K324</f>
        <v>41</v>
      </c>
      <c r="E43" s="285">
        <v>1</v>
      </c>
      <c r="F43" s="410">
        <f>'Приложение 1 КСП 2018-2019 гг'!L324</f>
        <v>2170014</v>
      </c>
    </row>
    <row r="44" spans="1:6" ht="22.5">
      <c r="A44" s="59">
        <v>32</v>
      </c>
      <c r="B44" s="408" t="s">
        <v>1083</v>
      </c>
      <c r="C44" s="410">
        <f>'Приложение 1 КСП 2018-2019 гг'!I327</f>
        <v>311.3</v>
      </c>
      <c r="D44" s="8">
        <f>'Приложение 1 КСП 2018-2019 гг'!K327</f>
        <v>12</v>
      </c>
      <c r="E44" s="285">
        <v>1</v>
      </c>
      <c r="F44" s="410">
        <f>'Приложение 1 КСП 2018-2019 гг'!L327</f>
        <v>1067220</v>
      </c>
    </row>
    <row r="45" spans="1:6">
      <c r="A45" s="59">
        <v>33</v>
      </c>
      <c r="B45" s="408" t="s">
        <v>29</v>
      </c>
      <c r="C45" s="410">
        <f>'Приложение 1 КСП 2018-2019 гг'!I332</f>
        <v>1745.2</v>
      </c>
      <c r="D45" s="8">
        <f>'Приложение 1 КСП 2018-2019 гг'!K332</f>
        <v>79</v>
      </c>
      <c r="E45" s="285">
        <v>3</v>
      </c>
      <c r="F45" s="410">
        <f>'Приложение 1 КСП 2018-2019 гг'!L332</f>
        <v>4699002</v>
      </c>
    </row>
    <row r="46" spans="1:6">
      <c r="A46" s="59">
        <v>34</v>
      </c>
      <c r="B46" s="408" t="s">
        <v>35</v>
      </c>
      <c r="C46" s="410">
        <f>'Приложение 1 КСП 2018-2019 гг'!I341</f>
        <v>3001.02</v>
      </c>
      <c r="D46" s="8">
        <f>'Приложение 1 КСП 2018-2019 гг'!K341</f>
        <v>156</v>
      </c>
      <c r="E46" s="285">
        <v>7</v>
      </c>
      <c r="F46" s="410">
        <f>'Приложение 1 КСП 2018-2019 гг'!L341</f>
        <v>7184721.4000000004</v>
      </c>
    </row>
    <row r="47" spans="1:6" ht="22.5">
      <c r="A47" s="59">
        <v>35</v>
      </c>
      <c r="B47" s="408" t="s">
        <v>40</v>
      </c>
      <c r="C47" s="410">
        <f>'Приложение 1 КСП 2018-2019 гг'!I344</f>
        <v>412.31</v>
      </c>
      <c r="D47" s="8">
        <f>'Приложение 1 КСП 2018-2019 гг'!K344</f>
        <v>23</v>
      </c>
      <c r="E47" s="285">
        <v>1</v>
      </c>
      <c r="F47" s="410">
        <f>'Приложение 1 КСП 2018-2019 гг'!L344</f>
        <v>1106028</v>
      </c>
    </row>
    <row r="48" spans="1:6">
      <c r="A48" s="59">
        <v>36</v>
      </c>
      <c r="B48" s="408" t="s">
        <v>45</v>
      </c>
      <c r="C48" s="410">
        <f>'Приложение 1 КСП 2018-2019 гг'!I356</f>
        <v>10865.14</v>
      </c>
      <c r="D48" s="8">
        <f>'Приложение 1 КСП 2018-2019 гг'!K356</f>
        <v>587</v>
      </c>
      <c r="E48" s="285">
        <v>10</v>
      </c>
      <c r="F48" s="410">
        <f>'Приложение 1 КСП 2018-2019 гг'!L356</f>
        <v>17512634.579999998</v>
      </c>
    </row>
    <row r="49" spans="1:6" ht="24" customHeight="1">
      <c r="A49" s="918" t="s">
        <v>1186</v>
      </c>
      <c r="B49" s="920"/>
      <c r="C49" s="430">
        <f>SUM(C50:C88)</f>
        <v>811933.84999999986</v>
      </c>
      <c r="D49" s="8">
        <f>SUM(D50:D88)</f>
        <v>30508</v>
      </c>
      <c r="E49" s="285">
        <f>SUM(E50:E88)</f>
        <v>254</v>
      </c>
      <c r="F49" s="410">
        <f>SUM(F50:F88)</f>
        <v>785987364.85000026</v>
      </c>
    </row>
    <row r="50" spans="1:6">
      <c r="A50" s="59">
        <v>1</v>
      </c>
      <c r="B50" s="58" t="s">
        <v>1040</v>
      </c>
      <c r="C50" s="410">
        <f>'Приложение 1 КСП 2018-2019 гг'!I492</f>
        <v>596091.2699999999</v>
      </c>
      <c r="D50" s="8">
        <f>'Приложение 1 КСП 2018-2019 гг'!K492</f>
        <v>22516</v>
      </c>
      <c r="E50" s="285">
        <v>132</v>
      </c>
      <c r="F50" s="410">
        <f>'Приложение 1 КСП 2018-2019 гг'!L492</f>
        <v>521876480.58999997</v>
      </c>
    </row>
    <row r="51" spans="1:6">
      <c r="A51" s="59">
        <v>2</v>
      </c>
      <c r="B51" s="58" t="s">
        <v>221</v>
      </c>
      <c r="C51" s="410">
        <f>'Приложение 1 КСП 2018-2019 гг'!I501</f>
        <v>22672.400000000001</v>
      </c>
      <c r="D51" s="8">
        <f>'Приложение 1 КСП 2018-2019 гг'!K501</f>
        <v>994</v>
      </c>
      <c r="E51" s="285">
        <v>7</v>
      </c>
      <c r="F51" s="410">
        <f>'Приложение 1 КСП 2018-2019 гг'!L501</f>
        <v>26325416.399999999</v>
      </c>
    </row>
    <row r="52" spans="1:6">
      <c r="A52" s="59">
        <v>3</v>
      </c>
      <c r="B52" s="58" t="s">
        <v>232</v>
      </c>
      <c r="C52" s="410">
        <f>'Приложение 1 КСП 2018-2019 гг'!I515</f>
        <v>45485</v>
      </c>
      <c r="D52" s="8">
        <f>'Приложение 1 КСП 2018-2019 гг'!K515</f>
        <v>820</v>
      </c>
      <c r="E52" s="285">
        <v>12</v>
      </c>
      <c r="F52" s="410">
        <f>'Приложение 1 КСП 2018-2019 гг'!L515</f>
        <v>45220080</v>
      </c>
    </row>
    <row r="53" spans="1:6">
      <c r="A53" s="59">
        <v>4</v>
      </c>
      <c r="B53" s="58" t="s">
        <v>242</v>
      </c>
      <c r="C53" s="410">
        <f>'Приложение 1 КСП 2018-2019 гг'!I520</f>
        <v>8973.7000000000007</v>
      </c>
      <c r="D53" s="8">
        <f>'Приложение 1 КСП 2018-2019 гг'!K520</f>
        <v>821</v>
      </c>
      <c r="E53" s="285">
        <v>3</v>
      </c>
      <c r="F53" s="410">
        <f>'Приложение 1 КСП 2018-2019 гг'!L520</f>
        <v>7496176</v>
      </c>
    </row>
    <row r="54" spans="1:6">
      <c r="A54" s="59">
        <v>5</v>
      </c>
      <c r="B54" s="58" t="s">
        <v>1041</v>
      </c>
      <c r="C54" s="410">
        <f>'Приложение 1 КСП 2018-2019 гг'!I527</f>
        <v>3854.9000000000005</v>
      </c>
      <c r="D54" s="8">
        <f>'Приложение 1 КСП 2018-2019 гг'!K527</f>
        <v>137</v>
      </c>
      <c r="E54" s="285">
        <v>5</v>
      </c>
      <c r="F54" s="410">
        <f>'Приложение 1 КСП 2018-2019 гг'!L527</f>
        <v>7661022.5999999996</v>
      </c>
    </row>
    <row r="55" spans="1:6">
      <c r="A55" s="59">
        <v>6</v>
      </c>
      <c r="B55" s="58" t="s">
        <v>259</v>
      </c>
      <c r="C55" s="410">
        <f>'Приложение 1 КСП 2018-2019 гг'!I531</f>
        <v>2732.45</v>
      </c>
      <c r="D55" s="8">
        <f>'Приложение 1 КСП 2018-2019 гг'!K531</f>
        <v>151</v>
      </c>
      <c r="E55" s="285">
        <v>2</v>
      </c>
      <c r="F55" s="410">
        <f>'Приложение 1 КСП 2018-2019 гг'!L531</f>
        <v>5181256.08</v>
      </c>
    </row>
    <row r="56" spans="1:6">
      <c r="A56" s="59">
        <v>7</v>
      </c>
      <c r="B56" s="408" t="s">
        <v>395</v>
      </c>
      <c r="C56" s="410">
        <f>'Приложение 1 КСП 2018-2019 гг'!I546</f>
        <v>17309.900000000001</v>
      </c>
      <c r="D56" s="8">
        <f>'Приложение 1 КСП 2018-2019 гг'!K546</f>
        <v>720</v>
      </c>
      <c r="E56" s="285">
        <v>13</v>
      </c>
      <c r="F56" s="410">
        <f>'Приложение 1 КСП 2018-2019 гг'!L546</f>
        <v>25726012.629999995</v>
      </c>
    </row>
    <row r="57" spans="1:6" ht="22.5">
      <c r="A57" s="59">
        <v>8</v>
      </c>
      <c r="B57" s="408" t="s">
        <v>445</v>
      </c>
      <c r="C57" s="410">
        <f>'Приложение 1 КСП 2018-2019 гг'!I549</f>
        <v>1476.6</v>
      </c>
      <c r="D57" s="8">
        <f>'Приложение 1 КСП 2018-2019 гг'!K549</f>
        <v>101</v>
      </c>
      <c r="E57" s="285">
        <v>1</v>
      </c>
      <c r="F57" s="410">
        <f>'Приложение 1 КСП 2018-2019 гг'!L549</f>
        <v>2037420</v>
      </c>
    </row>
    <row r="58" spans="1:6">
      <c r="A58" s="59">
        <v>9</v>
      </c>
      <c r="B58" s="408" t="s">
        <v>397</v>
      </c>
      <c r="C58" s="410">
        <f>'Приложение 1 КСП 2018-2019 гг'!I553</f>
        <v>1651.8</v>
      </c>
      <c r="D58" s="8">
        <f>'Приложение 1 КСП 2018-2019 гг'!K553</f>
        <v>16</v>
      </c>
      <c r="E58" s="285">
        <v>2</v>
      </c>
      <c r="F58" s="410">
        <f>'Приложение 1 КСП 2018-2019 гг'!L553</f>
        <v>2800560</v>
      </c>
    </row>
    <row r="59" spans="1:6" ht="22.5">
      <c r="A59" s="59">
        <v>10</v>
      </c>
      <c r="B59" s="408" t="s">
        <v>442</v>
      </c>
      <c r="C59" s="410">
        <f>'Приложение 1 КСП 2018-2019 гг'!I557</f>
        <v>3720.4</v>
      </c>
      <c r="D59" s="8">
        <f>'Приложение 1 КСП 2018-2019 гг'!K557</f>
        <v>32</v>
      </c>
      <c r="E59" s="285">
        <v>2</v>
      </c>
      <c r="F59" s="410">
        <f>'Приложение 1 КСП 2018-2019 гг'!L557</f>
        <v>1427127.98</v>
      </c>
    </row>
    <row r="60" spans="1:6" ht="22.5">
      <c r="A60" s="59">
        <v>11</v>
      </c>
      <c r="B60" s="408" t="s">
        <v>856</v>
      </c>
      <c r="C60" s="410">
        <f>'Приложение 1 КСП 2018-2019 гг'!I563</f>
        <v>2929.7799999999997</v>
      </c>
      <c r="D60" s="8">
        <f>'Приложение 1 КСП 2018-2019 гг'!K563</f>
        <v>92</v>
      </c>
      <c r="E60" s="285">
        <v>4</v>
      </c>
      <c r="F60" s="410">
        <f>'Приложение 1 КСП 2018-2019 гг'!L563</f>
        <v>1647013.44</v>
      </c>
    </row>
    <row r="61" spans="1:6" ht="22.5">
      <c r="A61" s="59">
        <v>12</v>
      </c>
      <c r="B61" s="408" t="s">
        <v>435</v>
      </c>
      <c r="C61" s="410">
        <f>'Приложение 1 КСП 2018-2019 гг'!I567</f>
        <v>1044.9000000000001</v>
      </c>
      <c r="D61" s="8">
        <f>'Приложение 1 КСП 2018-2019 гг'!K567</f>
        <v>40</v>
      </c>
      <c r="E61" s="285">
        <v>2</v>
      </c>
      <c r="F61" s="410">
        <f>'Приложение 1 КСП 2018-2019 гг'!L567</f>
        <v>3266340</v>
      </c>
    </row>
    <row r="62" spans="1:6" ht="22.5">
      <c r="A62" s="59">
        <v>13</v>
      </c>
      <c r="B62" s="408" t="s">
        <v>1085</v>
      </c>
      <c r="C62" s="410">
        <f>'Приложение 1 КСП 2018-2019 гг'!I570</f>
        <v>9951</v>
      </c>
      <c r="D62" s="8">
        <f>'Приложение 1 КСП 2018-2019 гг'!K570</f>
        <v>637</v>
      </c>
      <c r="E62" s="285">
        <v>1</v>
      </c>
      <c r="F62" s="410">
        <f>'Приложение 1 КСП 2018-2019 гг'!L570</f>
        <v>7967926.5999999996</v>
      </c>
    </row>
    <row r="63" spans="1:6">
      <c r="A63" s="59">
        <v>14</v>
      </c>
      <c r="B63" s="408" t="s">
        <v>305</v>
      </c>
      <c r="C63" s="410">
        <f>'Приложение 1 КСП 2018-2019 гг'!I573</f>
        <v>613.1</v>
      </c>
      <c r="D63" s="8">
        <f>'Приложение 1 КСП 2018-2019 гг'!K573</f>
        <v>29</v>
      </c>
      <c r="E63" s="285">
        <v>1</v>
      </c>
      <c r="F63" s="410">
        <f>'Приложение 1 КСП 2018-2019 гг'!L573</f>
        <v>1734588.24</v>
      </c>
    </row>
    <row r="64" spans="1:6">
      <c r="A64" s="59">
        <v>15</v>
      </c>
      <c r="B64" s="408" t="s">
        <v>295</v>
      </c>
      <c r="C64" s="410">
        <f>'Приложение 1 КСП 2018-2019 гг'!I584</f>
        <v>17196.300000000003</v>
      </c>
      <c r="D64" s="8">
        <f>'Приложение 1 КСП 2018-2019 гг'!K584</f>
        <v>639</v>
      </c>
      <c r="E64" s="285">
        <v>9</v>
      </c>
      <c r="F64" s="410">
        <f>'Приложение 1 КСП 2018-2019 гг'!L584</f>
        <v>21300778.720000003</v>
      </c>
    </row>
    <row r="65" spans="1:6">
      <c r="A65" s="59">
        <v>16</v>
      </c>
      <c r="B65" s="408" t="s">
        <v>296</v>
      </c>
      <c r="C65" s="410">
        <f>'Приложение 1 КСП 2018-2019 гг'!I587</f>
        <v>380.2</v>
      </c>
      <c r="D65" s="8">
        <f>'Приложение 1 КСП 2018-2019 гг'!K587</f>
        <v>13</v>
      </c>
      <c r="E65" s="285">
        <v>1</v>
      </c>
      <c r="F65" s="410">
        <f>'Приложение 1 КСП 2018-2019 гг'!L587</f>
        <v>1188495</v>
      </c>
    </row>
    <row r="66" spans="1:6">
      <c r="A66" s="59">
        <v>17</v>
      </c>
      <c r="B66" s="408" t="s">
        <v>298</v>
      </c>
      <c r="C66" s="410">
        <f>'Приложение 1 КСП 2018-2019 гг'!I590</f>
        <v>2570.4</v>
      </c>
      <c r="D66" s="8">
        <f>'Приложение 1 КСП 2018-2019 гг'!K590</f>
        <v>38</v>
      </c>
      <c r="E66" s="285">
        <v>1</v>
      </c>
      <c r="F66" s="410">
        <f>'Приложение 1 КСП 2018-2019 гг'!L590</f>
        <v>3568395.6</v>
      </c>
    </row>
    <row r="67" spans="1:6">
      <c r="A67" s="59">
        <v>18</v>
      </c>
      <c r="B67" s="408" t="s">
        <v>899</v>
      </c>
      <c r="C67" s="410">
        <f>'Приложение 1 КСП 2018-2019 гг'!I593</f>
        <v>665.6</v>
      </c>
      <c r="D67" s="8">
        <f>'Приложение 1 КСП 2018-2019 гг'!K593</f>
        <v>29</v>
      </c>
      <c r="E67" s="285">
        <v>1</v>
      </c>
      <c r="F67" s="410">
        <f>'Приложение 1 КСП 2018-2019 гг'!L593</f>
        <v>1513512</v>
      </c>
    </row>
    <row r="68" spans="1:6" ht="22.5">
      <c r="A68" s="59">
        <v>19</v>
      </c>
      <c r="B68" s="408" t="s">
        <v>330</v>
      </c>
      <c r="C68" s="410">
        <f>'Приложение 1 КСП 2018-2019 гг'!I601</f>
        <v>26039.360000000001</v>
      </c>
      <c r="D68" s="8">
        <f>'Приложение 1 КСП 2018-2019 гг'!K601</f>
        <v>721</v>
      </c>
      <c r="E68" s="285">
        <v>6</v>
      </c>
      <c r="F68" s="410">
        <f>'Приложение 1 КСП 2018-2019 гг'!L601</f>
        <v>17133426</v>
      </c>
    </row>
    <row r="69" spans="1:6" ht="22.5">
      <c r="A69" s="59">
        <v>20</v>
      </c>
      <c r="B69" s="408" t="s">
        <v>405</v>
      </c>
      <c r="C69" s="410">
        <f>'Приложение 1 КСП 2018-2019 гг'!I604</f>
        <v>580.20000000000005</v>
      </c>
      <c r="D69" s="8">
        <f>'Приложение 1 КСП 2018-2019 гг'!K604</f>
        <v>40</v>
      </c>
      <c r="E69" s="285">
        <v>1</v>
      </c>
      <c r="F69" s="410">
        <f>'Приложение 1 КСП 2018-2019 гг'!L604</f>
        <v>1534533</v>
      </c>
    </row>
    <row r="70" spans="1:6">
      <c r="A70" s="59">
        <v>21</v>
      </c>
      <c r="B70" s="408" t="s">
        <v>427</v>
      </c>
      <c r="C70" s="410">
        <f>'Приложение 1 КСП 2018-2019 гг'!I612</f>
        <v>9020.9</v>
      </c>
      <c r="D70" s="8">
        <f>'Приложение 1 КСП 2018-2019 гг'!K612</f>
        <v>512</v>
      </c>
      <c r="E70" s="285">
        <v>6</v>
      </c>
      <c r="F70" s="410">
        <f>'Приложение 1 КСП 2018-2019 гг'!L612</f>
        <v>11412850.68</v>
      </c>
    </row>
    <row r="71" spans="1:6" ht="22.5">
      <c r="A71" s="59">
        <v>22</v>
      </c>
      <c r="B71" s="408" t="s">
        <v>1043</v>
      </c>
      <c r="C71" s="410">
        <f>'Приложение 1 КСП 2018-2019 гг'!I616</f>
        <v>1984.6</v>
      </c>
      <c r="D71" s="8">
        <f>'Приложение 1 КСП 2018-2019 гг'!K616</f>
        <v>110</v>
      </c>
      <c r="E71" s="285">
        <v>2</v>
      </c>
      <c r="F71" s="410">
        <f>'Приложение 1 КСП 2018-2019 гг'!L616</f>
        <v>5907062.7000000002</v>
      </c>
    </row>
    <row r="72" spans="1:6">
      <c r="A72" s="59">
        <v>23</v>
      </c>
      <c r="B72" s="408" t="s">
        <v>425</v>
      </c>
      <c r="C72" s="410">
        <f>'Приложение 1 КСП 2018-2019 гг'!I619</f>
        <v>647</v>
      </c>
      <c r="D72" s="8">
        <f>'Приложение 1 КСП 2018-2019 гг'!K619</f>
        <v>30</v>
      </c>
      <c r="E72" s="285">
        <v>1</v>
      </c>
      <c r="F72" s="410">
        <f>'Приложение 1 КСП 2018-2019 гг'!L619</f>
        <v>2003463</v>
      </c>
    </row>
    <row r="73" spans="1:6">
      <c r="A73" s="59">
        <v>24</v>
      </c>
      <c r="B73" s="408" t="s">
        <v>352</v>
      </c>
      <c r="C73" s="410">
        <f>'Приложение 1 КСП 2018-2019 гг'!I623</f>
        <v>966.28</v>
      </c>
      <c r="D73" s="8">
        <f>'Приложение 1 КСП 2018-2019 гг'!K623</f>
        <v>27</v>
      </c>
      <c r="E73" s="285">
        <v>2</v>
      </c>
      <c r="F73" s="410">
        <f>'Приложение 1 КСП 2018-2019 гг'!L623</f>
        <v>2726262</v>
      </c>
    </row>
    <row r="74" spans="1:6" ht="22.5">
      <c r="A74" s="59">
        <v>25</v>
      </c>
      <c r="B74" s="408" t="s">
        <v>433</v>
      </c>
      <c r="C74" s="410">
        <f>'Приложение 1 КСП 2018-2019 гг'!I628</f>
        <v>3744.15</v>
      </c>
      <c r="D74" s="8">
        <f>'Приложение 1 КСП 2018-2019 гг'!K628</f>
        <v>119</v>
      </c>
      <c r="E74" s="285">
        <v>3</v>
      </c>
      <c r="F74" s="410">
        <f>'Приложение 1 КСП 2018-2019 гг'!L628</f>
        <v>2722145.07</v>
      </c>
    </row>
    <row r="75" spans="1:6">
      <c r="A75" s="59">
        <v>26</v>
      </c>
      <c r="B75" s="408" t="s">
        <v>937</v>
      </c>
      <c r="C75" s="410">
        <f>'Приложение 1 КСП 2018-2019 гг'!I631</f>
        <v>535</v>
      </c>
      <c r="D75" s="8">
        <f>'Приложение 1 КСП 2018-2019 гг'!K631</f>
        <v>16</v>
      </c>
      <c r="E75" s="285">
        <v>1</v>
      </c>
      <c r="F75" s="410">
        <f>'Приложение 1 КСП 2018-2019 гг'!L631</f>
        <v>1203048</v>
      </c>
    </row>
    <row r="76" spans="1:6" ht="22.5">
      <c r="A76" s="59">
        <v>27</v>
      </c>
      <c r="B76" s="408" t="s">
        <v>361</v>
      </c>
      <c r="C76" s="410">
        <f>'Приложение 1 КСП 2018-2019 гг'!I635</f>
        <v>1962.76</v>
      </c>
      <c r="D76" s="8">
        <f>'Приложение 1 КСП 2018-2019 гг'!K635</f>
        <v>74</v>
      </c>
      <c r="E76" s="285">
        <v>2</v>
      </c>
      <c r="F76" s="410">
        <f>'Приложение 1 КСП 2018-2019 гг'!L635</f>
        <v>4676364</v>
      </c>
    </row>
    <row r="77" spans="1:6">
      <c r="A77" s="59">
        <v>28</v>
      </c>
      <c r="B77" s="408" t="s">
        <v>431</v>
      </c>
      <c r="C77" s="410">
        <f>'Приложение 1 КСП 2018-2019 гг'!I639</f>
        <v>1222</v>
      </c>
      <c r="D77" s="8">
        <f>'Приложение 1 КСП 2018-2019 гг'!K639</f>
        <v>60</v>
      </c>
      <c r="E77" s="285">
        <v>2</v>
      </c>
      <c r="F77" s="410">
        <f>'Приложение 1 КСП 2018-2019 гг'!L639</f>
        <v>3005356.2</v>
      </c>
    </row>
    <row r="78" spans="1:6">
      <c r="A78" s="59">
        <v>29</v>
      </c>
      <c r="B78" s="408" t="s">
        <v>3</v>
      </c>
      <c r="C78" s="410">
        <f>'Приложение 1 КСП 2018-2019 гг'!I642</f>
        <v>1144.96</v>
      </c>
      <c r="D78" s="8">
        <f>'Приложение 1 КСП 2018-2019 гг'!K642</f>
        <v>20</v>
      </c>
      <c r="E78" s="285">
        <v>1</v>
      </c>
      <c r="F78" s="410">
        <f>'Приложение 1 КСП 2018-2019 гг'!L642</f>
        <v>2858856</v>
      </c>
    </row>
    <row r="79" spans="1:6" ht="22.5">
      <c r="A79" s="59">
        <v>30</v>
      </c>
      <c r="B79" s="408" t="s">
        <v>11</v>
      </c>
      <c r="C79" s="410">
        <f>'Приложение 1 КСП 2018-2019 гг'!I649</f>
        <v>1562.1000000000001</v>
      </c>
      <c r="D79" s="8">
        <f>'Приложение 1 КСП 2018-2019 гг'!K649</f>
        <v>54</v>
      </c>
      <c r="E79" s="285">
        <v>5</v>
      </c>
      <c r="F79" s="410">
        <f>'Приложение 1 КСП 2018-2019 гг'!L649</f>
        <v>4168626</v>
      </c>
    </row>
    <row r="80" spans="1:6">
      <c r="A80" s="59">
        <v>31</v>
      </c>
      <c r="B80" s="408" t="s">
        <v>392</v>
      </c>
      <c r="C80" s="410">
        <f>'Приложение 1 КСП 2018-2019 гг'!I652</f>
        <v>200</v>
      </c>
      <c r="D80" s="8">
        <f>'Приложение 1 КСП 2018-2019 гг'!K652</f>
        <v>10</v>
      </c>
      <c r="E80" s="285">
        <v>1</v>
      </c>
      <c r="F80" s="410">
        <f>'Приложение 1 КСП 2018-2019 гг'!L652</f>
        <v>581149.80000000005</v>
      </c>
    </row>
    <row r="81" spans="1:6" ht="22.5">
      <c r="A81" s="59">
        <v>32</v>
      </c>
      <c r="B81" s="408" t="s">
        <v>437</v>
      </c>
      <c r="C81" s="410">
        <f>'Приложение 1 КСП 2018-2019 гг'!I655</f>
        <v>907.5</v>
      </c>
      <c r="D81" s="8">
        <f>'Приложение 1 КСП 2018-2019 гг'!K655</f>
        <v>48</v>
      </c>
      <c r="E81" s="285">
        <v>1</v>
      </c>
      <c r="F81" s="410">
        <f>'Приложение 1 КСП 2018-2019 гг'!L655</f>
        <v>2133026.52</v>
      </c>
    </row>
    <row r="82" spans="1:6" ht="22.5">
      <c r="A82" s="59">
        <v>33</v>
      </c>
      <c r="B82" s="408" t="s">
        <v>429</v>
      </c>
      <c r="C82" s="410">
        <f>'Приложение 1 КСП 2018-2019 гг'!I658</f>
        <v>1571.55</v>
      </c>
      <c r="D82" s="8">
        <f>'Приложение 1 КСП 2018-2019 гг'!K658</f>
        <v>42</v>
      </c>
      <c r="E82" s="285">
        <v>1</v>
      </c>
      <c r="F82" s="410">
        <f>'Приложение 1 КСП 2018-2019 гг'!L658</f>
        <v>2988216</v>
      </c>
    </row>
    <row r="83" spans="1:6">
      <c r="A83" s="59">
        <v>34</v>
      </c>
      <c r="B83" s="408" t="s">
        <v>29</v>
      </c>
      <c r="C83" s="410">
        <f>'Приложение 1 КСП 2018-2019 гг'!I662</f>
        <v>1535.9</v>
      </c>
      <c r="D83" s="8">
        <f>'Приложение 1 КСП 2018-2019 гг'!K662</f>
        <v>63</v>
      </c>
      <c r="E83" s="285">
        <v>2</v>
      </c>
      <c r="F83" s="410">
        <f>'Приложение 1 КСП 2018-2019 гг'!L662</f>
        <v>4136286</v>
      </c>
    </row>
    <row r="84" spans="1:6">
      <c r="A84" s="59">
        <v>35</v>
      </c>
      <c r="B84" s="408" t="s">
        <v>35</v>
      </c>
      <c r="C84" s="410">
        <f>'Приложение 1 КСП 2018-2019 гг'!I669</f>
        <v>4140.1000000000004</v>
      </c>
      <c r="D84" s="8">
        <f>'Приложение 1 КСП 2018-2019 гг'!K669</f>
        <v>169</v>
      </c>
      <c r="E84" s="285">
        <v>5</v>
      </c>
      <c r="F84" s="410">
        <f>'Приложение 1 КСП 2018-2019 гг'!L669</f>
        <v>8823742</v>
      </c>
    </row>
    <row r="85" spans="1:6" ht="22.5">
      <c r="A85" s="59">
        <v>36</v>
      </c>
      <c r="B85" s="408" t="s">
        <v>40</v>
      </c>
      <c r="C85" s="410">
        <f>'Приложение 1 КСП 2018-2019 гг'!I674</f>
        <v>1251.0899999999999</v>
      </c>
      <c r="D85" s="8">
        <f>'Приложение 1 КСП 2018-2019 гг'!K674</f>
        <v>59</v>
      </c>
      <c r="E85" s="285">
        <v>3</v>
      </c>
      <c r="F85" s="410">
        <f>'Приложение 1 КСП 2018-2019 гг'!L674</f>
        <v>3318084</v>
      </c>
    </row>
    <row r="86" spans="1:6">
      <c r="A86" s="59">
        <v>37</v>
      </c>
      <c r="B86" s="408" t="s">
        <v>1077</v>
      </c>
      <c r="C86" s="410">
        <f>'Приложение 1 КСП 2018-2019 гг'!I677</f>
        <v>918</v>
      </c>
      <c r="D86" s="8">
        <f>'Приложение 1 КСП 2018-2019 гг'!K677</f>
        <v>25</v>
      </c>
      <c r="E86" s="285">
        <v>1</v>
      </c>
      <c r="F86" s="410">
        <f>'Приложение 1 КСП 2018-2019 гг'!L677</f>
        <v>2147096</v>
      </c>
    </row>
    <row r="87" spans="1:6">
      <c r="A87" s="59">
        <v>38</v>
      </c>
      <c r="B87" s="408" t="s">
        <v>45</v>
      </c>
      <c r="C87" s="410">
        <f>'Приложение 1 КСП 2018-2019 гг'!I687</f>
        <v>12065.599999999999</v>
      </c>
      <c r="D87" s="8">
        <f>'Приложение 1 КСП 2018-2019 гг'!K687</f>
        <v>458</v>
      </c>
      <c r="E87" s="285">
        <v>8</v>
      </c>
      <c r="F87" s="410">
        <f>'Приложение 1 КСП 2018-2019 гг'!L687</f>
        <v>13146210</v>
      </c>
    </row>
    <row r="88" spans="1:6">
      <c r="A88" s="59">
        <v>39</v>
      </c>
      <c r="B88" s="408" t="s">
        <v>1093</v>
      </c>
      <c r="C88" s="410">
        <f>'Приложение 1 КСП 2018-2019 гг'!I690</f>
        <v>615.1</v>
      </c>
      <c r="D88" s="8">
        <f>'Приложение 1 КСП 2018-2019 гг'!K690</f>
        <v>26</v>
      </c>
      <c r="E88" s="285">
        <v>1</v>
      </c>
      <c r="F88" s="410">
        <f>'Приложение 1 КСП 2018-2019 гг'!L690</f>
        <v>1422960</v>
      </c>
    </row>
  </sheetData>
  <mergeCells count="15">
    <mergeCell ref="A49:B49"/>
    <mergeCell ref="A12:B12"/>
    <mergeCell ref="F7:F8"/>
    <mergeCell ref="C1:F1"/>
    <mergeCell ref="F2:J2"/>
    <mergeCell ref="A3:F3"/>
    <mergeCell ref="A4:F4"/>
    <mergeCell ref="A5:F5"/>
    <mergeCell ref="A6:F6"/>
    <mergeCell ref="A7:A9"/>
    <mergeCell ref="B7:B9"/>
    <mergeCell ref="C7:C8"/>
    <mergeCell ref="D7:D8"/>
    <mergeCell ref="E7:E8"/>
    <mergeCell ref="A11:B11"/>
  </mergeCells>
  <pageMargins left="0.74803149606299213" right="0.19685039370078741" top="0.74803149606299213" bottom="0.31496062992125984" header="0.19685039370078741" footer="0.19685039370078741"/>
  <pageSetup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 КСП 2018-2019 гг</vt:lpstr>
      <vt:lpstr>Приложение 2 КСП 2018-2019 гг</vt:lpstr>
      <vt:lpstr>Приложение 3 КСП 2018-2019 гг</vt:lpstr>
      <vt:lpstr>'Приложение 1'!Область_печати</vt:lpstr>
      <vt:lpstr>'Приложение 1 КСП 2018-2019 гг'!Область_печати</vt:lpstr>
      <vt:lpstr>'Приложение 2'!Область_печати</vt:lpstr>
      <vt:lpstr>'Приложение 2 КСП 2018-2019 гг'!Область_печати</vt:lpstr>
      <vt:lpstr>'Приложение 3'!Область_печати</vt:lpstr>
      <vt:lpstr>'Приложение 3 КСП 2018-2019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Albina</cp:lastModifiedBy>
  <cp:lastPrinted>2017-12-18T09:54:31Z</cp:lastPrinted>
  <dcterms:created xsi:type="dcterms:W3CDTF">2014-06-23T04:55:08Z</dcterms:created>
  <dcterms:modified xsi:type="dcterms:W3CDTF">2017-12-18T09:56:41Z</dcterms:modified>
</cp:coreProperties>
</file>